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drawings/drawing2.xml" ContentType="application/vnd.openxmlformats-officedocument.drawing+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omments1.xml" ContentType="application/vnd.openxmlformats-officedocument.spreadsheetml.comments+xml"/>
  <Override PartName="/xl/drawings/drawing3.xml" ContentType="application/vnd.openxmlformats-officedocument.drawing+xml"/>
  <Override PartName="/xl/charts/chart1.xml" ContentType="application/vnd.openxmlformats-officedocument.drawingml.chart+xml"/>
  <Override PartName="/xl/drawings/drawing4.xml" ContentType="application/vnd.openxmlformats-officedocument.drawing+xml"/>
  <Override PartName="/xl/comments2.xml" ContentType="application/vnd.openxmlformats-officedocument.spreadsheetml.comments+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style1.xml" ContentType="application/vnd.ms-office.chartstyle+xml"/>
  <Override PartName="/xl/charts/colors1.xml" ContentType="application/vnd.ms-office.chartcolorstyle+xml"/>
  <Override PartName="/xl/charts/chart7.xml" ContentType="application/vnd.openxmlformats-officedocument.drawingml.chart+xml"/>
  <Override PartName="/xl/charts/chart8.xml" ContentType="application/vnd.openxmlformats-officedocument.drawingml.chart+xml"/>
  <Override PartName="/xl/charts/style2.xml" ContentType="application/vnd.ms-office.chartstyle+xml"/>
  <Override PartName="/xl/charts/colors2.xml" ContentType="application/vnd.ms-office.chartcolorstyle+xml"/>
  <Override PartName="/xl/charts/chart9.xml" ContentType="application/vnd.openxmlformats-officedocument.drawingml.chart+xml"/>
  <Override PartName="/xl/charts/chart10.xml" ContentType="application/vnd.openxmlformats-officedocument.drawingml.chart+xml"/>
  <Override PartName="/xl/charts/style3.xml" ContentType="application/vnd.ms-office.chartstyle+xml"/>
  <Override PartName="/xl/charts/colors3.xml" ContentType="application/vnd.ms-office.chartcolorstyle+xml"/>
  <Override PartName="/xl/drawings/drawing5.xml" ContentType="application/vnd.openxmlformats-officedocument.drawing+xml"/>
  <Override PartName="/xl/comments3.xml" ContentType="application/vnd.openxmlformats-officedocument.spreadsheetml.comments+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style4.xml" ContentType="application/vnd.ms-office.chartstyle+xml"/>
  <Override PartName="/xl/charts/colors4.xml" ContentType="application/vnd.ms-office.chartcolorstyle+xml"/>
  <Override PartName="/xl/charts/chart16.xml" ContentType="application/vnd.openxmlformats-officedocument.drawingml.chart+xml"/>
  <Override PartName="/xl/charts/chart17.xml" ContentType="application/vnd.openxmlformats-officedocument.drawingml.chart+xml"/>
  <Override PartName="/xl/charts/style5.xml" ContentType="application/vnd.ms-office.chartstyle+xml"/>
  <Override PartName="/xl/charts/colors5.xml" ContentType="application/vnd.ms-office.chartcolorstyle+xml"/>
  <Override PartName="/xl/charts/chart18.xml" ContentType="application/vnd.openxmlformats-officedocument.drawingml.chart+xml"/>
  <Override PartName="/xl/charts/chart19.xml" ContentType="application/vnd.openxmlformats-officedocument.drawingml.chart+xml"/>
  <Override PartName="/xl/charts/style6.xml" ContentType="application/vnd.ms-office.chartstyle+xml"/>
  <Override PartName="/xl/charts/colors6.xml" ContentType="application/vnd.ms-office.chartcolorstyle+xml"/>
  <Override PartName="/xl/comments4.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charts/chart20.xml" ContentType="application/vnd.openxmlformats-officedocument.drawingml.chart+xml"/>
  <Override PartName="/xl/charts/chart21.xml" ContentType="application/vnd.openxmlformats-officedocument.drawingml.chart+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ЭтаКнига"/>
  <mc:AlternateContent xmlns:mc="http://schemas.openxmlformats.org/markup-compatibility/2006">
    <mc:Choice Requires="x15">
      <x15ac:absPath xmlns:x15ac="http://schemas.microsoft.com/office/spreadsheetml/2010/11/ac" url="D:\Ульянов\Помощник ЭКР\012\"/>
    </mc:Choice>
  </mc:AlternateContent>
  <workbookProtection workbookPassword="EDC7" lockStructure="1"/>
  <bookViews>
    <workbookView xWindow="0" yWindow="0" windowWidth="15345" windowHeight="3735" tabRatio="839"/>
  </bookViews>
  <sheets>
    <sheet name="Титульный лист" sheetId="21" r:id="rId1"/>
    <sheet name="Ввод исходных данных" sheetId="5" r:id="rId2"/>
    <sheet name="Список мероприятий" sheetId="15" r:id="rId3"/>
    <sheet name="Экономический расчет" sheetId="16" r:id="rId4"/>
    <sheet name="Форма обратной связи" sheetId="22" r:id="rId5"/>
    <sheet name="Серии планировка" sheetId="18" state="hidden" r:id="rId6"/>
    <sheet name="Расчет базового уровня" sheetId="6" state="hidden" r:id="rId7"/>
    <sheet name="Расчет после реализации" sheetId="20" state="hidden" r:id="rId8"/>
    <sheet name="Библиотека технологий" sheetId="17" state="hidden" r:id="rId9"/>
    <sheet name="Климатология" sheetId="2" state="hidden" r:id="rId10"/>
    <sheet name="Серии теплотехника" sheetId="11" state="hidden" r:id="rId11"/>
    <sheet name="Система отопления" sheetId="8" state="hidden" r:id="rId12"/>
    <sheet name="Система электроснабжения" sheetId="10" state="hidden" r:id="rId13"/>
    <sheet name="Система ГВС" sheetId="14" state="hidden" r:id="rId14"/>
    <sheet name="списки" sheetId="4" state="hidden" r:id="rId15"/>
  </sheets>
  <definedNames>
    <definedName name="_xlnm._FilterDatabase" localSheetId="9" hidden="1">Климатология!$A$8:$BF$8</definedName>
    <definedName name="_xlnm._FilterDatabase" localSheetId="4" hidden="1">'Форма обратной связи'!$A$1:$D$71</definedName>
    <definedName name="AITPIAUU">списки!$N$44:$N$46</definedName>
    <definedName name="AtticMat">списки!$M$28:$M$30</definedName>
    <definedName name="AUU">списки!$N$44:$N$45</definedName>
    <definedName name="CellarMat">списки!$M$28:$M$29</definedName>
    <definedName name="CGVS">'Система ГВС'!$F$3</definedName>
    <definedName name="danet">списки!$AR$3:$AR$5</definedName>
    <definedName name="datebill">списки!$AL$24</definedName>
    <definedName name="lamps">списки!$AN$3:$AN$8</definedName>
    <definedName name="LampsNew">списки!$AN$11:$AN$15</definedName>
    <definedName name="layer">списки!$O$16:$O$22</definedName>
    <definedName name="layer15">списки!$O$16:$O$19</definedName>
    <definedName name="materials">списки!$M$16:$M$20</definedName>
    <definedName name="Months">списки!$AK$3:$AK$8</definedName>
    <definedName name="months12">списки!$AK$11:$AK$22</definedName>
    <definedName name="pereplet">списки!$AE$3:$AE$7</definedName>
    <definedName name="repair">списки!$M$23:$M$25</definedName>
    <definedName name="Shvy">списки!$N$50:$N$52</definedName>
    <definedName name="SNIP_temperature">Климатология!$D$9:$BF$548</definedName>
    <definedName name="snipyear">списки!$Y$48:$Y$51</definedName>
    <definedName name="SposobRascheta">списки!$AI$3:$AI$5</definedName>
    <definedName name="TempWat">списки!$Y$54:$Y$55</definedName>
    <definedName name="Windows">списки!$N$32:$N$40</definedName>
    <definedName name="WindowsOld">списки!$AG$3:$AG$9</definedName>
    <definedName name="Анкета_Виды_деятельности" localSheetId="4">'Форма обратной связи'!$H$5:$H$10</definedName>
    <definedName name="Анкета_Виды_лиц" localSheetId="4">'Форма обратной связи'!$I$5:$I$8</definedName>
    <definedName name="Анкета_Субъекты_РФ" localSheetId="4">'Форма обратной связи'!$G$5:$G$88</definedName>
    <definedName name="ГодПостройки">списки!$D$2:$D$11</definedName>
    <definedName name="Годы_текущий_минус_1" localSheetId="1">списки!$AI$11:$AI$12</definedName>
    <definedName name="нежил">списки!$N$2:$N$4</definedName>
    <definedName name="_xlnm.Print_Area" localSheetId="0">'Титульный лист'!$B$3:$D$15</definedName>
    <definedName name="_xlnm.Print_Area" localSheetId="4">'Форма обратной связи'!$B$2:$E$78</definedName>
    <definedName name="РегионСтарт" localSheetId="7">Table2[[#Headers],[Регион]]</definedName>
    <definedName name="РегионСтарт">Table2[[#Headers],[Регион]]</definedName>
    <definedName name="РегионСтолбец" localSheetId="7">Table2[[#All],[Регион]]</definedName>
    <definedName name="РегионСтолбец">Table2[[#All],[Регион]]</definedName>
    <definedName name="РегионыСписок">списки!$F$2:$F$88</definedName>
    <definedName name="Серии">списки!$B$2:$B$23</definedName>
    <definedName name="СерииТепл">'Серии теплотехника'!$A$5:$A$33</definedName>
    <definedName name="СерииТеплНач">'Серии теплотехника'!$C$5</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0" i="16" l="1"/>
  <c r="C23" i="8" l="1"/>
  <c r="C25" i="8"/>
  <c r="B79" i="15" l="1"/>
  <c r="E140" i="5" l="1"/>
  <c r="F284" i="5"/>
  <c r="E284" i="5"/>
  <c r="P35" i="15" l="1"/>
  <c r="P34" i="15"/>
  <c r="O14" i="15"/>
  <c r="H42" i="15" l="1"/>
  <c r="H47" i="15"/>
  <c r="D247" i="5" l="1"/>
  <c r="D249" i="5"/>
  <c r="D246" i="5"/>
  <c r="F245" i="5"/>
  <c r="E219" i="5"/>
  <c r="F219" i="5"/>
  <c r="F198" i="5"/>
  <c r="F200" i="5"/>
  <c r="I17" i="11" l="1"/>
  <c r="B17" i="11"/>
  <c r="D59" i="18"/>
  <c r="E59" i="18"/>
  <c r="H59" i="18" l="1"/>
  <c r="R59" i="18"/>
  <c r="U59" i="18" s="1"/>
  <c r="J59" i="18"/>
  <c r="AA59" i="18" s="1"/>
  <c r="L59" i="18"/>
  <c r="AB59" i="18" s="1"/>
  <c r="V59" i="18"/>
  <c r="W59" i="18" s="1"/>
  <c r="G59" i="18"/>
  <c r="Q59" i="18"/>
  <c r="T59" i="18" s="1"/>
  <c r="A76" i="15"/>
  <c r="AD76" i="15" s="1"/>
  <c r="A74" i="15"/>
  <c r="AD74" i="15" s="1"/>
  <c r="Y59" i="18" l="1"/>
  <c r="Z59" i="18" s="1"/>
  <c r="F59" i="18"/>
  <c r="I59" i="18" s="1"/>
  <c r="S59" i="18"/>
  <c r="X59" i="18"/>
  <c r="P59" i="18"/>
  <c r="N59" i="18"/>
  <c r="AA45" i="15"/>
  <c r="AA50" i="15"/>
  <c r="AA35" i="15"/>
  <c r="AA34" i="15"/>
  <c r="AB11" i="15"/>
  <c r="AB10" i="15"/>
  <c r="A14" i="15"/>
  <c r="AD14" i="15" s="1"/>
  <c r="AB14" i="15"/>
  <c r="O59" i="18" l="1"/>
  <c r="AB35" i="15"/>
  <c r="A50" i="15"/>
  <c r="AD50" i="15" s="1"/>
  <c r="A45" i="15"/>
  <c r="AD45" i="15" s="1"/>
  <c r="E235" i="5" l="1"/>
  <c r="E236" i="5" s="1"/>
  <c r="AA56" i="15" l="1"/>
  <c r="AA55" i="15"/>
  <c r="AA44" i="15"/>
  <c r="AA49" i="15"/>
  <c r="J35" i="15"/>
  <c r="H35" i="15" s="1"/>
  <c r="E198" i="5"/>
  <c r="F218" i="5"/>
  <c r="A49" i="15" l="1"/>
  <c r="AD49" i="15" s="1"/>
  <c r="A55" i="15"/>
  <c r="AD55" i="15" s="1"/>
  <c r="A44" i="15"/>
  <c r="AD44" i="15" s="1"/>
  <c r="A56" i="15"/>
  <c r="AD56" i="15" s="1"/>
  <c r="D13" i="5"/>
  <c r="E6" i="16" l="1"/>
  <c r="D33" i="16" s="1"/>
  <c r="F13" i="5" l="1"/>
  <c r="D218" i="5" l="1"/>
  <c r="F12" i="5"/>
  <c r="E218" i="5" l="1"/>
  <c r="F63" i="5"/>
  <c r="F50" i="5"/>
  <c r="D198" i="5" l="1"/>
  <c r="H56" i="15"/>
  <c r="H58" i="15"/>
  <c r="H55" i="15"/>
  <c r="H52" i="15"/>
  <c r="H50" i="15"/>
  <c r="H49" i="15"/>
  <c r="H48" i="15"/>
  <c r="H45" i="15"/>
  <c r="H44" i="15"/>
  <c r="H43" i="15"/>
  <c r="H39" i="15"/>
  <c r="H38" i="15"/>
  <c r="H34" i="15"/>
  <c r="H24" i="15"/>
  <c r="F240" i="5" l="1"/>
  <c r="E243" i="5" l="1"/>
  <c r="D243" i="5"/>
  <c r="AI12" i="4"/>
  <c r="AI11" i="4" s="1"/>
  <c r="AL24" i="4" l="1"/>
  <c r="E159" i="5" l="1"/>
  <c r="F60" i="5"/>
  <c r="L252" i="5" l="1"/>
  <c r="D235" i="5"/>
  <c r="F235" i="5"/>
  <c r="F236" i="5" s="1"/>
  <c r="G235" i="5"/>
  <c r="H235" i="5"/>
  <c r="I235" i="5"/>
  <c r="J235" i="5"/>
  <c r="C103" i="5"/>
  <c r="C202" i="5"/>
  <c r="B274" i="5"/>
  <c r="B266" i="5"/>
  <c r="B239" i="5"/>
  <c r="B163" i="5"/>
  <c r="B79" i="5"/>
  <c r="B42" i="5"/>
  <c r="F66" i="5" l="1"/>
  <c r="F65" i="5"/>
  <c r="F46" i="5"/>
  <c r="F45" i="5"/>
  <c r="E153" i="5" l="1"/>
  <c r="E149" i="5"/>
  <c r="E145" i="5"/>
  <c r="D85" i="5" l="1"/>
  <c r="C86" i="5" s="1"/>
  <c r="E280" i="5"/>
  <c r="R51" i="18" l="1"/>
  <c r="R50" i="18"/>
  <c r="R72" i="18"/>
  <c r="R8" i="18"/>
  <c r="R9" i="18"/>
  <c r="R10" i="18"/>
  <c r="R11" i="18"/>
  <c r="R12" i="18"/>
  <c r="R13" i="18"/>
  <c r="R14" i="18"/>
  <c r="R16" i="18"/>
  <c r="R18" i="18"/>
  <c r="R19" i="18"/>
  <c r="R20" i="18"/>
  <c r="R21" i="18"/>
  <c r="R25" i="18"/>
  <c r="R26" i="18"/>
  <c r="R27" i="18"/>
  <c r="R31" i="18"/>
  <c r="R32" i="18"/>
  <c r="R35" i="18"/>
  <c r="R36" i="18"/>
  <c r="R38" i="18"/>
  <c r="R39" i="18"/>
  <c r="R42" i="18"/>
  <c r="R43" i="18"/>
  <c r="R44" i="18"/>
  <c r="R45" i="18"/>
  <c r="R47" i="18"/>
  <c r="R48" i="18"/>
  <c r="R49" i="18"/>
  <c r="R7" i="18"/>
  <c r="L32" i="18" l="1"/>
  <c r="L31" i="18"/>
  <c r="D112" i="5" l="1"/>
  <c r="C114" i="5" s="1"/>
  <c r="E283" i="5"/>
  <c r="F283" i="5" s="1"/>
  <c r="D179" i="5"/>
  <c r="E279" i="5" s="1"/>
  <c r="D51" i="5" l="1"/>
  <c r="F51" i="5" s="1"/>
  <c r="E154" i="5"/>
  <c r="F279" i="5"/>
  <c r="E276" i="5"/>
  <c r="F276" i="5" s="1"/>
  <c r="D33" i="17" l="1"/>
  <c r="F33" i="17"/>
  <c r="D34" i="17"/>
  <c r="F34" i="17"/>
  <c r="D35" i="17"/>
  <c r="F35" i="17"/>
  <c r="C33" i="17"/>
  <c r="C34" i="17"/>
  <c r="C35" i="17"/>
  <c r="E24" i="17"/>
  <c r="E25" i="17"/>
  <c r="E26" i="17"/>
  <c r="D24" i="17"/>
  <c r="D25" i="17"/>
  <c r="D26" i="17"/>
  <c r="C24" i="17"/>
  <c r="C25" i="17"/>
  <c r="C26" i="17"/>
  <c r="D19" i="17"/>
  <c r="D20" i="17"/>
  <c r="C19" i="17"/>
  <c r="C20" i="17"/>
  <c r="E6" i="17"/>
  <c r="E7" i="17"/>
  <c r="E8" i="17"/>
  <c r="D6" i="17"/>
  <c r="D7" i="17"/>
  <c r="D8" i="17"/>
  <c r="C6" i="17"/>
  <c r="C7" i="17"/>
  <c r="C8" i="17"/>
  <c r="F280" i="5" l="1"/>
  <c r="F199" i="5" l="1"/>
  <c r="AA58" i="15" l="1"/>
  <c r="A58" i="15" l="1"/>
  <c r="AD58" i="15" s="1"/>
  <c r="AB58" i="15"/>
  <c r="E76" i="18"/>
  <c r="D76" i="18"/>
  <c r="AA52" i="15"/>
  <c r="A52" i="15" l="1"/>
  <c r="AD52" i="15" s="1"/>
  <c r="AB52" i="15"/>
  <c r="D151" i="5"/>
  <c r="E150" i="5" s="1"/>
  <c r="I15" i="11" l="1"/>
  <c r="I14" i="11"/>
  <c r="B15" i="11"/>
  <c r="E270" i="5" l="1"/>
  <c r="E288" i="5" s="1"/>
  <c r="F288" i="5" s="1"/>
  <c r="I11" i="11"/>
  <c r="B11" i="11"/>
  <c r="I10" i="11"/>
  <c r="B10" i="11"/>
  <c r="V13" i="18"/>
  <c r="W13" i="18" s="1"/>
  <c r="U13" i="18"/>
  <c r="Q13" i="18"/>
  <c r="T13" i="18" s="1"/>
  <c r="L13" i="18"/>
  <c r="AB13" i="18" s="1"/>
  <c r="J13" i="18"/>
  <c r="AA13" i="18" s="1"/>
  <c r="H13" i="18"/>
  <c r="G13" i="18"/>
  <c r="C13" i="18"/>
  <c r="V12" i="18"/>
  <c r="W12" i="18" s="1"/>
  <c r="U12" i="18"/>
  <c r="Q12" i="18"/>
  <c r="T12" i="18" s="1"/>
  <c r="L12" i="18"/>
  <c r="AB12" i="18" s="1"/>
  <c r="J12" i="18"/>
  <c r="AA12" i="18" s="1"/>
  <c r="H12" i="18"/>
  <c r="G12" i="18"/>
  <c r="C12" i="18"/>
  <c r="V11" i="18"/>
  <c r="W11" i="18" s="1"/>
  <c r="U11" i="18"/>
  <c r="Q11" i="18"/>
  <c r="T11" i="18" s="1"/>
  <c r="L11" i="18"/>
  <c r="AB11" i="18" s="1"/>
  <c r="J11" i="18"/>
  <c r="AA11" i="18" s="1"/>
  <c r="H11" i="18"/>
  <c r="G11" i="18"/>
  <c r="C11" i="18"/>
  <c r="E66" i="18"/>
  <c r="V66" i="18" s="1"/>
  <c r="W66" i="18" s="1"/>
  <c r="D66" i="18"/>
  <c r="E67" i="18"/>
  <c r="V67" i="18" s="1"/>
  <c r="W67" i="18" s="1"/>
  <c r="D67" i="18"/>
  <c r="R67" i="18" l="1"/>
  <c r="U67" i="18" s="1"/>
  <c r="J66" i="18"/>
  <c r="AA66" i="18" s="1"/>
  <c r="R66" i="18"/>
  <c r="U66" i="18" s="1"/>
  <c r="S13" i="18"/>
  <c r="S11" i="18"/>
  <c r="S12" i="18"/>
  <c r="F11" i="18"/>
  <c r="I11" i="18" s="1"/>
  <c r="P11" i="18"/>
  <c r="Z11" i="18"/>
  <c r="F12" i="18"/>
  <c r="I12" i="18" s="1"/>
  <c r="P12" i="18"/>
  <c r="Z12" i="18"/>
  <c r="F13" i="18"/>
  <c r="I13" i="18" s="1"/>
  <c r="P13" i="18"/>
  <c r="Z13" i="18"/>
  <c r="N11" i="18"/>
  <c r="N12" i="18"/>
  <c r="N13" i="18"/>
  <c r="G66" i="18"/>
  <c r="L66" i="18"/>
  <c r="Q66" i="18"/>
  <c r="J67" i="18"/>
  <c r="AA67" i="18" s="1"/>
  <c r="H66" i="18"/>
  <c r="G67" i="18"/>
  <c r="L67" i="18"/>
  <c r="Q67" i="18"/>
  <c r="H67" i="18"/>
  <c r="O13" i="18" l="1"/>
  <c r="O12" i="18"/>
  <c r="O11" i="18"/>
  <c r="AB67" i="18"/>
  <c r="N67" i="18"/>
  <c r="Z67" i="18"/>
  <c r="F67" i="18"/>
  <c r="I67" i="18" s="1"/>
  <c r="T66" i="18"/>
  <c r="S66" i="18" s="1"/>
  <c r="P66" i="18"/>
  <c r="AB66" i="18"/>
  <c r="N66" i="18"/>
  <c r="Z66" i="18"/>
  <c r="F66" i="18"/>
  <c r="I66" i="18" s="1"/>
  <c r="T67" i="18"/>
  <c r="S67" i="18" s="1"/>
  <c r="P67" i="18"/>
  <c r="O66" i="18" l="1"/>
  <c r="O67" i="18"/>
  <c r="L206" i="5" l="1"/>
  <c r="AA33" i="15" l="1"/>
  <c r="H4" i="14"/>
  <c r="AF90" i="6" s="1"/>
  <c r="AA38" i="15"/>
  <c r="D90" i="6"/>
  <c r="A38" i="15" l="1"/>
  <c r="AD38" i="15" s="1"/>
  <c r="AB38" i="15"/>
  <c r="N90" i="6"/>
  <c r="J90" i="6"/>
  <c r="L90" i="6"/>
  <c r="P90" i="6"/>
  <c r="R90" i="6"/>
  <c r="T90" i="6"/>
  <c r="V90" i="6"/>
  <c r="X90" i="6"/>
  <c r="Z90" i="6"/>
  <c r="AB90" i="6"/>
  <c r="AD90" i="6"/>
  <c r="F31" i="17" l="1"/>
  <c r="F32" i="17"/>
  <c r="F30" i="17"/>
  <c r="F29" i="17"/>
  <c r="F28" i="17"/>
  <c r="F27" i="17"/>
  <c r="C36" i="17" l="1"/>
  <c r="C57" i="17"/>
  <c r="E36" i="17" l="1"/>
  <c r="C46" i="10" l="1"/>
  <c r="D48" i="4"/>
  <c r="D137" i="20" l="1"/>
  <c r="B35" i="5"/>
  <c r="B36" i="5" s="1"/>
  <c r="D182" i="20"/>
  <c r="D184" i="6"/>
  <c r="H79" i="2"/>
  <c r="H68" i="2"/>
  <c r="H60" i="2"/>
  <c r="H58" i="2"/>
  <c r="H56" i="2"/>
  <c r="H53" i="2"/>
  <c r="H42" i="2"/>
  <c r="H43" i="2" s="1"/>
  <c r="H36" i="2"/>
  <c r="H33" i="2"/>
  <c r="H31" i="2"/>
  <c r="H25" i="2"/>
  <c r="H21" i="2"/>
  <c r="H16" i="2"/>
  <c r="H117" i="2"/>
  <c r="H119" i="2"/>
  <c r="H121" i="2"/>
  <c r="H125" i="2"/>
  <c r="H143" i="2"/>
  <c r="H144" i="2" s="1"/>
  <c r="H140" i="2"/>
  <c r="H141" i="2" s="1"/>
  <c r="H146" i="2"/>
  <c r="H148" i="2"/>
  <c r="H150" i="2"/>
  <c r="H156" i="2"/>
  <c r="H159" i="2"/>
  <c r="H169" i="2"/>
  <c r="H172" i="2"/>
  <c r="H173" i="2"/>
  <c r="H193" i="2"/>
  <c r="H201" i="2"/>
  <c r="H203" i="2"/>
  <c r="H205" i="2"/>
  <c r="H208" i="2"/>
  <c r="H207" i="2"/>
  <c r="H211" i="2"/>
  <c r="H213" i="2"/>
  <c r="H216" i="2"/>
  <c r="H222" i="2"/>
  <c r="H223" i="2" s="1"/>
  <c r="H225" i="2"/>
  <c r="H240" i="2"/>
  <c r="H246" i="2"/>
  <c r="H245" i="2" s="1"/>
  <c r="H244" i="2" s="1"/>
  <c r="H243" i="2" s="1"/>
  <c r="H242" i="2"/>
  <c r="H249" i="2"/>
  <c r="H250" i="2" s="1"/>
  <c r="H251" i="2" s="1"/>
  <c r="H257" i="2"/>
  <c r="H258" i="2" s="1"/>
  <c r="H273" i="2"/>
  <c r="H278" i="2"/>
  <c r="H280" i="2"/>
  <c r="H289" i="2"/>
  <c r="H312" i="2"/>
  <c r="H311" i="2"/>
  <c r="H313" i="2" s="1"/>
  <c r="H317" i="2"/>
  <c r="H318" i="2" s="1"/>
  <c r="H322" i="2"/>
  <c r="H326" i="2"/>
  <c r="H331" i="2"/>
  <c r="H343" i="2"/>
  <c r="H346" i="2"/>
  <c r="H349" i="2"/>
  <c r="H351" i="2"/>
  <c r="H354" i="2"/>
  <c r="H356" i="2"/>
  <c r="H371" i="2"/>
  <c r="H379" i="2"/>
  <c r="H384" i="2"/>
  <c r="H393" i="2"/>
  <c r="H398" i="2"/>
  <c r="H399" i="2" s="1"/>
  <c r="H404" i="2"/>
  <c r="H416" i="2"/>
  <c r="H423" i="2"/>
  <c r="H424" i="2" s="1"/>
  <c r="H426" i="2"/>
  <c r="H428" i="2"/>
  <c r="H430" i="2"/>
  <c r="H431" i="2" s="1"/>
  <c r="H432" i="2" s="1"/>
  <c r="H433" i="2" s="1"/>
  <c r="H437" i="2"/>
  <c r="H440" i="2"/>
  <c r="H66" i="2" s="1"/>
  <c r="H67" i="2" s="1"/>
  <c r="H443" i="2"/>
  <c r="H444" i="2" s="1"/>
  <c r="H447" i="2"/>
  <c r="H453" i="2"/>
  <c r="H452" i="2" s="1"/>
  <c r="H457" i="2"/>
  <c r="H459" i="2"/>
  <c r="H468" i="2"/>
  <c r="B44" i="5" l="1"/>
  <c r="B45" i="5" s="1"/>
  <c r="B46" i="5" s="1"/>
  <c r="B47" i="5" l="1"/>
  <c r="B48" i="5" s="1"/>
  <c r="B49" i="5" s="1"/>
  <c r="B50" i="5" s="1"/>
  <c r="B51" i="5" s="1"/>
  <c r="B52" i="5" s="1"/>
  <c r="B53" i="5" s="1"/>
  <c r="B54" i="5" s="1"/>
  <c r="B55" i="5" s="1"/>
  <c r="B56" i="5" s="1"/>
  <c r="B57" i="5" s="1"/>
  <c r="B58" i="5" s="1"/>
  <c r="B59" i="5" s="1"/>
  <c r="B60" i="5" s="1"/>
  <c r="B61" i="5" s="1"/>
  <c r="B62" i="5" s="1"/>
  <c r="B63" i="5" s="1"/>
  <c r="B64" i="5" s="1"/>
  <c r="B65" i="5" s="1"/>
  <c r="B66" i="5" s="1"/>
  <c r="B70" i="5" s="1"/>
  <c r="B71" i="5" s="1"/>
  <c r="B72" i="5" s="1"/>
  <c r="B73" i="5" s="1"/>
  <c r="B74" i="5" s="1"/>
  <c r="B75" i="5" s="1"/>
  <c r="B76" i="5" s="1"/>
  <c r="B83" i="5" s="1"/>
  <c r="B84" i="5" s="1"/>
  <c r="B85" i="5" s="1"/>
  <c r="B88" i="5" s="1"/>
  <c r="D88" i="5" s="1"/>
  <c r="B99" i="5" s="1"/>
  <c r="D99" i="5" s="1"/>
  <c r="B107" i="5" s="1"/>
  <c r="B108" i="5" s="1"/>
  <c r="B109" i="5" s="1"/>
  <c r="B110" i="5" s="1"/>
  <c r="B111" i="5" s="1"/>
  <c r="B112" i="5" s="1"/>
  <c r="B116" i="5" s="1"/>
  <c r="B124" i="5" s="1"/>
  <c r="B125" i="5" s="1"/>
  <c r="B131" i="5" s="1"/>
  <c r="B132" i="5" s="1"/>
  <c r="B133" i="5" s="1"/>
  <c r="B134" i="5" s="1"/>
  <c r="B135" i="5" s="1"/>
  <c r="B138" i="5" s="1"/>
  <c r="B139" i="5" s="1"/>
  <c r="B140" i="5" s="1"/>
  <c r="B141" i="5" s="1"/>
  <c r="B144" i="5" s="1"/>
  <c r="I47" i="5"/>
  <c r="I48" i="5"/>
  <c r="I49" i="5"/>
  <c r="B145" i="5" l="1"/>
  <c r="B146" i="5" s="1"/>
  <c r="B147" i="5" s="1"/>
  <c r="B148" i="5" s="1"/>
  <c r="F21" i="14"/>
  <c r="B149" i="5" l="1"/>
  <c r="B150" i="5" s="1"/>
  <c r="B151" i="5" s="1"/>
  <c r="B152" i="5" s="1"/>
  <c r="AB57" i="18"/>
  <c r="AB55" i="18"/>
  <c r="AB17" i="18"/>
  <c r="AB35" i="18"/>
  <c r="AB36" i="18"/>
  <c r="AB37" i="18"/>
  <c r="AB38" i="18"/>
  <c r="AB39" i="18"/>
  <c r="AB40" i="18"/>
  <c r="AB41" i="18"/>
  <c r="B153" i="5" l="1"/>
  <c r="B154" i="5" s="1"/>
  <c r="B155" i="5" s="1"/>
  <c r="B159" i="5" s="1"/>
  <c r="B160" i="5" s="1"/>
  <c r="B165" i="5" s="1"/>
  <c r="B166" i="5" s="1"/>
  <c r="B167" i="5" s="1"/>
  <c r="B168" i="5" s="1"/>
  <c r="C65" i="17"/>
  <c r="D46" i="4"/>
  <c r="BE166" i="2"/>
  <c r="BF166" i="2" s="1"/>
  <c r="Q166" i="2"/>
  <c r="R166" i="2" s="1"/>
  <c r="AH476" i="2"/>
  <c r="AH474" i="2"/>
  <c r="AH473" i="2"/>
  <c r="AH472" i="2"/>
  <c r="AH471" i="2"/>
  <c r="AH470" i="2"/>
  <c r="AH469" i="2"/>
  <c r="AH468" i="2"/>
  <c r="AH467" i="2"/>
  <c r="AH466" i="2"/>
  <c r="AH465" i="2"/>
  <c r="AH464" i="2"/>
  <c r="AH463" i="2"/>
  <c r="AH462" i="2"/>
  <c r="AH461" i="2"/>
  <c r="AH460" i="2"/>
  <c r="AH459" i="2"/>
  <c r="AH458" i="2"/>
  <c r="AH457" i="2"/>
  <c r="AH456" i="2"/>
  <c r="AH455" i="2"/>
  <c r="AH454" i="2"/>
  <c r="AH453" i="2"/>
  <c r="AH452" i="2"/>
  <c r="AH451" i="2"/>
  <c r="AH450" i="2"/>
  <c r="AH449" i="2"/>
  <c r="AH448" i="2"/>
  <c r="AH447" i="2"/>
  <c r="AH446" i="2"/>
  <c r="AH445" i="2"/>
  <c r="AH444" i="2"/>
  <c r="AH443" i="2"/>
  <c r="AH442" i="2"/>
  <c r="AH441" i="2"/>
  <c r="AH440" i="2"/>
  <c r="AH439" i="2"/>
  <c r="AH438" i="2"/>
  <c r="AH437" i="2"/>
  <c r="AH436" i="2"/>
  <c r="AH435" i="2"/>
  <c r="AH434" i="2"/>
  <c r="AH433" i="2"/>
  <c r="AH432" i="2"/>
  <c r="AH431" i="2"/>
  <c r="AH430" i="2"/>
  <c r="AH429" i="2"/>
  <c r="AH428" i="2"/>
  <c r="AH427" i="2"/>
  <c r="AH426" i="2"/>
  <c r="AH425" i="2"/>
  <c r="AH424" i="2"/>
  <c r="AH423" i="2"/>
  <c r="AH422" i="2"/>
  <c r="AH421" i="2"/>
  <c r="AH420" i="2"/>
  <c r="AH419" i="2"/>
  <c r="AH418" i="2"/>
  <c r="AH417" i="2"/>
  <c r="AH416" i="2"/>
  <c r="AH415" i="2"/>
  <c r="AH414" i="2"/>
  <c r="AH413" i="2"/>
  <c r="AH412" i="2"/>
  <c r="AH411" i="2"/>
  <c r="AH410" i="2"/>
  <c r="AH409" i="2"/>
  <c r="AH408" i="2"/>
  <c r="AH407" i="2"/>
  <c r="AH406" i="2"/>
  <c r="AH405" i="2"/>
  <c r="AH404" i="2"/>
  <c r="AH403" i="2"/>
  <c r="AH402" i="2"/>
  <c r="AH401" i="2"/>
  <c r="AH400" i="2"/>
  <c r="AH399" i="2"/>
  <c r="AH398" i="2"/>
  <c r="AH397" i="2"/>
  <c r="AH396" i="2"/>
  <c r="AH395" i="2"/>
  <c r="AH394" i="2"/>
  <c r="AH393" i="2"/>
  <c r="AH392" i="2"/>
  <c r="AH391" i="2"/>
  <c r="AH390" i="2"/>
  <c r="AH389" i="2"/>
  <c r="AH388" i="2"/>
  <c r="AH387" i="2"/>
  <c r="AH386" i="2"/>
  <c r="AH385" i="2"/>
  <c r="AH384" i="2"/>
  <c r="AH383" i="2"/>
  <c r="AH382" i="2"/>
  <c r="AH381" i="2"/>
  <c r="AH380" i="2"/>
  <c r="AH379" i="2"/>
  <c r="AH378" i="2"/>
  <c r="AH377" i="2"/>
  <c r="AH376" i="2"/>
  <c r="AH375" i="2"/>
  <c r="AH374" i="2"/>
  <c r="AH373" i="2"/>
  <c r="AH372" i="2"/>
  <c r="AH371" i="2"/>
  <c r="AH370" i="2"/>
  <c r="AH369" i="2"/>
  <c r="AH368" i="2"/>
  <c r="AH367" i="2"/>
  <c r="AH366" i="2"/>
  <c r="AH365" i="2"/>
  <c r="AH364" i="2"/>
  <c r="AH363" i="2"/>
  <c r="AH362" i="2"/>
  <c r="AH361" i="2"/>
  <c r="AH360" i="2"/>
  <c r="AH359" i="2"/>
  <c r="AH358" i="2"/>
  <c r="AH357" i="2"/>
  <c r="AH356" i="2"/>
  <c r="AH355" i="2"/>
  <c r="AH354" i="2"/>
  <c r="AH353" i="2"/>
  <c r="AH352" i="2"/>
  <c r="AH351" i="2"/>
  <c r="AH350" i="2"/>
  <c r="AH349" i="2"/>
  <c r="AH348" i="2"/>
  <c r="AH347" i="2"/>
  <c r="AH346" i="2"/>
  <c r="AH345" i="2"/>
  <c r="AH344" i="2"/>
  <c r="AH343" i="2"/>
  <c r="AH342" i="2"/>
  <c r="AH341" i="2"/>
  <c r="AH340" i="2"/>
  <c r="AH339" i="2"/>
  <c r="AH338" i="2"/>
  <c r="AH337" i="2"/>
  <c r="AH336" i="2"/>
  <c r="AH335" i="2"/>
  <c r="AH334" i="2"/>
  <c r="AH333" i="2"/>
  <c r="AH332" i="2"/>
  <c r="AH331" i="2"/>
  <c r="AH330" i="2"/>
  <c r="AH329" i="2"/>
  <c r="AH328" i="2"/>
  <c r="AH327" i="2"/>
  <c r="AH326" i="2"/>
  <c r="AH325" i="2"/>
  <c r="AH324" i="2"/>
  <c r="AH323" i="2"/>
  <c r="AH322" i="2"/>
  <c r="AH321" i="2"/>
  <c r="AH320" i="2"/>
  <c r="AH319" i="2"/>
  <c r="AH318" i="2"/>
  <c r="AH317" i="2"/>
  <c r="AH316" i="2"/>
  <c r="AH315" i="2"/>
  <c r="AH314" i="2"/>
  <c r="AH313" i="2"/>
  <c r="AH312" i="2"/>
  <c r="AH311" i="2"/>
  <c r="AH310" i="2"/>
  <c r="AH309" i="2"/>
  <c r="AH308" i="2"/>
  <c r="AH307" i="2"/>
  <c r="AH306" i="2"/>
  <c r="AH305" i="2"/>
  <c r="AH304" i="2"/>
  <c r="AH303" i="2"/>
  <c r="AH302" i="2"/>
  <c r="AH301" i="2"/>
  <c r="AH300" i="2"/>
  <c r="AH299" i="2"/>
  <c r="AH298" i="2"/>
  <c r="AH297" i="2"/>
  <c r="AH296" i="2"/>
  <c r="AH295" i="2"/>
  <c r="AH294" i="2"/>
  <c r="AH293" i="2"/>
  <c r="AH292" i="2"/>
  <c r="AH291" i="2"/>
  <c r="AH290" i="2"/>
  <c r="AH289" i="2"/>
  <c r="AH288" i="2"/>
  <c r="AH287" i="2"/>
  <c r="AH286" i="2"/>
  <c r="AH285" i="2"/>
  <c r="AH284" i="2"/>
  <c r="AH283" i="2"/>
  <c r="AH282" i="2"/>
  <c r="AH281" i="2"/>
  <c r="AH280" i="2"/>
  <c r="AH279" i="2"/>
  <c r="AH278" i="2"/>
  <c r="AH277" i="2"/>
  <c r="AH276" i="2"/>
  <c r="AH275" i="2"/>
  <c r="AH274" i="2"/>
  <c r="AH273" i="2"/>
  <c r="AH272" i="2"/>
  <c r="AH271" i="2"/>
  <c r="AH270" i="2"/>
  <c r="AH269" i="2"/>
  <c r="AH268" i="2"/>
  <c r="AH267" i="2"/>
  <c r="AH266" i="2"/>
  <c r="AH265" i="2"/>
  <c r="AH264" i="2"/>
  <c r="AH263" i="2"/>
  <c r="AH262" i="2"/>
  <c r="AH261" i="2"/>
  <c r="AH260" i="2"/>
  <c r="AH259" i="2"/>
  <c r="AH258" i="2"/>
  <c r="AH257" i="2"/>
  <c r="AH256" i="2"/>
  <c r="AH255" i="2"/>
  <c r="AH254" i="2"/>
  <c r="AH253" i="2"/>
  <c r="AH252" i="2"/>
  <c r="AH251" i="2"/>
  <c r="AH250" i="2"/>
  <c r="AH249" i="2"/>
  <c r="AH248" i="2"/>
  <c r="AH247" i="2"/>
  <c r="AH246" i="2"/>
  <c r="AH245" i="2"/>
  <c r="AH244" i="2"/>
  <c r="AH243" i="2"/>
  <c r="AH242" i="2"/>
  <c r="AH241" i="2"/>
  <c r="AH240" i="2"/>
  <c r="AH239" i="2"/>
  <c r="AH238" i="2"/>
  <c r="AH237" i="2"/>
  <c r="AH236" i="2"/>
  <c r="AH235" i="2"/>
  <c r="AH234" i="2"/>
  <c r="AH233" i="2"/>
  <c r="AH232" i="2"/>
  <c r="AH231" i="2"/>
  <c r="AH230" i="2"/>
  <c r="AH229" i="2"/>
  <c r="AH228" i="2"/>
  <c r="AH227" i="2"/>
  <c r="AH226" i="2"/>
  <c r="AH225" i="2"/>
  <c r="AH224" i="2"/>
  <c r="AH223" i="2"/>
  <c r="AH222" i="2"/>
  <c r="AH221" i="2"/>
  <c r="AH220" i="2"/>
  <c r="AH219" i="2"/>
  <c r="AH218" i="2"/>
  <c r="AH217" i="2"/>
  <c r="AH216" i="2"/>
  <c r="AH215" i="2"/>
  <c r="AH214" i="2"/>
  <c r="AH213" i="2"/>
  <c r="AH212" i="2"/>
  <c r="AH211" i="2"/>
  <c r="AH210" i="2"/>
  <c r="AH209" i="2"/>
  <c r="AH208" i="2"/>
  <c r="AH207" i="2"/>
  <c r="AH206" i="2"/>
  <c r="AH205" i="2"/>
  <c r="AH204" i="2"/>
  <c r="AH203" i="2"/>
  <c r="AH202" i="2"/>
  <c r="AH201" i="2"/>
  <c r="AH200" i="2"/>
  <c r="AH199" i="2"/>
  <c r="AH198" i="2"/>
  <c r="AH197" i="2"/>
  <c r="AH196" i="2"/>
  <c r="AH195" i="2"/>
  <c r="AH194" i="2"/>
  <c r="AH193" i="2"/>
  <c r="AH192" i="2"/>
  <c r="AH191" i="2"/>
  <c r="AH190" i="2"/>
  <c r="AH189" i="2"/>
  <c r="AH188" i="2"/>
  <c r="AH187" i="2"/>
  <c r="AH186" i="2"/>
  <c r="AH185" i="2"/>
  <c r="AH184" i="2"/>
  <c r="AH183" i="2"/>
  <c r="AH182" i="2"/>
  <c r="AH181" i="2"/>
  <c r="AH180" i="2"/>
  <c r="AH179" i="2"/>
  <c r="AH178" i="2"/>
  <c r="AH177" i="2"/>
  <c r="AH176" i="2"/>
  <c r="AH175" i="2"/>
  <c r="AH174" i="2"/>
  <c r="AH173" i="2"/>
  <c r="AH172" i="2"/>
  <c r="AH171" i="2"/>
  <c r="AH170" i="2"/>
  <c r="AH169" i="2"/>
  <c r="AH168" i="2"/>
  <c r="AH167" i="2"/>
  <c r="AH166" i="2"/>
  <c r="AH165" i="2"/>
  <c r="AH164" i="2"/>
  <c r="AH163" i="2"/>
  <c r="AH162" i="2"/>
  <c r="AH161" i="2"/>
  <c r="AH160" i="2"/>
  <c r="AH159" i="2"/>
  <c r="AH158" i="2"/>
  <c r="AH157" i="2"/>
  <c r="AH156" i="2"/>
  <c r="AH155" i="2"/>
  <c r="AH154" i="2"/>
  <c r="AH153" i="2"/>
  <c r="AH152" i="2"/>
  <c r="AH151" i="2"/>
  <c r="AH150" i="2"/>
  <c r="AH149" i="2"/>
  <c r="AH148" i="2"/>
  <c r="AH147" i="2"/>
  <c r="AH146" i="2"/>
  <c r="AH145" i="2"/>
  <c r="AH144" i="2"/>
  <c r="AH143" i="2"/>
  <c r="AH142" i="2"/>
  <c r="AH141" i="2"/>
  <c r="AH140" i="2"/>
  <c r="AH139" i="2"/>
  <c r="AH138" i="2"/>
  <c r="AH137" i="2"/>
  <c r="AH136" i="2"/>
  <c r="AH135" i="2"/>
  <c r="AH134" i="2"/>
  <c r="AH133" i="2"/>
  <c r="AH132" i="2"/>
  <c r="AH131" i="2"/>
  <c r="AH130" i="2"/>
  <c r="AH129" i="2"/>
  <c r="AH128" i="2"/>
  <c r="AH127" i="2"/>
  <c r="AH126" i="2"/>
  <c r="AH125" i="2"/>
  <c r="AH124" i="2"/>
  <c r="AH123" i="2"/>
  <c r="AH122" i="2"/>
  <c r="AH121" i="2"/>
  <c r="AH120" i="2"/>
  <c r="AH119" i="2"/>
  <c r="AH118" i="2"/>
  <c r="AH117" i="2"/>
  <c r="AH116" i="2"/>
  <c r="AH115" i="2"/>
  <c r="AH114" i="2"/>
  <c r="AH113" i="2"/>
  <c r="AH112" i="2"/>
  <c r="AH111" i="2"/>
  <c r="AH110" i="2"/>
  <c r="AH109" i="2"/>
  <c r="AH108" i="2"/>
  <c r="AH107" i="2"/>
  <c r="AH106" i="2"/>
  <c r="AH105" i="2"/>
  <c r="AH104" i="2"/>
  <c r="AH103" i="2"/>
  <c r="AH102" i="2"/>
  <c r="AH101" i="2"/>
  <c r="AH100" i="2"/>
  <c r="AH99" i="2"/>
  <c r="AH98" i="2"/>
  <c r="AH97" i="2"/>
  <c r="AH96" i="2"/>
  <c r="AH95" i="2"/>
  <c r="AH94" i="2"/>
  <c r="AH93" i="2"/>
  <c r="AH92" i="2"/>
  <c r="AH91" i="2"/>
  <c r="AH90" i="2"/>
  <c r="AH89" i="2"/>
  <c r="AH88" i="2"/>
  <c r="AH87" i="2"/>
  <c r="AH86" i="2"/>
  <c r="AH85" i="2"/>
  <c r="AH84" i="2"/>
  <c r="AH83" i="2"/>
  <c r="AH82" i="2"/>
  <c r="AH81" i="2"/>
  <c r="AH80" i="2"/>
  <c r="AH79" i="2"/>
  <c r="AH78" i="2"/>
  <c r="AH77" i="2"/>
  <c r="AH76" i="2"/>
  <c r="AH75" i="2"/>
  <c r="AH74" i="2"/>
  <c r="AH73" i="2"/>
  <c r="AH72" i="2"/>
  <c r="AH71" i="2"/>
  <c r="AH70" i="2"/>
  <c r="AH69" i="2"/>
  <c r="AH68" i="2"/>
  <c r="AH67" i="2"/>
  <c r="AH66" i="2"/>
  <c r="AH65" i="2"/>
  <c r="AH64" i="2"/>
  <c r="AH63" i="2"/>
  <c r="AH62" i="2"/>
  <c r="AH61" i="2"/>
  <c r="AH60" i="2"/>
  <c r="AH59" i="2"/>
  <c r="AH58" i="2"/>
  <c r="AH57" i="2"/>
  <c r="AH56" i="2"/>
  <c r="AH55" i="2"/>
  <c r="AH54" i="2"/>
  <c r="AH53" i="2"/>
  <c r="AH52" i="2"/>
  <c r="AH51" i="2"/>
  <c r="AH50" i="2"/>
  <c r="AH49" i="2"/>
  <c r="AH48" i="2"/>
  <c r="AH47" i="2"/>
  <c r="AH46" i="2"/>
  <c r="AH45" i="2"/>
  <c r="AH44" i="2"/>
  <c r="AH43" i="2"/>
  <c r="AH42" i="2"/>
  <c r="AH41" i="2"/>
  <c r="AH40" i="2"/>
  <c r="AH39" i="2"/>
  <c r="AH38" i="2"/>
  <c r="AH37" i="2"/>
  <c r="AH36" i="2"/>
  <c r="AH35" i="2"/>
  <c r="AH34" i="2"/>
  <c r="AH33" i="2"/>
  <c r="AH32" i="2"/>
  <c r="AH31" i="2"/>
  <c r="AH30" i="2"/>
  <c r="AH29" i="2"/>
  <c r="AH28" i="2"/>
  <c r="AH27" i="2"/>
  <c r="AH26" i="2"/>
  <c r="AH25" i="2"/>
  <c r="AH24" i="2"/>
  <c r="AH23" i="2"/>
  <c r="AH22" i="2"/>
  <c r="AH21" i="2"/>
  <c r="AH20" i="2"/>
  <c r="AH19" i="2"/>
  <c r="AH18" i="2"/>
  <c r="AH17" i="2"/>
  <c r="AH16" i="2"/>
  <c r="AH15" i="2"/>
  <c r="AH14" i="2"/>
  <c r="AH13" i="2"/>
  <c r="AH12" i="2"/>
  <c r="AH11" i="2"/>
  <c r="AH10" i="2"/>
  <c r="AH9" i="2"/>
  <c r="AL476" i="2"/>
  <c r="AL474" i="2"/>
  <c r="AL473" i="2"/>
  <c r="AL472" i="2"/>
  <c r="AL471" i="2"/>
  <c r="AL470" i="2"/>
  <c r="AL469" i="2"/>
  <c r="AL468" i="2"/>
  <c r="AL467" i="2"/>
  <c r="AL466" i="2"/>
  <c r="AL465" i="2"/>
  <c r="AL464" i="2"/>
  <c r="AL463" i="2"/>
  <c r="AL462" i="2"/>
  <c r="AL461" i="2"/>
  <c r="AL460" i="2"/>
  <c r="AL459" i="2"/>
  <c r="AL458" i="2"/>
  <c r="AL457" i="2"/>
  <c r="AL456" i="2"/>
  <c r="AL455" i="2"/>
  <c r="AL454" i="2"/>
  <c r="AL453" i="2"/>
  <c r="AL452" i="2"/>
  <c r="AL451" i="2"/>
  <c r="AL450" i="2"/>
  <c r="AL449" i="2"/>
  <c r="AL448" i="2"/>
  <c r="AL447" i="2"/>
  <c r="AL446" i="2"/>
  <c r="AL445" i="2"/>
  <c r="AL444" i="2"/>
  <c r="AL443" i="2"/>
  <c r="AL442" i="2"/>
  <c r="AL441" i="2"/>
  <c r="AL440" i="2"/>
  <c r="AL439" i="2"/>
  <c r="AL438" i="2"/>
  <c r="AL437" i="2"/>
  <c r="AL436" i="2"/>
  <c r="AL435" i="2"/>
  <c r="AL434" i="2"/>
  <c r="AL433" i="2"/>
  <c r="AL432" i="2"/>
  <c r="AL431" i="2"/>
  <c r="AL430" i="2"/>
  <c r="AL429" i="2"/>
  <c r="AL428" i="2"/>
  <c r="AL427" i="2"/>
  <c r="AL426" i="2"/>
  <c r="AL425" i="2"/>
  <c r="AL424" i="2"/>
  <c r="AL423" i="2"/>
  <c r="AL422" i="2"/>
  <c r="AL421" i="2"/>
  <c r="AL420" i="2"/>
  <c r="AL419" i="2"/>
  <c r="AL418" i="2"/>
  <c r="AL417" i="2"/>
  <c r="AL416" i="2"/>
  <c r="AL415" i="2"/>
  <c r="AL414" i="2"/>
  <c r="AL413" i="2"/>
  <c r="AL412" i="2"/>
  <c r="AL411" i="2"/>
  <c r="AL410" i="2"/>
  <c r="AL409" i="2"/>
  <c r="AL408" i="2"/>
  <c r="AL407" i="2"/>
  <c r="AL406" i="2"/>
  <c r="AL405" i="2"/>
  <c r="AL404" i="2"/>
  <c r="AL403" i="2"/>
  <c r="AL402" i="2"/>
  <c r="AL401" i="2"/>
  <c r="AL400" i="2"/>
  <c r="AL399" i="2"/>
  <c r="AL398" i="2"/>
  <c r="AL397" i="2"/>
  <c r="AL396" i="2"/>
  <c r="AL395" i="2"/>
  <c r="AL394" i="2"/>
  <c r="AL393" i="2"/>
  <c r="AL392" i="2"/>
  <c r="AL391" i="2"/>
  <c r="AL390" i="2"/>
  <c r="AL389" i="2"/>
  <c r="AL388" i="2"/>
  <c r="AL387" i="2"/>
  <c r="AL386" i="2"/>
  <c r="AL385" i="2"/>
  <c r="AL384" i="2"/>
  <c r="AL383" i="2"/>
  <c r="AL382" i="2"/>
  <c r="AL381" i="2"/>
  <c r="AL380" i="2"/>
  <c r="AL379" i="2"/>
  <c r="AL378" i="2"/>
  <c r="AL377" i="2"/>
  <c r="AL376" i="2"/>
  <c r="AL375" i="2"/>
  <c r="AL374" i="2"/>
  <c r="AL373" i="2"/>
  <c r="AL372" i="2"/>
  <c r="AL371" i="2"/>
  <c r="AL370" i="2"/>
  <c r="AL369" i="2"/>
  <c r="AL368" i="2"/>
  <c r="AL367" i="2"/>
  <c r="AL366" i="2"/>
  <c r="AL365" i="2"/>
  <c r="AL364" i="2"/>
  <c r="AL363" i="2"/>
  <c r="AL362" i="2"/>
  <c r="AL361" i="2"/>
  <c r="AL360" i="2"/>
  <c r="AL359" i="2"/>
  <c r="AL358" i="2"/>
  <c r="AL357" i="2"/>
  <c r="AL356" i="2"/>
  <c r="AL355" i="2"/>
  <c r="AL354" i="2"/>
  <c r="AL353" i="2"/>
  <c r="AL352" i="2"/>
  <c r="AL351" i="2"/>
  <c r="AL350" i="2"/>
  <c r="AL349" i="2"/>
  <c r="AL348" i="2"/>
  <c r="AL347" i="2"/>
  <c r="AL346" i="2"/>
  <c r="AL345" i="2"/>
  <c r="AL344" i="2"/>
  <c r="AL343" i="2"/>
  <c r="AL342" i="2"/>
  <c r="AL341" i="2"/>
  <c r="AL340" i="2"/>
  <c r="AL339" i="2"/>
  <c r="AL338" i="2"/>
  <c r="AL337" i="2"/>
  <c r="AL336" i="2"/>
  <c r="AL335" i="2"/>
  <c r="AL334" i="2"/>
  <c r="AL333" i="2"/>
  <c r="AL332" i="2"/>
  <c r="AL331" i="2"/>
  <c r="AL330" i="2"/>
  <c r="AL329" i="2"/>
  <c r="AL328" i="2"/>
  <c r="AL327" i="2"/>
  <c r="AL326" i="2"/>
  <c r="AL325" i="2"/>
  <c r="AL324" i="2"/>
  <c r="AL323" i="2"/>
  <c r="AL322" i="2"/>
  <c r="AL321" i="2"/>
  <c r="AL320" i="2"/>
  <c r="AL319" i="2"/>
  <c r="AL318" i="2"/>
  <c r="AL317" i="2"/>
  <c r="AL316" i="2"/>
  <c r="AL315" i="2"/>
  <c r="AL314" i="2"/>
  <c r="AL313" i="2"/>
  <c r="AL312" i="2"/>
  <c r="AL311" i="2"/>
  <c r="AL310" i="2"/>
  <c r="AL309" i="2"/>
  <c r="AL308" i="2"/>
  <c r="AL307" i="2"/>
  <c r="AL306" i="2"/>
  <c r="AL305" i="2"/>
  <c r="AL304" i="2"/>
  <c r="AL303" i="2"/>
  <c r="AL302" i="2"/>
  <c r="AL301" i="2"/>
  <c r="AL300" i="2"/>
  <c r="AL299" i="2"/>
  <c r="AL298" i="2"/>
  <c r="AL297" i="2"/>
  <c r="AL296" i="2"/>
  <c r="AL295" i="2"/>
  <c r="AL294" i="2"/>
  <c r="AL293" i="2"/>
  <c r="AL292" i="2"/>
  <c r="AL291" i="2"/>
  <c r="AL290" i="2"/>
  <c r="AL289" i="2"/>
  <c r="AL288" i="2"/>
  <c r="AL287" i="2"/>
  <c r="AL286" i="2"/>
  <c r="AL285" i="2"/>
  <c r="AL284" i="2"/>
  <c r="AL283" i="2"/>
  <c r="AL282" i="2"/>
  <c r="AL281" i="2"/>
  <c r="AL280" i="2"/>
  <c r="AL279" i="2"/>
  <c r="AL278" i="2"/>
  <c r="AL277" i="2"/>
  <c r="AL276" i="2"/>
  <c r="AL275" i="2"/>
  <c r="AL274" i="2"/>
  <c r="AL273" i="2"/>
  <c r="AL272" i="2"/>
  <c r="AL271" i="2"/>
  <c r="AL270" i="2"/>
  <c r="AL269" i="2"/>
  <c r="AL268" i="2"/>
  <c r="AL267" i="2"/>
  <c r="AL266" i="2"/>
  <c r="AL265" i="2"/>
  <c r="AL264" i="2"/>
  <c r="AL263" i="2"/>
  <c r="AL262" i="2"/>
  <c r="AL261" i="2"/>
  <c r="AL260" i="2"/>
  <c r="AL259" i="2"/>
  <c r="AL258" i="2"/>
  <c r="AL257" i="2"/>
  <c r="AL256" i="2"/>
  <c r="AL255" i="2"/>
  <c r="AL254" i="2"/>
  <c r="AL253" i="2"/>
  <c r="AL252" i="2"/>
  <c r="AL251" i="2"/>
  <c r="AL250" i="2"/>
  <c r="AL249" i="2"/>
  <c r="AL248" i="2"/>
  <c r="AL247" i="2"/>
  <c r="AL246" i="2"/>
  <c r="AL245" i="2"/>
  <c r="AL244" i="2"/>
  <c r="AL243" i="2"/>
  <c r="AL242" i="2"/>
  <c r="AL241" i="2"/>
  <c r="AL240" i="2"/>
  <c r="AL239" i="2"/>
  <c r="AL238" i="2"/>
  <c r="AL237" i="2"/>
  <c r="AL236" i="2"/>
  <c r="AL235" i="2"/>
  <c r="AL234" i="2"/>
  <c r="AL233" i="2"/>
  <c r="AL232" i="2"/>
  <c r="AL231" i="2"/>
  <c r="AL230" i="2"/>
  <c r="AL229" i="2"/>
  <c r="AL228" i="2"/>
  <c r="AL227" i="2"/>
  <c r="AL226" i="2"/>
  <c r="AL225" i="2"/>
  <c r="AL224" i="2"/>
  <c r="AL223" i="2"/>
  <c r="AL222" i="2"/>
  <c r="AL221" i="2"/>
  <c r="AL220" i="2"/>
  <c r="AL219" i="2"/>
  <c r="AL218" i="2"/>
  <c r="AL217" i="2"/>
  <c r="AL216" i="2"/>
  <c r="AL215" i="2"/>
  <c r="AL214" i="2"/>
  <c r="AL213" i="2"/>
  <c r="AL212" i="2"/>
  <c r="AL211" i="2"/>
  <c r="AL210" i="2"/>
  <c r="AL209" i="2"/>
  <c r="AL208" i="2"/>
  <c r="AL207" i="2"/>
  <c r="AL206" i="2"/>
  <c r="AL205" i="2"/>
  <c r="AL204" i="2"/>
  <c r="AL203" i="2"/>
  <c r="AL202" i="2"/>
  <c r="AL201" i="2"/>
  <c r="AL200" i="2"/>
  <c r="AL199" i="2"/>
  <c r="AL198" i="2"/>
  <c r="AL197" i="2"/>
  <c r="AL196" i="2"/>
  <c r="AL195" i="2"/>
  <c r="AL194" i="2"/>
  <c r="AL193" i="2"/>
  <c r="AL192" i="2"/>
  <c r="AL191" i="2"/>
  <c r="AL190" i="2"/>
  <c r="AL189" i="2"/>
  <c r="AL188" i="2"/>
  <c r="AL187" i="2"/>
  <c r="AL186" i="2"/>
  <c r="AL185" i="2"/>
  <c r="AL184" i="2"/>
  <c r="AL183" i="2"/>
  <c r="AL182" i="2"/>
  <c r="AL181" i="2"/>
  <c r="AL180" i="2"/>
  <c r="AL179" i="2"/>
  <c r="AL178" i="2"/>
  <c r="AL177" i="2"/>
  <c r="AL176" i="2"/>
  <c r="AL175" i="2"/>
  <c r="AL174" i="2"/>
  <c r="AL173" i="2"/>
  <c r="AL172" i="2"/>
  <c r="AL171" i="2"/>
  <c r="AL170" i="2"/>
  <c r="AL169" i="2"/>
  <c r="AL168" i="2"/>
  <c r="AL167" i="2"/>
  <c r="AL166" i="2"/>
  <c r="AL165" i="2"/>
  <c r="AL164" i="2"/>
  <c r="AL163" i="2"/>
  <c r="AL162" i="2"/>
  <c r="AL161" i="2"/>
  <c r="AL160" i="2"/>
  <c r="AL159" i="2"/>
  <c r="AL158" i="2"/>
  <c r="AL157" i="2"/>
  <c r="AL156" i="2"/>
  <c r="AL155" i="2"/>
  <c r="AL154" i="2"/>
  <c r="AL153" i="2"/>
  <c r="AL152" i="2"/>
  <c r="AL151" i="2"/>
  <c r="AL150" i="2"/>
  <c r="AL149" i="2"/>
  <c r="AL148" i="2"/>
  <c r="AL147" i="2"/>
  <c r="AL146" i="2"/>
  <c r="AL145" i="2"/>
  <c r="AL144" i="2"/>
  <c r="AL143" i="2"/>
  <c r="AL142" i="2"/>
  <c r="AL141" i="2"/>
  <c r="AL140" i="2"/>
  <c r="AL139" i="2"/>
  <c r="AL138" i="2"/>
  <c r="AL137" i="2"/>
  <c r="AL136" i="2"/>
  <c r="AL135" i="2"/>
  <c r="AL134" i="2"/>
  <c r="AL133" i="2"/>
  <c r="AL132" i="2"/>
  <c r="AL131" i="2"/>
  <c r="AL130" i="2"/>
  <c r="AL129" i="2"/>
  <c r="AL128" i="2"/>
  <c r="AL127" i="2"/>
  <c r="AL126" i="2"/>
  <c r="AL125" i="2"/>
  <c r="AL124" i="2"/>
  <c r="AL123" i="2"/>
  <c r="AL122" i="2"/>
  <c r="AL121" i="2"/>
  <c r="AL120" i="2"/>
  <c r="AL119" i="2"/>
  <c r="AL118" i="2"/>
  <c r="AL117" i="2"/>
  <c r="AL116" i="2"/>
  <c r="AL115" i="2"/>
  <c r="AL114" i="2"/>
  <c r="AL113" i="2"/>
  <c r="AL112" i="2"/>
  <c r="AL111" i="2"/>
  <c r="AL110" i="2"/>
  <c r="AL109" i="2"/>
  <c r="AL108" i="2"/>
  <c r="AL107" i="2"/>
  <c r="AL106" i="2"/>
  <c r="AL105" i="2"/>
  <c r="AL104" i="2"/>
  <c r="AL103" i="2"/>
  <c r="AL102" i="2"/>
  <c r="AL101" i="2"/>
  <c r="AL100" i="2"/>
  <c r="AL99" i="2"/>
  <c r="AL98" i="2"/>
  <c r="AL97" i="2"/>
  <c r="AL96" i="2"/>
  <c r="AL95" i="2"/>
  <c r="AL94" i="2"/>
  <c r="AL93" i="2"/>
  <c r="AL92" i="2"/>
  <c r="AL91" i="2"/>
  <c r="AL90" i="2"/>
  <c r="AL89" i="2"/>
  <c r="AL88" i="2"/>
  <c r="AL87" i="2"/>
  <c r="AL86" i="2"/>
  <c r="AL85" i="2"/>
  <c r="AL84" i="2"/>
  <c r="AL83" i="2"/>
  <c r="AL82" i="2"/>
  <c r="AL81" i="2"/>
  <c r="AL80" i="2"/>
  <c r="AL79" i="2"/>
  <c r="AL78" i="2"/>
  <c r="AL77" i="2"/>
  <c r="AL76" i="2"/>
  <c r="AL75" i="2"/>
  <c r="AL74" i="2"/>
  <c r="AL73" i="2"/>
  <c r="AL72" i="2"/>
  <c r="AL71" i="2"/>
  <c r="AL70" i="2"/>
  <c r="AL69" i="2"/>
  <c r="AL68" i="2"/>
  <c r="AL67" i="2"/>
  <c r="AL66" i="2"/>
  <c r="AL65" i="2"/>
  <c r="AL64" i="2"/>
  <c r="AL63" i="2"/>
  <c r="AL62" i="2"/>
  <c r="AL61" i="2"/>
  <c r="AL60" i="2"/>
  <c r="AL59" i="2"/>
  <c r="AL58" i="2"/>
  <c r="AL57" i="2"/>
  <c r="AL56" i="2"/>
  <c r="AL55" i="2"/>
  <c r="AL54" i="2"/>
  <c r="AL53" i="2"/>
  <c r="AL52" i="2"/>
  <c r="AL51" i="2"/>
  <c r="AL50" i="2"/>
  <c r="AL49" i="2"/>
  <c r="AL48" i="2"/>
  <c r="AL47" i="2"/>
  <c r="AL46" i="2"/>
  <c r="AL45" i="2"/>
  <c r="AL44" i="2"/>
  <c r="AL43" i="2"/>
  <c r="AL42" i="2"/>
  <c r="AL41" i="2"/>
  <c r="AL40" i="2"/>
  <c r="AL39" i="2"/>
  <c r="AL38" i="2"/>
  <c r="AL37" i="2"/>
  <c r="AL36" i="2"/>
  <c r="AL35" i="2"/>
  <c r="AL34" i="2"/>
  <c r="AL33" i="2"/>
  <c r="AL32" i="2"/>
  <c r="AL31" i="2"/>
  <c r="AL30" i="2"/>
  <c r="AL29" i="2"/>
  <c r="AL28" i="2"/>
  <c r="AL27" i="2"/>
  <c r="AL26" i="2"/>
  <c r="AL25" i="2"/>
  <c r="AL24" i="2"/>
  <c r="AL23" i="2"/>
  <c r="AL22" i="2"/>
  <c r="AL21" i="2"/>
  <c r="AL20" i="2"/>
  <c r="AL19" i="2"/>
  <c r="AL18" i="2"/>
  <c r="AL17" i="2"/>
  <c r="AL16" i="2"/>
  <c r="AL15" i="2"/>
  <c r="AL14" i="2"/>
  <c r="AL13" i="2"/>
  <c r="AL12" i="2"/>
  <c r="AL11" i="2"/>
  <c r="AL10" i="2"/>
  <c r="AL9" i="2"/>
  <c r="AP476" i="2"/>
  <c r="AP474" i="2"/>
  <c r="AP473" i="2"/>
  <c r="AP472" i="2"/>
  <c r="AP471" i="2"/>
  <c r="AP470" i="2"/>
  <c r="AP469" i="2"/>
  <c r="AP468" i="2"/>
  <c r="AP467" i="2"/>
  <c r="AP466" i="2"/>
  <c r="AP465" i="2"/>
  <c r="AP464" i="2"/>
  <c r="AP463" i="2"/>
  <c r="AP462" i="2"/>
  <c r="AP461" i="2"/>
  <c r="AP460" i="2"/>
  <c r="AP459" i="2"/>
  <c r="AP458" i="2"/>
  <c r="AP457" i="2"/>
  <c r="AP456" i="2"/>
  <c r="AP455" i="2"/>
  <c r="AP454" i="2"/>
  <c r="AP453" i="2"/>
  <c r="AP452" i="2"/>
  <c r="AP451" i="2"/>
  <c r="AP450" i="2"/>
  <c r="AP449" i="2"/>
  <c r="AP448" i="2"/>
  <c r="AP447" i="2"/>
  <c r="AP446" i="2"/>
  <c r="AP445" i="2"/>
  <c r="AP444" i="2"/>
  <c r="AP443" i="2"/>
  <c r="AP442" i="2"/>
  <c r="AP441" i="2"/>
  <c r="AP440" i="2"/>
  <c r="AP439" i="2"/>
  <c r="AP438" i="2"/>
  <c r="AP437" i="2"/>
  <c r="AP436" i="2"/>
  <c r="AP435" i="2"/>
  <c r="AP434" i="2"/>
  <c r="AP433" i="2"/>
  <c r="AP432" i="2"/>
  <c r="AP431" i="2"/>
  <c r="AP430" i="2"/>
  <c r="AP429" i="2"/>
  <c r="AP428" i="2"/>
  <c r="AP427" i="2"/>
  <c r="AP426" i="2"/>
  <c r="AP425" i="2"/>
  <c r="AP424" i="2"/>
  <c r="AP423" i="2"/>
  <c r="AP422" i="2"/>
  <c r="AP421" i="2"/>
  <c r="AP420" i="2"/>
  <c r="AP419" i="2"/>
  <c r="AP418" i="2"/>
  <c r="AP417" i="2"/>
  <c r="AP416" i="2"/>
  <c r="AP415" i="2"/>
  <c r="AP414" i="2"/>
  <c r="AP413" i="2"/>
  <c r="AP412" i="2"/>
  <c r="AP411" i="2"/>
  <c r="AP410" i="2"/>
  <c r="AP409" i="2"/>
  <c r="AP408" i="2"/>
  <c r="AP407" i="2"/>
  <c r="AP406" i="2"/>
  <c r="AP405" i="2"/>
  <c r="AP404" i="2"/>
  <c r="AP403" i="2"/>
  <c r="AP402" i="2"/>
  <c r="AP401" i="2"/>
  <c r="AP400" i="2"/>
  <c r="AP399" i="2"/>
  <c r="AP398" i="2"/>
  <c r="AP397" i="2"/>
  <c r="AP396" i="2"/>
  <c r="AP395" i="2"/>
  <c r="AP394" i="2"/>
  <c r="AP393" i="2"/>
  <c r="AP392" i="2"/>
  <c r="AP391" i="2"/>
  <c r="AP390" i="2"/>
  <c r="AP389" i="2"/>
  <c r="AP388" i="2"/>
  <c r="AP387" i="2"/>
  <c r="AP386" i="2"/>
  <c r="AP385" i="2"/>
  <c r="AP384" i="2"/>
  <c r="AP383" i="2"/>
  <c r="AP382" i="2"/>
  <c r="AP381" i="2"/>
  <c r="AP380" i="2"/>
  <c r="AP379" i="2"/>
  <c r="AP378" i="2"/>
  <c r="AP377" i="2"/>
  <c r="AP376" i="2"/>
  <c r="AP375" i="2"/>
  <c r="AP374" i="2"/>
  <c r="AP373" i="2"/>
  <c r="AP372" i="2"/>
  <c r="AP371" i="2"/>
  <c r="AP370" i="2"/>
  <c r="AP369" i="2"/>
  <c r="AP368" i="2"/>
  <c r="AP367" i="2"/>
  <c r="AP366" i="2"/>
  <c r="AP365" i="2"/>
  <c r="AP364" i="2"/>
  <c r="AP363" i="2"/>
  <c r="AP362" i="2"/>
  <c r="AP361" i="2"/>
  <c r="AP360" i="2"/>
  <c r="AP359" i="2"/>
  <c r="AP358" i="2"/>
  <c r="AP357" i="2"/>
  <c r="AP356" i="2"/>
  <c r="AP355" i="2"/>
  <c r="AP354" i="2"/>
  <c r="AP353" i="2"/>
  <c r="AP352" i="2"/>
  <c r="AP351" i="2"/>
  <c r="AP350" i="2"/>
  <c r="AP349" i="2"/>
  <c r="AP348" i="2"/>
  <c r="AP347" i="2"/>
  <c r="AP346" i="2"/>
  <c r="AP345" i="2"/>
  <c r="AP344" i="2"/>
  <c r="AP343" i="2"/>
  <c r="AP342" i="2"/>
  <c r="AP341" i="2"/>
  <c r="AP340" i="2"/>
  <c r="AP339" i="2"/>
  <c r="AP338" i="2"/>
  <c r="AP337" i="2"/>
  <c r="AP336" i="2"/>
  <c r="AP335" i="2"/>
  <c r="AP334" i="2"/>
  <c r="AP333" i="2"/>
  <c r="AP332" i="2"/>
  <c r="AP331" i="2"/>
  <c r="AP330" i="2"/>
  <c r="AP329" i="2"/>
  <c r="AP328" i="2"/>
  <c r="AP327" i="2"/>
  <c r="AP326" i="2"/>
  <c r="AP325" i="2"/>
  <c r="AP324" i="2"/>
  <c r="AP323" i="2"/>
  <c r="AP322" i="2"/>
  <c r="AP321" i="2"/>
  <c r="AP320" i="2"/>
  <c r="AP319" i="2"/>
  <c r="AP318" i="2"/>
  <c r="AP317" i="2"/>
  <c r="AP316" i="2"/>
  <c r="AP315" i="2"/>
  <c r="AP314" i="2"/>
  <c r="AP313" i="2"/>
  <c r="AP312" i="2"/>
  <c r="AP311" i="2"/>
  <c r="AP310" i="2"/>
  <c r="AP309" i="2"/>
  <c r="AP308" i="2"/>
  <c r="AP307" i="2"/>
  <c r="AP306" i="2"/>
  <c r="AP305" i="2"/>
  <c r="AP304" i="2"/>
  <c r="AP303" i="2"/>
  <c r="AP302" i="2"/>
  <c r="AP301" i="2"/>
  <c r="AP300" i="2"/>
  <c r="AP299" i="2"/>
  <c r="AP298" i="2"/>
  <c r="AP297" i="2"/>
  <c r="AP296" i="2"/>
  <c r="AP295" i="2"/>
  <c r="AP294" i="2"/>
  <c r="AP293" i="2"/>
  <c r="AP292" i="2"/>
  <c r="AP291" i="2"/>
  <c r="AP290" i="2"/>
  <c r="AP289" i="2"/>
  <c r="AP288" i="2"/>
  <c r="AP287" i="2"/>
  <c r="AP286" i="2"/>
  <c r="AP285" i="2"/>
  <c r="AP284" i="2"/>
  <c r="AP283" i="2"/>
  <c r="AP282" i="2"/>
  <c r="AP281" i="2"/>
  <c r="AP280" i="2"/>
  <c r="AP279" i="2"/>
  <c r="AP278" i="2"/>
  <c r="AP277" i="2"/>
  <c r="AP276" i="2"/>
  <c r="AP275" i="2"/>
  <c r="AP274" i="2"/>
  <c r="AP273" i="2"/>
  <c r="AP272" i="2"/>
  <c r="AP271" i="2"/>
  <c r="AP270" i="2"/>
  <c r="AP269" i="2"/>
  <c r="AP268" i="2"/>
  <c r="AP267" i="2"/>
  <c r="AP266" i="2"/>
  <c r="AP265" i="2"/>
  <c r="AP264" i="2"/>
  <c r="AP263" i="2"/>
  <c r="AP262" i="2"/>
  <c r="AP261" i="2"/>
  <c r="AP260" i="2"/>
  <c r="AP259" i="2"/>
  <c r="AP258" i="2"/>
  <c r="AP257" i="2"/>
  <c r="AP256" i="2"/>
  <c r="AP255" i="2"/>
  <c r="AP254" i="2"/>
  <c r="AP253" i="2"/>
  <c r="AP252" i="2"/>
  <c r="AP251" i="2"/>
  <c r="AP250" i="2"/>
  <c r="AP249" i="2"/>
  <c r="AP248" i="2"/>
  <c r="AP247" i="2"/>
  <c r="AP246" i="2"/>
  <c r="AP245" i="2"/>
  <c r="AP244" i="2"/>
  <c r="AP243" i="2"/>
  <c r="AP242" i="2"/>
  <c r="AP241" i="2"/>
  <c r="AP240" i="2"/>
  <c r="AP239" i="2"/>
  <c r="AP238" i="2"/>
  <c r="AP237" i="2"/>
  <c r="AP236" i="2"/>
  <c r="AP235" i="2"/>
  <c r="AP234" i="2"/>
  <c r="AP233" i="2"/>
  <c r="AP232" i="2"/>
  <c r="AP231" i="2"/>
  <c r="AP230" i="2"/>
  <c r="AP229" i="2"/>
  <c r="AP228" i="2"/>
  <c r="AP227" i="2"/>
  <c r="AP226" i="2"/>
  <c r="AP225" i="2"/>
  <c r="AP224" i="2"/>
  <c r="AP223" i="2"/>
  <c r="AP222" i="2"/>
  <c r="AP221" i="2"/>
  <c r="AP220" i="2"/>
  <c r="AP219" i="2"/>
  <c r="AP218" i="2"/>
  <c r="AP217" i="2"/>
  <c r="AP216" i="2"/>
  <c r="AP215" i="2"/>
  <c r="AP214" i="2"/>
  <c r="AP213" i="2"/>
  <c r="AP212" i="2"/>
  <c r="AP211" i="2"/>
  <c r="AP210" i="2"/>
  <c r="AP209" i="2"/>
  <c r="AP208" i="2"/>
  <c r="AP207" i="2"/>
  <c r="AP206" i="2"/>
  <c r="AP205" i="2"/>
  <c r="AP204" i="2"/>
  <c r="AP203" i="2"/>
  <c r="AP202" i="2"/>
  <c r="AP201" i="2"/>
  <c r="AP200" i="2"/>
  <c r="AP199" i="2"/>
  <c r="AP198" i="2"/>
  <c r="AP197" i="2"/>
  <c r="AP196" i="2"/>
  <c r="AP195" i="2"/>
  <c r="AP194" i="2"/>
  <c r="AP193" i="2"/>
  <c r="AP192" i="2"/>
  <c r="AP191" i="2"/>
  <c r="AP190" i="2"/>
  <c r="AP189" i="2"/>
  <c r="AP188" i="2"/>
  <c r="AP187" i="2"/>
  <c r="AP186" i="2"/>
  <c r="AP185" i="2"/>
  <c r="AP184" i="2"/>
  <c r="AP183" i="2"/>
  <c r="AP182" i="2"/>
  <c r="AP181" i="2"/>
  <c r="AP180" i="2"/>
  <c r="AP179" i="2"/>
  <c r="AP178" i="2"/>
  <c r="AP177" i="2"/>
  <c r="AP176" i="2"/>
  <c r="AP175" i="2"/>
  <c r="AP174" i="2"/>
  <c r="AP173" i="2"/>
  <c r="AP172" i="2"/>
  <c r="AP171" i="2"/>
  <c r="AP170" i="2"/>
  <c r="AP169" i="2"/>
  <c r="AP168" i="2"/>
  <c r="AP167" i="2"/>
  <c r="AP166" i="2"/>
  <c r="AP165" i="2"/>
  <c r="AP164" i="2"/>
  <c r="AP163" i="2"/>
  <c r="AP162" i="2"/>
  <c r="AP161" i="2"/>
  <c r="AP160" i="2"/>
  <c r="AP159" i="2"/>
  <c r="AP158" i="2"/>
  <c r="AP157" i="2"/>
  <c r="AP156" i="2"/>
  <c r="AP155" i="2"/>
  <c r="AP154" i="2"/>
  <c r="AP153" i="2"/>
  <c r="AP152" i="2"/>
  <c r="AP151" i="2"/>
  <c r="AP150" i="2"/>
  <c r="AP149" i="2"/>
  <c r="AP148" i="2"/>
  <c r="AP147" i="2"/>
  <c r="AP146" i="2"/>
  <c r="AP145" i="2"/>
  <c r="AP144" i="2"/>
  <c r="AP143" i="2"/>
  <c r="AP142" i="2"/>
  <c r="AP141" i="2"/>
  <c r="AP140" i="2"/>
  <c r="AP139" i="2"/>
  <c r="AP138" i="2"/>
  <c r="AP137" i="2"/>
  <c r="AP136" i="2"/>
  <c r="AP135" i="2"/>
  <c r="AP134" i="2"/>
  <c r="AP133" i="2"/>
  <c r="AP132" i="2"/>
  <c r="AP131" i="2"/>
  <c r="AP130" i="2"/>
  <c r="AP129" i="2"/>
  <c r="AP128" i="2"/>
  <c r="AP127" i="2"/>
  <c r="AP126" i="2"/>
  <c r="AP125" i="2"/>
  <c r="AP124" i="2"/>
  <c r="AP123" i="2"/>
  <c r="AP122" i="2"/>
  <c r="AP121" i="2"/>
  <c r="AP120" i="2"/>
  <c r="AP119" i="2"/>
  <c r="AP118" i="2"/>
  <c r="AP117" i="2"/>
  <c r="AP116" i="2"/>
  <c r="AP115" i="2"/>
  <c r="AP114" i="2"/>
  <c r="AP113" i="2"/>
  <c r="AP112" i="2"/>
  <c r="AP111" i="2"/>
  <c r="AP110" i="2"/>
  <c r="AP109" i="2"/>
  <c r="AP108" i="2"/>
  <c r="AP107" i="2"/>
  <c r="AP106" i="2"/>
  <c r="AP105" i="2"/>
  <c r="AP104" i="2"/>
  <c r="AP103" i="2"/>
  <c r="AP102" i="2"/>
  <c r="AP101" i="2"/>
  <c r="AP100" i="2"/>
  <c r="AP99" i="2"/>
  <c r="AP98" i="2"/>
  <c r="AP97" i="2"/>
  <c r="AP96" i="2"/>
  <c r="AP95" i="2"/>
  <c r="AP94" i="2"/>
  <c r="AP93" i="2"/>
  <c r="AP92" i="2"/>
  <c r="AP91" i="2"/>
  <c r="AP90" i="2"/>
  <c r="AP89" i="2"/>
  <c r="AP88" i="2"/>
  <c r="AP87" i="2"/>
  <c r="AP86" i="2"/>
  <c r="AP85" i="2"/>
  <c r="AP84" i="2"/>
  <c r="AP83" i="2"/>
  <c r="AP82" i="2"/>
  <c r="AP81" i="2"/>
  <c r="AP80" i="2"/>
  <c r="AP79" i="2"/>
  <c r="AP78" i="2"/>
  <c r="AP77" i="2"/>
  <c r="AP76" i="2"/>
  <c r="AP75" i="2"/>
  <c r="AP74" i="2"/>
  <c r="AP73" i="2"/>
  <c r="AP72" i="2"/>
  <c r="AP71" i="2"/>
  <c r="AP70" i="2"/>
  <c r="AP69" i="2"/>
  <c r="AP68" i="2"/>
  <c r="AP67" i="2"/>
  <c r="AP66" i="2"/>
  <c r="AP65" i="2"/>
  <c r="AP64" i="2"/>
  <c r="AP63" i="2"/>
  <c r="AP62" i="2"/>
  <c r="AP61" i="2"/>
  <c r="AP60" i="2"/>
  <c r="AP59" i="2"/>
  <c r="AP58" i="2"/>
  <c r="AP57" i="2"/>
  <c r="AP56" i="2"/>
  <c r="AP55" i="2"/>
  <c r="AP54" i="2"/>
  <c r="AP53" i="2"/>
  <c r="AP52" i="2"/>
  <c r="AP51" i="2"/>
  <c r="AP50" i="2"/>
  <c r="AP49" i="2"/>
  <c r="AP48" i="2"/>
  <c r="AP47" i="2"/>
  <c r="AP46" i="2"/>
  <c r="AP45" i="2"/>
  <c r="AP44" i="2"/>
  <c r="AP43" i="2"/>
  <c r="AP42" i="2"/>
  <c r="AP41" i="2"/>
  <c r="AP40" i="2"/>
  <c r="AP39" i="2"/>
  <c r="AP38" i="2"/>
  <c r="AP37" i="2"/>
  <c r="AP36" i="2"/>
  <c r="AP35" i="2"/>
  <c r="AP34" i="2"/>
  <c r="AP33" i="2"/>
  <c r="AP32" i="2"/>
  <c r="AP31" i="2"/>
  <c r="AP30" i="2"/>
  <c r="AP29" i="2"/>
  <c r="AP28" i="2"/>
  <c r="AP27" i="2"/>
  <c r="AP26" i="2"/>
  <c r="AP25" i="2"/>
  <c r="AP24" i="2"/>
  <c r="AP23" i="2"/>
  <c r="AP22" i="2"/>
  <c r="AP21" i="2"/>
  <c r="AP20" i="2"/>
  <c r="AP19" i="2"/>
  <c r="AP18" i="2"/>
  <c r="AP17" i="2"/>
  <c r="AP16" i="2"/>
  <c r="AP15" i="2"/>
  <c r="AP14" i="2"/>
  <c r="AP13" i="2"/>
  <c r="AP12" i="2"/>
  <c r="AP11" i="2"/>
  <c r="AP10" i="2"/>
  <c r="AP9" i="2"/>
  <c r="BE286" i="2"/>
  <c r="BF286" i="2" s="1"/>
  <c r="BA286" i="2"/>
  <c r="BB286" i="2" s="1"/>
  <c r="AW286" i="2"/>
  <c r="AX286" i="2" s="1"/>
  <c r="AS286" i="2"/>
  <c r="AT286" i="2" s="1"/>
  <c r="AC286" i="2"/>
  <c r="AD286" i="2" s="1"/>
  <c r="Y286" i="2"/>
  <c r="Z286" i="2" s="1"/>
  <c r="U286" i="2"/>
  <c r="V286" i="2" s="1"/>
  <c r="Q286" i="2"/>
  <c r="I286" i="2"/>
  <c r="J286" i="2" s="1"/>
  <c r="BE285" i="2"/>
  <c r="BF285" i="2" s="1"/>
  <c r="BA285" i="2"/>
  <c r="BB285" i="2" s="1"/>
  <c r="AW285" i="2"/>
  <c r="AX285" i="2" s="1"/>
  <c r="AS285" i="2"/>
  <c r="AT285" i="2" s="1"/>
  <c r="AC285" i="2"/>
  <c r="AD285" i="2" s="1"/>
  <c r="Y285" i="2"/>
  <c r="Z285" i="2" s="1"/>
  <c r="U285" i="2"/>
  <c r="V285" i="2" s="1"/>
  <c r="Q285" i="2"/>
  <c r="R285" i="2" s="1"/>
  <c r="I285" i="2"/>
  <c r="J285" i="2" s="1"/>
  <c r="BE284" i="2"/>
  <c r="BF284" i="2" s="1"/>
  <c r="BA284" i="2"/>
  <c r="BB284" i="2" s="1"/>
  <c r="AW284" i="2"/>
  <c r="AX284" i="2" s="1"/>
  <c r="AS284" i="2"/>
  <c r="AT284" i="2" s="1"/>
  <c r="AC284" i="2"/>
  <c r="AD284" i="2" s="1"/>
  <c r="Y284" i="2"/>
  <c r="Z284" i="2" s="1"/>
  <c r="U284" i="2"/>
  <c r="V284" i="2" s="1"/>
  <c r="Q284" i="2"/>
  <c r="I284" i="2"/>
  <c r="J284" i="2" s="1"/>
  <c r="E28" i="17"/>
  <c r="E29" i="17"/>
  <c r="E27" i="17"/>
  <c r="D28" i="17"/>
  <c r="D29" i="17"/>
  <c r="D27" i="17"/>
  <c r="C29" i="17"/>
  <c r="C28" i="17"/>
  <c r="D31" i="17"/>
  <c r="D32" i="17"/>
  <c r="D30" i="17"/>
  <c r="D4" i="17"/>
  <c r="D5" i="17"/>
  <c r="D3" i="17"/>
  <c r="E22" i="17"/>
  <c r="E23" i="17"/>
  <c r="E21" i="17"/>
  <c r="B173" i="5" l="1"/>
  <c r="B178" i="5" s="1"/>
  <c r="B186" i="5" s="1"/>
  <c r="M286" i="2"/>
  <c r="N286" i="2" s="1"/>
  <c r="R286" i="2"/>
  <c r="M284" i="2"/>
  <c r="N284" i="2" s="1"/>
  <c r="R284" i="2"/>
  <c r="M285" i="2"/>
  <c r="N285" i="2" s="1"/>
  <c r="E16" i="17"/>
  <c r="E17" i="17" s="1"/>
  <c r="E18" i="17" s="1"/>
  <c r="E19" i="17" s="1"/>
  <c r="E20" i="17" s="1"/>
  <c r="D16" i="17"/>
  <c r="D17" i="17"/>
  <c r="D18" i="17"/>
  <c r="D15" i="17"/>
  <c r="C18" i="17"/>
  <c r="U72" i="18"/>
  <c r="Q72" i="18"/>
  <c r="T72" i="18" s="1"/>
  <c r="M72" i="18"/>
  <c r="L72" i="18"/>
  <c r="J72" i="18"/>
  <c r="H72" i="18"/>
  <c r="G72" i="18"/>
  <c r="D45" i="4"/>
  <c r="D44" i="4"/>
  <c r="B187" i="5" l="1"/>
  <c r="B188" i="5" s="1"/>
  <c r="B189" i="5" s="1"/>
  <c r="B190" i="5" s="1"/>
  <c r="B191" i="5" s="1"/>
  <c r="B192" i="5" s="1"/>
  <c r="B193" i="5" s="1"/>
  <c r="B194" i="5" s="1"/>
  <c r="B195" i="5" s="1"/>
  <c r="B196" i="5" s="1"/>
  <c r="B197" i="5" s="1"/>
  <c r="B206" i="5" s="1"/>
  <c r="B207" i="5" s="1"/>
  <c r="B208" i="5" s="1"/>
  <c r="B209" i="5" s="1"/>
  <c r="B210" i="5" s="1"/>
  <c r="B211" i="5" s="1"/>
  <c r="B212" i="5" s="1"/>
  <c r="B213" i="5" s="1"/>
  <c r="B214" i="5" s="1"/>
  <c r="B215" i="5" s="1"/>
  <c r="B216" i="5" s="1"/>
  <c r="B217" i="5" s="1"/>
  <c r="B223" i="5" s="1"/>
  <c r="B224" i="5" s="1"/>
  <c r="B225" i="5" s="1"/>
  <c r="B226" i="5" s="1"/>
  <c r="B227" i="5" s="1"/>
  <c r="B228" i="5" s="1"/>
  <c r="B229" i="5" s="1"/>
  <c r="B230" i="5" s="1"/>
  <c r="B231" i="5" s="1"/>
  <c r="B232" i="5" s="1"/>
  <c r="B233" i="5" s="1"/>
  <c r="B234" i="5" s="1"/>
  <c r="AA72" i="18"/>
  <c r="F72" i="18"/>
  <c r="I72" i="18" s="1"/>
  <c r="AB72" i="18"/>
  <c r="X72" i="18"/>
  <c r="N72" i="18"/>
  <c r="Y72" i="18"/>
  <c r="Z72" i="18" s="1"/>
  <c r="S72" i="18"/>
  <c r="P72" i="18"/>
  <c r="B240" i="5" l="1"/>
  <c r="E10" i="17"/>
  <c r="E11" i="17"/>
  <c r="E12" i="17"/>
  <c r="E13" i="17"/>
  <c r="E14" i="17"/>
  <c r="E9" i="17"/>
  <c r="E4" i="17"/>
  <c r="E5" i="17"/>
  <c r="E3" i="17"/>
  <c r="B244" i="5" l="1"/>
  <c r="B245" i="5" s="1"/>
  <c r="B252" i="5" s="1"/>
  <c r="B253" i="5" s="1"/>
  <c r="B254" i="5" s="1"/>
  <c r="B255" i="5" s="1"/>
  <c r="B256" i="5" s="1"/>
  <c r="B257" i="5" s="1"/>
  <c r="B258" i="5" s="1"/>
  <c r="B259" i="5" s="1"/>
  <c r="B260" i="5" s="1"/>
  <c r="B261" i="5" s="1"/>
  <c r="B262" i="5" s="1"/>
  <c r="B263" i="5" s="1"/>
  <c r="B270" i="5" s="1"/>
  <c r="D43" i="4"/>
  <c r="D42" i="4"/>
  <c r="F24" i="5" s="1"/>
  <c r="D41" i="4"/>
  <c r="D40" i="4"/>
  <c r="D39" i="4"/>
  <c r="D38" i="4"/>
  <c r="D37" i="4"/>
  <c r="D36" i="4"/>
  <c r="D35" i="4"/>
  <c r="D34" i="4"/>
  <c r="C26" i="8" s="1"/>
  <c r="D33" i="4"/>
  <c r="D32" i="4"/>
  <c r="D31" i="4"/>
  <c r="AA20" i="15" s="1"/>
  <c r="AA63" i="15" l="1"/>
  <c r="AA68" i="15"/>
  <c r="AA62" i="15"/>
  <c r="AA69" i="15"/>
  <c r="AA64" i="15"/>
  <c r="G62" i="5"/>
  <c r="B139" i="6" s="1"/>
  <c r="AA22" i="15"/>
  <c r="AA21" i="15"/>
  <c r="C24" i="8"/>
  <c r="C143" i="6"/>
  <c r="D186" i="6"/>
  <c r="D75" i="10"/>
  <c r="D76" i="10" s="1"/>
  <c r="B32" i="11"/>
  <c r="D14" i="17"/>
  <c r="C14" i="17"/>
  <c r="D13" i="17"/>
  <c r="C13" i="17"/>
  <c r="D12" i="17"/>
  <c r="C12" i="17"/>
  <c r="E409" i="11"/>
  <c r="D409" i="11"/>
  <c r="C409" i="11"/>
  <c r="E408" i="11"/>
  <c r="D408" i="11"/>
  <c r="C408" i="11"/>
  <c r="B409" i="11"/>
  <c r="B408" i="11"/>
  <c r="B398" i="11"/>
  <c r="C398" i="11"/>
  <c r="D398" i="11"/>
  <c r="E398" i="11"/>
  <c r="B399" i="11"/>
  <c r="C399" i="11"/>
  <c r="D399" i="11"/>
  <c r="E399" i="11"/>
  <c r="C28" i="8" l="1"/>
  <c r="A62" i="15"/>
  <c r="AD62" i="15" s="1"/>
  <c r="D111" i="20"/>
  <c r="I64" i="5"/>
  <c r="I62" i="5"/>
  <c r="I61" i="5"/>
  <c r="I57" i="5"/>
  <c r="I56" i="5"/>
  <c r="I55" i="5"/>
  <c r="I54" i="5"/>
  <c r="I44" i="5"/>
  <c r="I66" i="5"/>
  <c r="I65" i="5"/>
  <c r="I63" i="5"/>
  <c r="I60" i="5"/>
  <c r="I53" i="5"/>
  <c r="I51" i="5"/>
  <c r="I50" i="5"/>
  <c r="I46" i="5"/>
  <c r="I45" i="5"/>
  <c r="L20" i="18" l="1"/>
  <c r="AB20" i="18" s="1"/>
  <c r="F6" i="10"/>
  <c r="T32" i="18" l="1"/>
  <c r="T31" i="18"/>
  <c r="Q32" i="18"/>
  <c r="P32" i="18" s="1"/>
  <c r="Q31" i="18"/>
  <c r="P31" i="18" s="1"/>
  <c r="T26" i="18"/>
  <c r="T27" i="18"/>
  <c r="T25" i="18"/>
  <c r="Q26" i="18"/>
  <c r="Q27" i="18"/>
  <c r="Q25" i="18"/>
  <c r="D57" i="18" l="1"/>
  <c r="E57" i="18"/>
  <c r="V57" i="18" s="1"/>
  <c r="W57" i="18" s="1"/>
  <c r="Y57" i="18"/>
  <c r="Z57" i="18" s="1"/>
  <c r="X57" i="18"/>
  <c r="I57" i="18"/>
  <c r="H57" i="18"/>
  <c r="R57" i="18" l="1"/>
  <c r="U57" i="18" s="1"/>
  <c r="Q57" i="18"/>
  <c r="T57" i="18" s="1"/>
  <c r="J57" i="18"/>
  <c r="N57" i="18" l="1"/>
  <c r="AA57" i="18"/>
  <c r="S57" i="18"/>
  <c r="P57" i="18"/>
  <c r="O57" i="18" l="1"/>
  <c r="Q19" i="18"/>
  <c r="T19" i="18" s="1"/>
  <c r="L19" i="18"/>
  <c r="AB19" i="18" s="1"/>
  <c r="H19" i="18"/>
  <c r="G19" i="18"/>
  <c r="V19" i="18"/>
  <c r="W19" i="18" s="1"/>
  <c r="U19" i="18"/>
  <c r="J19" i="18"/>
  <c r="AA19" i="18" s="1"/>
  <c r="C19" i="18"/>
  <c r="X19" i="18" l="1"/>
  <c r="N19" i="18"/>
  <c r="S19" i="18"/>
  <c r="Y19" i="18"/>
  <c r="Z19" i="18" s="1"/>
  <c r="F19" i="18"/>
  <c r="I19" i="18" s="1"/>
  <c r="P19" i="18"/>
  <c r="O19" i="18" l="1"/>
  <c r="V45" i="18"/>
  <c r="W45" i="18" s="1"/>
  <c r="U45" i="18"/>
  <c r="Q45" i="18"/>
  <c r="T45" i="18" s="1"/>
  <c r="M45" i="18"/>
  <c r="L45" i="18"/>
  <c r="J45" i="18"/>
  <c r="H45" i="18"/>
  <c r="G45" i="18"/>
  <c r="C45" i="18"/>
  <c r="V44" i="18"/>
  <c r="W44" i="18" s="1"/>
  <c r="U44" i="18"/>
  <c r="Q44" i="18"/>
  <c r="T44" i="18" s="1"/>
  <c r="M44" i="18"/>
  <c r="L44" i="18"/>
  <c r="J44" i="18"/>
  <c r="H44" i="18"/>
  <c r="G44" i="18"/>
  <c r="C44" i="18"/>
  <c r="V43" i="18"/>
  <c r="W43" i="18" s="1"/>
  <c r="U43" i="18"/>
  <c r="Q43" i="18"/>
  <c r="T43" i="18" s="1"/>
  <c r="M43" i="18"/>
  <c r="L43" i="18"/>
  <c r="J43" i="18"/>
  <c r="H43" i="18"/>
  <c r="G43" i="18"/>
  <c r="C43" i="18"/>
  <c r="Q39" i="18"/>
  <c r="T39" i="18" s="1"/>
  <c r="Q21" i="18"/>
  <c r="Q14" i="18"/>
  <c r="Q16" i="18"/>
  <c r="Q18" i="18"/>
  <c r="V72" i="18"/>
  <c r="W72" i="18"/>
  <c r="O72" i="18" s="1"/>
  <c r="B27" i="11"/>
  <c r="AA45" i="18" l="1"/>
  <c r="AB43" i="18"/>
  <c r="AA43" i="18"/>
  <c r="AB44" i="18"/>
  <c r="AB45" i="18"/>
  <c r="AA44" i="18"/>
  <c r="F45" i="18"/>
  <c r="I45" i="18" s="1"/>
  <c r="X45" i="18"/>
  <c r="Y44" i="18"/>
  <c r="Z44" i="18" s="1"/>
  <c r="Y45" i="18"/>
  <c r="Z45" i="18" s="1"/>
  <c r="Y43" i="18"/>
  <c r="Z43" i="18" s="1"/>
  <c r="N45" i="18"/>
  <c r="S44" i="18"/>
  <c r="P44" i="18"/>
  <c r="S45" i="18"/>
  <c r="X44" i="18"/>
  <c r="F44" i="18"/>
  <c r="N44" i="18"/>
  <c r="P45" i="18"/>
  <c r="P43" i="18"/>
  <c r="S43" i="18"/>
  <c r="X43" i="18"/>
  <c r="F43" i="18"/>
  <c r="N43" i="18"/>
  <c r="O44" i="18" l="1"/>
  <c r="O43" i="18"/>
  <c r="O45" i="18"/>
  <c r="I44" i="18"/>
  <c r="I43" i="18"/>
  <c r="I18" i="11" l="1"/>
  <c r="I16" i="11"/>
  <c r="I13" i="11"/>
  <c r="I12" i="11"/>
  <c r="I9" i="11"/>
  <c r="B9" i="11"/>
  <c r="V42" i="18"/>
  <c r="W42" i="18" s="1"/>
  <c r="Q42" i="18"/>
  <c r="T42" i="18" s="1"/>
  <c r="U42" i="18"/>
  <c r="L42" i="18"/>
  <c r="M42" i="18"/>
  <c r="J42" i="18"/>
  <c r="G42" i="18"/>
  <c r="H42" i="18"/>
  <c r="C42" i="18"/>
  <c r="AA42" i="18" l="1"/>
  <c r="AB42" i="18"/>
  <c r="N42" i="18"/>
  <c r="S42" i="18"/>
  <c r="P42" i="18"/>
  <c r="X42" i="18"/>
  <c r="F42" i="18"/>
  <c r="I42" i="18" s="1"/>
  <c r="Y42" i="18"/>
  <c r="Z42" i="18" s="1"/>
  <c r="Q224" i="5"/>
  <c r="Q225" i="5"/>
  <c r="Q226" i="5"/>
  <c r="Q227" i="5"/>
  <c r="Q228" i="5"/>
  <c r="Q229" i="5"/>
  <c r="Q230" i="5"/>
  <c r="Q231" i="5"/>
  <c r="Q232" i="5"/>
  <c r="Q233" i="5"/>
  <c r="Q234" i="5"/>
  <c r="Q223" i="5"/>
  <c r="W224" i="5"/>
  <c r="W225" i="5"/>
  <c r="W226" i="5"/>
  <c r="W227" i="5"/>
  <c r="W228" i="5"/>
  <c r="W229" i="5"/>
  <c r="W230" i="5"/>
  <c r="W231" i="5"/>
  <c r="W232" i="5"/>
  <c r="W233" i="5"/>
  <c r="W234" i="5"/>
  <c r="W223" i="5"/>
  <c r="W235" i="5" l="1"/>
  <c r="Q235" i="5"/>
  <c r="O42" i="18"/>
  <c r="AE58" i="15" l="1"/>
  <c r="Z58" i="15"/>
  <c r="B18" i="11" l="1"/>
  <c r="AB33" i="15" l="1"/>
  <c r="AB32" i="15" s="1"/>
  <c r="P32" i="15" s="1"/>
  <c r="AA43" i="15" l="1"/>
  <c r="AA48" i="15"/>
  <c r="D169" i="6"/>
  <c r="D167" i="20" s="1"/>
  <c r="I21" i="11"/>
  <c r="B13" i="11"/>
  <c r="E15" i="5"/>
  <c r="D15" i="5"/>
  <c r="A48" i="15" l="1"/>
  <c r="AD48" i="15" s="1"/>
  <c r="A43" i="15"/>
  <c r="AD43" i="15" s="1"/>
  <c r="V234" i="5"/>
  <c r="V233" i="5"/>
  <c r="V232" i="5"/>
  <c r="V231" i="5"/>
  <c r="V230" i="5"/>
  <c r="V229" i="5"/>
  <c r="V228" i="5"/>
  <c r="V227" i="5"/>
  <c r="V226" i="5"/>
  <c r="V225" i="5"/>
  <c r="V224" i="5"/>
  <c r="V223" i="5"/>
  <c r="V235" i="5" l="1"/>
  <c r="I262" i="5" l="1"/>
  <c r="L262" i="5" s="1"/>
  <c r="D22" i="17" l="1"/>
  <c r="D23" i="17"/>
  <c r="D21" i="17"/>
  <c r="D9" i="17"/>
  <c r="D11" i="17"/>
  <c r="D10" i="17"/>
  <c r="I6" i="11" l="1"/>
  <c r="I5" i="11"/>
  <c r="I261" i="5"/>
  <c r="I263" i="5"/>
  <c r="L263" i="5" s="1"/>
  <c r="I253" i="5"/>
  <c r="I254" i="5"/>
  <c r="L254" i="5" s="1"/>
  <c r="I255" i="5"/>
  <c r="I256" i="5"/>
  <c r="L253" i="5" l="1"/>
  <c r="L256" i="5"/>
  <c r="K256" i="5"/>
  <c r="L255" i="5"/>
  <c r="K255" i="5"/>
  <c r="L261" i="5"/>
  <c r="K261" i="5"/>
  <c r="AE110" i="6"/>
  <c r="AC110" i="6"/>
  <c r="AA110" i="6"/>
  <c r="Y110" i="6"/>
  <c r="W110" i="6"/>
  <c r="U110" i="6"/>
  <c r="S110" i="6"/>
  <c r="Q110" i="6"/>
  <c r="O110" i="6"/>
  <c r="M110" i="6"/>
  <c r="K110" i="6"/>
  <c r="I110" i="6"/>
  <c r="C110" i="6"/>
  <c r="D14" i="16" l="1"/>
  <c r="D13" i="16"/>
  <c r="R146" i="20" l="1"/>
  <c r="AE93" i="20" s="1"/>
  <c r="Q146" i="20"/>
  <c r="AC93" i="20" s="1"/>
  <c r="J146" i="20"/>
  <c r="O93" i="20" s="1"/>
  <c r="I146" i="20"/>
  <c r="M93" i="20" s="1"/>
  <c r="H146" i="20"/>
  <c r="K93" i="20" s="1"/>
  <c r="G146" i="20"/>
  <c r="I93" i="20" s="1"/>
  <c r="T14" i="18" l="1"/>
  <c r="U14" i="18"/>
  <c r="S14" i="18" l="1"/>
  <c r="P14" i="18"/>
  <c r="D56" i="18" l="1"/>
  <c r="E56" i="18"/>
  <c r="V56" i="18" s="1"/>
  <c r="W56" i="18" s="1"/>
  <c r="D58" i="18"/>
  <c r="E58" i="18"/>
  <c r="D60" i="18"/>
  <c r="E60" i="18"/>
  <c r="L60" i="18" s="1"/>
  <c r="AB60" i="18" s="1"/>
  <c r="D61" i="18"/>
  <c r="E61" i="18"/>
  <c r="V61" i="18" s="1"/>
  <c r="W61" i="18" s="1"/>
  <c r="D62" i="18"/>
  <c r="E62" i="18"/>
  <c r="V62" i="18" s="1"/>
  <c r="W62" i="18" s="1"/>
  <c r="D63" i="18"/>
  <c r="E63" i="18"/>
  <c r="V63" i="18" s="1"/>
  <c r="W63" i="18" s="1"/>
  <c r="D64" i="18"/>
  <c r="E64" i="18"/>
  <c r="D65" i="18"/>
  <c r="E65" i="18"/>
  <c r="D68" i="18"/>
  <c r="E68" i="18"/>
  <c r="D69" i="18"/>
  <c r="E69" i="18"/>
  <c r="D70" i="18"/>
  <c r="E70" i="18"/>
  <c r="D71" i="18"/>
  <c r="E71" i="18"/>
  <c r="D73" i="18"/>
  <c r="E73" i="18"/>
  <c r="D74" i="18"/>
  <c r="E74" i="18"/>
  <c r="E55" i="18"/>
  <c r="V55" i="18" s="1"/>
  <c r="D55" i="18"/>
  <c r="J7" i="18"/>
  <c r="J8" i="18"/>
  <c r="J9" i="18"/>
  <c r="J10" i="18"/>
  <c r="J14" i="18"/>
  <c r="AA14" i="18" s="1"/>
  <c r="J18" i="18"/>
  <c r="AA18" i="18" s="1"/>
  <c r="J20" i="18"/>
  <c r="AA20" i="18" s="1"/>
  <c r="J21" i="18"/>
  <c r="AA21" i="18" s="1"/>
  <c r="J25" i="18"/>
  <c r="AA25" i="18" s="1"/>
  <c r="J26" i="18"/>
  <c r="AA26" i="18" s="1"/>
  <c r="J27" i="18"/>
  <c r="AA27" i="18" s="1"/>
  <c r="J31" i="18"/>
  <c r="AA31" i="18" s="1"/>
  <c r="J32" i="18"/>
  <c r="AA32" i="18" s="1"/>
  <c r="J38" i="18"/>
  <c r="J41" i="18"/>
  <c r="J47" i="18"/>
  <c r="AA47" i="18" s="1"/>
  <c r="V51" i="18"/>
  <c r="U51" i="18"/>
  <c r="Q51" i="18"/>
  <c r="T51" i="18" s="1"/>
  <c r="L51" i="18"/>
  <c r="AB51" i="18" s="1"/>
  <c r="J51" i="18"/>
  <c r="AA51" i="18" s="1"/>
  <c r="H51" i="18"/>
  <c r="G51" i="18"/>
  <c r="C51" i="18"/>
  <c r="C21" i="18"/>
  <c r="C25" i="18"/>
  <c r="C26" i="18"/>
  <c r="C31" i="18"/>
  <c r="C32" i="18"/>
  <c r="C38" i="18"/>
  <c r="U50" i="18"/>
  <c r="J50" i="18"/>
  <c r="AA50" i="18" s="1"/>
  <c r="Q50" i="18"/>
  <c r="L50" i="18"/>
  <c r="H50" i="18"/>
  <c r="C50" i="18"/>
  <c r="G49" i="18"/>
  <c r="H49" i="18"/>
  <c r="L48" i="18"/>
  <c r="AB48" i="18" s="1"/>
  <c r="G48" i="18"/>
  <c r="H48" i="18"/>
  <c r="V47" i="18"/>
  <c r="W47" i="18" s="1"/>
  <c r="V48" i="18"/>
  <c r="W48" i="18" s="1"/>
  <c r="V49" i="18"/>
  <c r="W49" i="18" s="1"/>
  <c r="V50" i="18"/>
  <c r="W50" i="18" s="1"/>
  <c r="V7" i="18"/>
  <c r="V8" i="18"/>
  <c r="V9" i="18"/>
  <c r="V10" i="18"/>
  <c r="V14" i="18"/>
  <c r="V16" i="18"/>
  <c r="W16" i="18" s="1"/>
  <c r="V18" i="18"/>
  <c r="W18" i="18" s="1"/>
  <c r="V20" i="18"/>
  <c r="V21" i="18"/>
  <c r="W21" i="18" s="1"/>
  <c r="V25" i="18"/>
  <c r="W25" i="18" s="1"/>
  <c r="V26" i="18"/>
  <c r="W26" i="18" s="1"/>
  <c r="V27" i="18"/>
  <c r="W27" i="18" s="1"/>
  <c r="V28" i="18"/>
  <c r="W28" i="18" s="1"/>
  <c r="V31" i="18"/>
  <c r="W31" i="18" s="1"/>
  <c r="V32" i="18"/>
  <c r="W32" i="18" s="1"/>
  <c r="V35" i="18"/>
  <c r="V36" i="18"/>
  <c r="V37" i="18"/>
  <c r="V38" i="18"/>
  <c r="V39" i="18"/>
  <c r="W39" i="18" s="1"/>
  <c r="Z55" i="18"/>
  <c r="Z35" i="18"/>
  <c r="Z36" i="18"/>
  <c r="Z38" i="18"/>
  <c r="Z39" i="18"/>
  <c r="Z41" i="18"/>
  <c r="Y17" i="18"/>
  <c r="Z17" i="18" s="1"/>
  <c r="X17" i="18"/>
  <c r="Y37" i="18"/>
  <c r="Z37" i="18" s="1"/>
  <c r="X37" i="18"/>
  <c r="R56" i="18" l="1"/>
  <c r="R71" i="18"/>
  <c r="U71" i="18" s="1"/>
  <c r="R63" i="18"/>
  <c r="R61" i="18"/>
  <c r="J73" i="18"/>
  <c r="AA73" i="18" s="1"/>
  <c r="R73" i="18"/>
  <c r="J70" i="18"/>
  <c r="AA70" i="18" s="1"/>
  <c r="R70" i="18"/>
  <c r="J68" i="18"/>
  <c r="AA68" i="18" s="1"/>
  <c r="R68" i="18"/>
  <c r="U68" i="18" s="1"/>
  <c r="J64" i="18"/>
  <c r="AA64" i="18" s="1"/>
  <c r="R64" i="18"/>
  <c r="J62" i="18"/>
  <c r="AA62" i="18" s="1"/>
  <c r="R62" i="18"/>
  <c r="J60" i="18"/>
  <c r="AA60" i="18" s="1"/>
  <c r="R60" i="18"/>
  <c r="U60" i="18" s="1"/>
  <c r="J74" i="18"/>
  <c r="AA74" i="18" s="1"/>
  <c r="R74" i="18"/>
  <c r="U74" i="18" s="1"/>
  <c r="J69" i="18"/>
  <c r="AA69" i="18" s="1"/>
  <c r="R69" i="18"/>
  <c r="J65" i="18"/>
  <c r="AA65" i="18" s="1"/>
  <c r="R65" i="18"/>
  <c r="U65" i="18" s="1"/>
  <c r="J58" i="18"/>
  <c r="AA58" i="18" s="1"/>
  <c r="R58" i="18"/>
  <c r="U58" i="18" s="1"/>
  <c r="J55" i="18"/>
  <c r="AA55" i="18" s="1"/>
  <c r="R55" i="18"/>
  <c r="X50" i="18"/>
  <c r="AB50" i="18"/>
  <c r="N41" i="18"/>
  <c r="AA41" i="18"/>
  <c r="N38" i="18"/>
  <c r="AA38" i="18"/>
  <c r="J63" i="18"/>
  <c r="AA63" i="18" s="1"/>
  <c r="T63" i="18"/>
  <c r="Q63" i="18"/>
  <c r="V64" i="18"/>
  <c r="W64" i="18" s="1"/>
  <c r="T64" i="18"/>
  <c r="J61" i="18"/>
  <c r="AA61" i="18" s="1"/>
  <c r="Q61" i="18"/>
  <c r="V70" i="18"/>
  <c r="W70" i="18"/>
  <c r="V71" i="18"/>
  <c r="W71" i="18"/>
  <c r="J71" i="18"/>
  <c r="AA71" i="18" s="1"/>
  <c r="Q71" i="18"/>
  <c r="T71" i="18" s="1"/>
  <c r="Q68" i="18"/>
  <c r="T68" i="18" s="1"/>
  <c r="F48" i="18"/>
  <c r="F50" i="18"/>
  <c r="N50" i="18"/>
  <c r="Y51" i="18"/>
  <c r="Z51" i="18" s="1"/>
  <c r="N51" i="18"/>
  <c r="H68" i="18"/>
  <c r="H60" i="18"/>
  <c r="Q74" i="18"/>
  <c r="T74" i="18" s="1"/>
  <c r="Q60" i="18"/>
  <c r="T60" i="18" s="1"/>
  <c r="V58" i="18"/>
  <c r="W58" i="18" s="1"/>
  <c r="H74" i="18"/>
  <c r="L65" i="18"/>
  <c r="V69" i="18"/>
  <c r="L74" i="18"/>
  <c r="AB74" i="18" s="1"/>
  <c r="V74" i="18"/>
  <c r="W74" i="18" s="1"/>
  <c r="V60" i="18"/>
  <c r="W60" i="18" s="1"/>
  <c r="V65" i="18"/>
  <c r="W65" i="18" s="1"/>
  <c r="G74" i="18"/>
  <c r="G60" i="18"/>
  <c r="L58" i="18"/>
  <c r="G65" i="18"/>
  <c r="L68" i="18"/>
  <c r="G58" i="18"/>
  <c r="Q58" i="18"/>
  <c r="H65" i="18"/>
  <c r="Q65" i="18"/>
  <c r="T65" i="18" s="1"/>
  <c r="G68" i="18"/>
  <c r="V68" i="18"/>
  <c r="W68" i="18" s="1"/>
  <c r="H58" i="18"/>
  <c r="S51" i="18"/>
  <c r="W51" i="18"/>
  <c r="F51" i="18"/>
  <c r="P51" i="18"/>
  <c r="X51" i="18"/>
  <c r="P50" i="18"/>
  <c r="T50" i="18"/>
  <c r="Y50" i="18"/>
  <c r="Z50" i="18" s="1"/>
  <c r="G47" i="18"/>
  <c r="H47" i="18"/>
  <c r="L73" i="18"/>
  <c r="AB73" i="18" s="1"/>
  <c r="F41" i="18"/>
  <c r="H39" i="18"/>
  <c r="G39" i="18"/>
  <c r="F39" i="18"/>
  <c r="G71" i="18"/>
  <c r="H71" i="18"/>
  <c r="G38" i="18"/>
  <c r="H38" i="18"/>
  <c r="F38" i="18"/>
  <c r="G70" i="18"/>
  <c r="H70" i="18"/>
  <c r="F36" i="18"/>
  <c r="H36" i="18"/>
  <c r="G36" i="18"/>
  <c r="H35" i="18"/>
  <c r="G35" i="18"/>
  <c r="F35" i="18"/>
  <c r="G69" i="18"/>
  <c r="H31" i="18"/>
  <c r="G31" i="18"/>
  <c r="AB32" i="18"/>
  <c r="L64" i="18"/>
  <c r="AB64" i="18" s="1"/>
  <c r="G64" i="18"/>
  <c r="H64" i="18"/>
  <c r="L28" i="18"/>
  <c r="AB28" i="18" s="1"/>
  <c r="H27" i="18"/>
  <c r="G27" i="18"/>
  <c r="H26" i="18"/>
  <c r="G26" i="18"/>
  <c r="H25" i="18"/>
  <c r="G25" i="18"/>
  <c r="H63" i="18"/>
  <c r="G63" i="18"/>
  <c r="L63" i="18"/>
  <c r="AB63" i="18" s="1"/>
  <c r="L25" i="18"/>
  <c r="AB25" i="18" s="1"/>
  <c r="L26" i="18"/>
  <c r="L27" i="18"/>
  <c r="AB27" i="18" s="1"/>
  <c r="I62" i="18"/>
  <c r="G62" i="18"/>
  <c r="H62" i="18"/>
  <c r="L62" i="18"/>
  <c r="AB62" i="18" s="1"/>
  <c r="G61" i="18"/>
  <c r="H61" i="18"/>
  <c r="G21" i="18"/>
  <c r="H21" i="18"/>
  <c r="L61" i="18"/>
  <c r="AB61" i="18" s="1"/>
  <c r="L21" i="18"/>
  <c r="AB21" i="18" s="1"/>
  <c r="G20" i="18"/>
  <c r="H20" i="18"/>
  <c r="H18" i="18"/>
  <c r="G18" i="18"/>
  <c r="H56" i="18"/>
  <c r="G56" i="18"/>
  <c r="L16" i="18"/>
  <c r="AB16" i="18" s="1"/>
  <c r="J16" i="18"/>
  <c r="AA16" i="18" s="1"/>
  <c r="H14" i="18"/>
  <c r="G14" i="18"/>
  <c r="C14" i="18"/>
  <c r="L14" i="18"/>
  <c r="N14" i="18" l="1"/>
  <c r="O14" i="18" s="1"/>
  <c r="AB14" i="18"/>
  <c r="F26" i="18"/>
  <c r="I26" i="18" s="1"/>
  <c r="AB26" i="18"/>
  <c r="F31" i="18"/>
  <c r="I31" i="18" s="1"/>
  <c r="AB31" i="18"/>
  <c r="Y58" i="18"/>
  <c r="Z58" i="18" s="1"/>
  <c r="AB58" i="18"/>
  <c r="Y65" i="18"/>
  <c r="Z65" i="18" s="1"/>
  <c r="AB65" i="18"/>
  <c r="N68" i="18"/>
  <c r="AB68" i="18"/>
  <c r="S60" i="18"/>
  <c r="S50" i="18"/>
  <c r="X60" i="18"/>
  <c r="N60" i="18"/>
  <c r="P68" i="18"/>
  <c r="P74" i="18"/>
  <c r="S65" i="18"/>
  <c r="S68" i="18"/>
  <c r="P65" i="18"/>
  <c r="S74" i="18"/>
  <c r="P58" i="18"/>
  <c r="T58" i="18"/>
  <c r="S58" i="18" s="1"/>
  <c r="F65" i="18"/>
  <c r="X65" i="18"/>
  <c r="N65" i="18"/>
  <c r="P60" i="18"/>
  <c r="N58" i="18"/>
  <c r="Y60" i="18"/>
  <c r="Z60" i="18" s="1"/>
  <c r="F60" i="18"/>
  <c r="Y74" i="18"/>
  <c r="Z74" i="18" s="1"/>
  <c r="N74" i="18"/>
  <c r="F74" i="18"/>
  <c r="X74" i="18"/>
  <c r="Z68" i="18"/>
  <c r="F68" i="18"/>
  <c r="X58" i="18"/>
  <c r="F58" i="18"/>
  <c r="O51" i="18"/>
  <c r="I51" i="18"/>
  <c r="F14" i="18"/>
  <c r="Z14" i="18"/>
  <c r="Q73" i="18"/>
  <c r="T73" i="18" s="1"/>
  <c r="Y61" i="18"/>
  <c r="Z61" i="18" s="1"/>
  <c r="X61" i="18"/>
  <c r="F25" i="18"/>
  <c r="I25" i="18" s="1"/>
  <c r="Y25" i="18"/>
  <c r="Z25" i="18" s="1"/>
  <c r="X25" i="18"/>
  <c r="F32" i="18"/>
  <c r="I32" i="18" s="1"/>
  <c r="Y32" i="18"/>
  <c r="Z32" i="18" s="1"/>
  <c r="X32" i="18"/>
  <c r="Y73" i="18"/>
  <c r="Z73" i="18" s="1"/>
  <c r="X73" i="18"/>
  <c r="H73" i="18"/>
  <c r="F61" i="18"/>
  <c r="F63" i="18"/>
  <c r="I63" i="18" s="1"/>
  <c r="X63" i="18"/>
  <c r="Y63" i="18"/>
  <c r="Z63" i="18" s="1"/>
  <c r="Y31" i="18"/>
  <c r="Z31" i="18" s="1"/>
  <c r="X31" i="18"/>
  <c r="I39" i="18"/>
  <c r="F73" i="18"/>
  <c r="G73" i="18"/>
  <c r="F21" i="18"/>
  <c r="Y21" i="18"/>
  <c r="Z21" i="18" s="1"/>
  <c r="X21" i="18"/>
  <c r="Y28" i="18"/>
  <c r="Z28" i="18" s="1"/>
  <c r="X28" i="18"/>
  <c r="Y16" i="18"/>
  <c r="Z16" i="18" s="1"/>
  <c r="X16" i="18"/>
  <c r="F62" i="18"/>
  <c r="Y62" i="18"/>
  <c r="Z62" i="18" s="1"/>
  <c r="X62" i="18"/>
  <c r="F27" i="18"/>
  <c r="Y27" i="18"/>
  <c r="Z27" i="18" s="1"/>
  <c r="X27" i="18"/>
  <c r="F64" i="18"/>
  <c r="Y64" i="18"/>
  <c r="Z64" i="18" s="1"/>
  <c r="X64" i="18"/>
  <c r="Y26" i="18"/>
  <c r="Z26" i="18" s="1"/>
  <c r="X26" i="18"/>
  <c r="N73" i="18"/>
  <c r="V73" i="18"/>
  <c r="N64" i="18"/>
  <c r="H16" i="18"/>
  <c r="G16" i="18"/>
  <c r="C16" i="18"/>
  <c r="O74" i="18" l="1"/>
  <c r="O60" i="18"/>
  <c r="O65" i="18"/>
  <c r="O68" i="18"/>
  <c r="I14" i="18"/>
  <c r="O58" i="18"/>
  <c r="O50" i="18"/>
  <c r="I27" i="18"/>
  <c r="I65" i="18"/>
  <c r="I60" i="18"/>
  <c r="I74" i="18"/>
  <c r="I58" i="18"/>
  <c r="I68" i="18"/>
  <c r="P73" i="18"/>
  <c r="I21" i="18"/>
  <c r="I73" i="18"/>
  <c r="W73" i="18"/>
  <c r="U73" i="18"/>
  <c r="T16" i="18"/>
  <c r="P16" i="18"/>
  <c r="U16" i="18"/>
  <c r="F16" i="18"/>
  <c r="N16" i="18"/>
  <c r="S73" i="18" l="1"/>
  <c r="O73" i="18" s="1"/>
  <c r="I16" i="18"/>
  <c r="S16" i="18"/>
  <c r="O16" i="18" l="1"/>
  <c r="F55" i="18" l="1"/>
  <c r="G50" i="18"/>
  <c r="G8" i="18"/>
  <c r="H8" i="18"/>
  <c r="G9" i="18"/>
  <c r="H9" i="18"/>
  <c r="G10" i="18"/>
  <c r="H10" i="18"/>
  <c r="G7" i="18"/>
  <c r="H7" i="18"/>
  <c r="G55" i="18"/>
  <c r="H69" i="18"/>
  <c r="H17" i="18"/>
  <c r="H55" i="18"/>
  <c r="U49" i="18"/>
  <c r="Q49" i="18"/>
  <c r="T49" i="18" s="1"/>
  <c r="L49" i="18"/>
  <c r="AB49" i="18" s="1"/>
  <c r="C49" i="18"/>
  <c r="U48" i="18"/>
  <c r="Q48" i="18"/>
  <c r="T48" i="18" s="1"/>
  <c r="C48" i="18"/>
  <c r="Q47" i="18"/>
  <c r="L47" i="18"/>
  <c r="C47" i="18"/>
  <c r="C39" i="18"/>
  <c r="Y71" i="18"/>
  <c r="X71" i="18"/>
  <c r="L71" i="18"/>
  <c r="AB71" i="18" s="1"/>
  <c r="Y70" i="18"/>
  <c r="X70" i="18"/>
  <c r="Q70" i="18"/>
  <c r="Q38" i="18"/>
  <c r="Q36" i="18"/>
  <c r="T36" i="18" s="1"/>
  <c r="C36" i="18"/>
  <c r="Q35" i="18"/>
  <c r="C35" i="18"/>
  <c r="Y69" i="18"/>
  <c r="X69" i="18"/>
  <c r="W69" i="18"/>
  <c r="Q69" i="18"/>
  <c r="L69" i="18"/>
  <c r="Q64" i="18"/>
  <c r="C27" i="18"/>
  <c r="Q62" i="18"/>
  <c r="Q20" i="18"/>
  <c r="T20" i="18" s="1"/>
  <c r="N20" i="18"/>
  <c r="C20" i="18"/>
  <c r="L18" i="18"/>
  <c r="AB18" i="18" s="1"/>
  <c r="C18" i="18"/>
  <c r="U56" i="18"/>
  <c r="Q56" i="18"/>
  <c r="T56" i="18" s="1"/>
  <c r="L56" i="18"/>
  <c r="AB56" i="18" s="1"/>
  <c r="W55" i="18"/>
  <c r="Q55" i="18"/>
  <c r="Y10" i="18"/>
  <c r="X10" i="18"/>
  <c r="Q10" i="18"/>
  <c r="L10" i="18"/>
  <c r="C10" i="18"/>
  <c r="Y9" i="18"/>
  <c r="X9" i="18"/>
  <c r="W9" i="18"/>
  <c r="Q9" i="18"/>
  <c r="L9" i="18"/>
  <c r="C9" i="18"/>
  <c r="Y8" i="18"/>
  <c r="X8" i="18"/>
  <c r="W8" i="18"/>
  <c r="Q8" i="18"/>
  <c r="L8" i="18"/>
  <c r="C8" i="18"/>
  <c r="Y7" i="18"/>
  <c r="X7" i="18"/>
  <c r="W7" i="18"/>
  <c r="Q7" i="18"/>
  <c r="C7" i="18"/>
  <c r="N47" i="18" l="1"/>
  <c r="AB47" i="18"/>
  <c r="F69" i="18"/>
  <c r="AB69" i="18"/>
  <c r="S56" i="18"/>
  <c r="F49" i="18"/>
  <c r="S48" i="18"/>
  <c r="S49" i="18"/>
  <c r="Z69" i="18"/>
  <c r="Z71" i="18"/>
  <c r="X47" i="18"/>
  <c r="Y47" i="18"/>
  <c r="Z47" i="18" s="1"/>
  <c r="F47" i="18"/>
  <c r="F56" i="18"/>
  <c r="Y56" i="18"/>
  <c r="Z56" i="18" s="1"/>
  <c r="X56" i="18"/>
  <c r="Y48" i="18"/>
  <c r="Z48" i="18" s="1"/>
  <c r="X48" i="18"/>
  <c r="F18" i="18"/>
  <c r="X18" i="18"/>
  <c r="Y18" i="18"/>
  <c r="Z18" i="18" s="1"/>
  <c r="F20" i="18"/>
  <c r="Y20" i="18"/>
  <c r="Z20" i="18" s="1"/>
  <c r="X20" i="18"/>
  <c r="Y49" i="18"/>
  <c r="Z49" i="18" s="1"/>
  <c r="X49" i="18"/>
  <c r="F71" i="18"/>
  <c r="I55" i="18"/>
  <c r="W10" i="18"/>
  <c r="I47" i="18" l="1"/>
  <c r="I49" i="18"/>
  <c r="I18" i="18"/>
  <c r="I20" i="18"/>
  <c r="B22" i="10"/>
  <c r="B21" i="10"/>
  <c r="B20" i="10"/>
  <c r="B19" i="10"/>
  <c r="B18" i="10"/>
  <c r="C102" i="6" l="1"/>
  <c r="T61" i="18"/>
  <c r="U61" i="18"/>
  <c r="U31" i="18"/>
  <c r="U32" i="18"/>
  <c r="S61" i="18" l="1"/>
  <c r="U64" i="18"/>
  <c r="J49" i="18"/>
  <c r="J48" i="18"/>
  <c r="U18" i="18"/>
  <c r="T18" i="18"/>
  <c r="U20" i="18"/>
  <c r="N48" i="18" l="1"/>
  <c r="AA48" i="18"/>
  <c r="N49" i="18"/>
  <c r="AA49" i="18"/>
  <c r="S31" i="18"/>
  <c r="S32" i="18"/>
  <c r="P49" i="18"/>
  <c r="S64" i="18"/>
  <c r="O64" i="18" s="1"/>
  <c r="P64" i="18"/>
  <c r="S18" i="18"/>
  <c r="P18" i="18"/>
  <c r="O48" i="18" l="1"/>
  <c r="O49" i="18"/>
  <c r="I48" i="18"/>
  <c r="N31" i="18" l="1"/>
  <c r="N32" i="18"/>
  <c r="T70" i="18"/>
  <c r="I38" i="18"/>
  <c r="S20" i="18"/>
  <c r="J56" i="18"/>
  <c r="AA56" i="18" s="1"/>
  <c r="N18" i="18"/>
  <c r="O20" i="18" l="1"/>
  <c r="O18" i="18"/>
  <c r="O31" i="18"/>
  <c r="O32" i="18"/>
  <c r="AA73" i="15"/>
  <c r="I61" i="18"/>
  <c r="A73" i="15" l="1"/>
  <c r="AD73" i="15" s="1"/>
  <c r="AB73" i="15"/>
  <c r="F10" i="10"/>
  <c r="F7" i="10"/>
  <c r="F8" i="10"/>
  <c r="C109" i="6"/>
  <c r="C111" i="6"/>
  <c r="I25" i="11"/>
  <c r="I24" i="11"/>
  <c r="I50" i="18"/>
  <c r="R223" i="5" l="1"/>
  <c r="U69" i="18"/>
  <c r="U47" i="18"/>
  <c r="I64" i="18"/>
  <c r="C104" i="6"/>
  <c r="P47" i="18"/>
  <c r="T47" i="18"/>
  <c r="I71" i="18"/>
  <c r="N69" i="18"/>
  <c r="I69" i="18"/>
  <c r="P69" i="18"/>
  <c r="T69" i="18"/>
  <c r="R224" i="5" l="1"/>
  <c r="S47" i="18"/>
  <c r="S69" i="18"/>
  <c r="O69" i="18" s="1"/>
  <c r="R225" i="5" l="1"/>
  <c r="R226" i="5" s="1"/>
  <c r="O47" i="18"/>
  <c r="I22" i="11"/>
  <c r="B22" i="11"/>
  <c r="I20" i="11"/>
  <c r="I29" i="11"/>
  <c r="I30" i="11"/>
  <c r="R227" i="5" l="1"/>
  <c r="U63" i="18"/>
  <c r="I56" i="18"/>
  <c r="N63" i="18"/>
  <c r="P63" i="18"/>
  <c r="F20" i="14"/>
  <c r="F19" i="14"/>
  <c r="F17" i="14"/>
  <c r="F16" i="14"/>
  <c r="I7" i="11"/>
  <c r="B16" i="11"/>
  <c r="E281" i="5" l="1"/>
  <c r="F281" i="5" s="1"/>
  <c r="C126" i="5"/>
  <c r="AA39" i="15"/>
  <c r="E148" i="5"/>
  <c r="G13" i="14"/>
  <c r="F14" i="14" s="1"/>
  <c r="B11" i="14" s="1"/>
  <c r="R228" i="5"/>
  <c r="S63" i="18"/>
  <c r="O63" i="18" s="1"/>
  <c r="P20" i="18"/>
  <c r="A39" i="15" l="1"/>
  <c r="AD39" i="15" s="1"/>
  <c r="AB39" i="15"/>
  <c r="R229" i="5"/>
  <c r="R230" i="5" l="1"/>
  <c r="B6" i="11"/>
  <c r="B7" i="11"/>
  <c r="B8" i="11"/>
  <c r="B12" i="11"/>
  <c r="B14" i="11"/>
  <c r="B19" i="11"/>
  <c r="B20" i="11"/>
  <c r="B21" i="11"/>
  <c r="B23" i="11"/>
  <c r="B24" i="11"/>
  <c r="B25" i="11"/>
  <c r="B26" i="11"/>
  <c r="B28" i="11"/>
  <c r="B29" i="11"/>
  <c r="B30" i="11"/>
  <c r="B31" i="11"/>
  <c r="B33" i="11"/>
  <c r="B5" i="11"/>
  <c r="I19" i="11"/>
  <c r="I31" i="11" s="1"/>
  <c r="I33" i="11"/>
  <c r="I27" i="11" s="1"/>
  <c r="I8" i="11"/>
  <c r="I23" i="11"/>
  <c r="I26" i="11"/>
  <c r="I28" i="11" s="1"/>
  <c r="R231" i="5" l="1"/>
  <c r="R232" i="5" l="1"/>
  <c r="U26" i="18"/>
  <c r="U25" i="18"/>
  <c r="U27" i="18"/>
  <c r="N27" i="18"/>
  <c r="P27" i="18"/>
  <c r="P26" i="18"/>
  <c r="N26" i="18"/>
  <c r="N25" i="18"/>
  <c r="P25" i="18"/>
  <c r="R233" i="5" l="1"/>
  <c r="S27" i="18"/>
  <c r="S26" i="18"/>
  <c r="S25" i="18"/>
  <c r="E24" i="18"/>
  <c r="V24" i="18" s="1"/>
  <c r="W24" i="18" s="1"/>
  <c r="D24" i="18"/>
  <c r="R24" i="18" l="1"/>
  <c r="O25" i="18"/>
  <c r="O27" i="18"/>
  <c r="O26" i="18"/>
  <c r="R234" i="5"/>
  <c r="J24" i="18"/>
  <c r="AA24" i="18" s="1"/>
  <c r="C24" i="18"/>
  <c r="L24" i="18"/>
  <c r="AB24" i="18" s="1"/>
  <c r="G24" i="18"/>
  <c r="H24" i="18"/>
  <c r="Q24" i="18"/>
  <c r="T21" i="18"/>
  <c r="U21" i="18"/>
  <c r="N21" i="18"/>
  <c r="P21" i="18"/>
  <c r="R235" i="5" l="1"/>
  <c r="N24" i="18"/>
  <c r="F24" i="18"/>
  <c r="Y24" i="18"/>
  <c r="Z24" i="18" s="1"/>
  <c r="X24" i="18"/>
  <c r="T24" i="18"/>
  <c r="S21" i="18"/>
  <c r="U24" i="18"/>
  <c r="P24" i="18"/>
  <c r="O21" i="18" l="1"/>
  <c r="I24" i="18"/>
  <c r="S24" i="18"/>
  <c r="Y40" i="18"/>
  <c r="Z40" i="18" s="1"/>
  <c r="X40" i="18"/>
  <c r="O24" i="18" l="1"/>
  <c r="I259" i="5"/>
  <c r="I258" i="5"/>
  <c r="G258" i="5" s="1"/>
  <c r="M147" i="20" s="1"/>
  <c r="K146" i="20"/>
  <c r="Q93" i="20" s="1"/>
  <c r="I260" i="5"/>
  <c r="I257" i="5"/>
  <c r="G257" i="5" s="1"/>
  <c r="L147" i="20" s="1"/>
  <c r="G259" i="5" l="1"/>
  <c r="N147" i="20" s="1"/>
  <c r="E282" i="5"/>
  <c r="M146" i="20"/>
  <c r="U93" i="20" s="1"/>
  <c r="L258" i="5"/>
  <c r="L146" i="20"/>
  <c r="S93" i="20" s="1"/>
  <c r="L257" i="5"/>
  <c r="O146" i="20"/>
  <c r="Y93" i="20" s="1"/>
  <c r="L260" i="5"/>
  <c r="N146" i="20"/>
  <c r="W93" i="20" s="1"/>
  <c r="L259" i="5"/>
  <c r="F282" i="5" l="1"/>
  <c r="B3" i="10" l="1"/>
  <c r="AE115" i="20" l="1"/>
  <c r="AC115" i="20"/>
  <c r="AA115" i="20"/>
  <c r="Y115" i="20"/>
  <c r="W115" i="20"/>
  <c r="U115" i="20"/>
  <c r="S115" i="20"/>
  <c r="Q115" i="20"/>
  <c r="O115" i="20"/>
  <c r="M115" i="20"/>
  <c r="K115" i="20"/>
  <c r="I115" i="20"/>
  <c r="J343" i="11" l="1"/>
  <c r="J341" i="11"/>
  <c r="J342" i="11"/>
  <c r="J340" i="11"/>
  <c r="C30" i="17" l="1"/>
  <c r="C31" i="17"/>
  <c r="C32" i="17"/>
  <c r="C4" i="17"/>
  <c r="C5" i="17"/>
  <c r="C9" i="17"/>
  <c r="C10" i="17"/>
  <c r="C11" i="17"/>
  <c r="C15" i="17"/>
  <c r="C16" i="17"/>
  <c r="C17" i="17"/>
  <c r="C21" i="17"/>
  <c r="C22" i="17"/>
  <c r="C23" i="17"/>
  <c r="C27" i="17"/>
  <c r="C3" i="17"/>
  <c r="D173" i="20" l="1"/>
  <c r="D172" i="20"/>
  <c r="D168" i="20"/>
  <c r="R164" i="20"/>
  <c r="R168" i="20" s="1"/>
  <c r="Q164" i="20"/>
  <c r="Q168" i="20" s="1"/>
  <c r="P164" i="20"/>
  <c r="P168" i="20" s="1"/>
  <c r="O164" i="20"/>
  <c r="O168" i="20" s="1"/>
  <c r="N164" i="20"/>
  <c r="N168" i="20" s="1"/>
  <c r="M164" i="20"/>
  <c r="M168" i="20" s="1"/>
  <c r="L164" i="20"/>
  <c r="L168" i="20" s="1"/>
  <c r="K164" i="20"/>
  <c r="K168" i="20" s="1"/>
  <c r="J164" i="20"/>
  <c r="J168" i="20" s="1"/>
  <c r="I164" i="20"/>
  <c r="I168" i="20" s="1"/>
  <c r="H164" i="20"/>
  <c r="H168" i="20" s="1"/>
  <c r="G164" i="20"/>
  <c r="G168" i="20" s="1"/>
  <c r="D152" i="20"/>
  <c r="N130" i="20"/>
  <c r="T111" i="20"/>
  <c r="D26" i="20"/>
  <c r="B26" i="20"/>
  <c r="A8" i="15"/>
  <c r="AD8" i="15" s="1"/>
  <c r="Q52" i="15" l="1"/>
  <c r="Z52" i="15"/>
  <c r="AE52" i="15"/>
  <c r="AD111" i="20"/>
  <c r="Z111" i="20"/>
  <c r="V111" i="20"/>
  <c r="R111" i="20"/>
  <c r="N111" i="20"/>
  <c r="J111" i="20"/>
  <c r="X111" i="20"/>
  <c r="AB111" i="20"/>
  <c r="L111" i="20"/>
  <c r="AF111" i="20"/>
  <c r="P111" i="20"/>
  <c r="O130" i="20"/>
  <c r="P130" i="20" l="1"/>
  <c r="Q130" i="20" l="1"/>
  <c r="R130" i="20" l="1"/>
  <c r="G130" i="20" l="1"/>
  <c r="H130" i="20" l="1"/>
  <c r="I130" i="20" l="1"/>
  <c r="J130" i="20" l="1"/>
  <c r="K130" i="20" l="1"/>
  <c r="L130" i="20" l="1"/>
  <c r="S38" i="18" l="1"/>
  <c r="U70" i="18"/>
  <c r="L70" i="18"/>
  <c r="AB70" i="18" s="1"/>
  <c r="L7" i="18"/>
  <c r="M8" i="18"/>
  <c r="M9" i="18"/>
  <c r="M10" i="18"/>
  <c r="M7" i="18"/>
  <c r="AA7" i="18" s="1"/>
  <c r="N55" i="18"/>
  <c r="AB7" i="18" l="1"/>
  <c r="AA10" i="18"/>
  <c r="AB10" i="18"/>
  <c r="AA9" i="18"/>
  <c r="AB9" i="18"/>
  <c r="AA8" i="18"/>
  <c r="AB8" i="18"/>
  <c r="O38" i="18"/>
  <c r="N7" i="18"/>
  <c r="F10" i="18"/>
  <c r="Z10" i="18"/>
  <c r="F8" i="18"/>
  <c r="Z8" i="18"/>
  <c r="F70" i="18"/>
  <c r="Z70" i="18"/>
  <c r="F9" i="18"/>
  <c r="Z9" i="18"/>
  <c r="Z7" i="18"/>
  <c r="F7" i="18"/>
  <c r="I7" i="18" s="1"/>
  <c r="P38" i="18"/>
  <c r="T7" i="18"/>
  <c r="N70" i="18"/>
  <c r="U7" i="18"/>
  <c r="P70" i="18"/>
  <c r="T10" i="18"/>
  <c r="N8" i="18"/>
  <c r="N9" i="18"/>
  <c r="P55" i="18"/>
  <c r="T8" i="18"/>
  <c r="U9" i="18"/>
  <c r="N10" i="18"/>
  <c r="P8" i="18"/>
  <c r="P7" i="18"/>
  <c r="P9" i="18"/>
  <c r="P10" i="18"/>
  <c r="U55" i="18"/>
  <c r="T55" i="18"/>
  <c r="U10" i="18"/>
  <c r="U8" i="18"/>
  <c r="T9" i="18"/>
  <c r="I10" i="18" l="1"/>
  <c r="I70" i="18"/>
  <c r="I8" i="18"/>
  <c r="I9" i="18"/>
  <c r="S7" i="18"/>
  <c r="S70" i="18"/>
  <c r="O70" i="18" s="1"/>
  <c r="S55" i="18"/>
  <c r="O55" i="18" s="1"/>
  <c r="S9" i="18"/>
  <c r="O9" i="18" s="1"/>
  <c r="S10" i="18"/>
  <c r="S8" i="18"/>
  <c r="P146" i="20"/>
  <c r="AA93" i="20" s="1"/>
  <c r="K260" i="5"/>
  <c r="K257" i="5"/>
  <c r="K258" i="5"/>
  <c r="K259" i="5"/>
  <c r="K252" i="5"/>
  <c r="H257" i="5"/>
  <c r="H258" i="5"/>
  <c r="K263" i="5"/>
  <c r="K262" i="5"/>
  <c r="K254" i="5"/>
  <c r="K253" i="5"/>
  <c r="K264" i="5" l="1"/>
  <c r="E264" i="5" s="1"/>
  <c r="E287" i="5" s="1"/>
  <c r="O8" i="18"/>
  <c r="O10" i="18"/>
  <c r="O7" i="18"/>
  <c r="D146" i="20"/>
  <c r="E173" i="20" s="1"/>
  <c r="O90" i="20"/>
  <c r="M90" i="20" l="1"/>
  <c r="AA90" i="20"/>
  <c r="AC90" i="20"/>
  <c r="AE90" i="20"/>
  <c r="K90" i="20"/>
  <c r="I90" i="20"/>
  <c r="L264" i="5" l="1"/>
  <c r="F287" i="5"/>
  <c r="S90" i="20"/>
  <c r="Q90" i="20"/>
  <c r="U90" i="20" l="1"/>
  <c r="W90" i="20" l="1"/>
  <c r="Y90" i="20"/>
  <c r="AG7" i="4" l="1"/>
  <c r="AG8" i="4"/>
  <c r="AG9" i="4"/>
  <c r="AG4" i="4"/>
  <c r="AG5" i="4"/>
  <c r="AG6" i="4"/>
  <c r="C90" i="20" l="1"/>
  <c r="D95" i="6"/>
  <c r="AE38" i="15"/>
  <c r="AB15" i="15" l="1"/>
  <c r="J15" i="15" s="1"/>
  <c r="H15" i="15" s="1"/>
  <c r="AB68" i="15"/>
  <c r="AB63" i="15"/>
  <c r="AB28" i="15"/>
  <c r="AB21" i="15"/>
  <c r="A63" i="15" l="1"/>
  <c r="AD63" i="15" s="1"/>
  <c r="AB69" i="15"/>
  <c r="AB64" i="15"/>
  <c r="AB62" i="15" s="1"/>
  <c r="AB29" i="15"/>
  <c r="AB22" i="15"/>
  <c r="AA9" i="15"/>
  <c r="C3" i="2"/>
  <c r="J62" i="15" l="1"/>
  <c r="H62" i="15" s="1"/>
  <c r="O62" i="15"/>
  <c r="AB9" i="15"/>
  <c r="A9" i="15"/>
  <c r="AD9" i="15" s="1"/>
  <c r="AE62" i="15"/>
  <c r="E9" i="14"/>
  <c r="E8" i="14"/>
  <c r="E7" i="14"/>
  <c r="E6" i="14"/>
  <c r="E5" i="14"/>
  <c r="AE9" i="15" l="1"/>
  <c r="O9" i="15"/>
  <c r="AA12" i="15"/>
  <c r="C131" i="20"/>
  <c r="J9" i="15"/>
  <c r="H9" i="15" s="1"/>
  <c r="AA11" i="15"/>
  <c r="AA10" i="15"/>
  <c r="C26" i="6"/>
  <c r="B26" i="6"/>
  <c r="A10" i="15" l="1"/>
  <c r="AD10" i="15" s="1"/>
  <c r="A11" i="15"/>
  <c r="AD11" i="15" s="1"/>
  <c r="AB12" i="15"/>
  <c r="O12" i="15" s="1"/>
  <c r="A12" i="15"/>
  <c r="AD12" i="15" s="1"/>
  <c r="Q111" i="6"/>
  <c r="O111" i="6"/>
  <c r="AA111" i="6"/>
  <c r="M111" i="6"/>
  <c r="AC111" i="6"/>
  <c r="AE111" i="6"/>
  <c r="U111" i="6"/>
  <c r="W111" i="6"/>
  <c r="I111" i="6"/>
  <c r="Y111" i="6"/>
  <c r="K111" i="6"/>
  <c r="S111" i="6"/>
  <c r="I36" i="18" l="1"/>
  <c r="I35" i="18"/>
  <c r="S36" i="18" l="1"/>
  <c r="O36" i="18" s="1"/>
  <c r="A66" i="15" l="1"/>
  <c r="AB37" i="15"/>
  <c r="J37" i="15" s="1"/>
  <c r="H37" i="15" s="1"/>
  <c r="AB74" i="15"/>
  <c r="J74" i="15" s="1"/>
  <c r="H74" i="15" s="1"/>
  <c r="AB76" i="15"/>
  <c r="J73" i="15"/>
  <c r="H73" i="15" s="1"/>
  <c r="J12" i="15"/>
  <c r="H12" i="15" s="1"/>
  <c r="A61" i="15"/>
  <c r="C33" i="15" l="1"/>
  <c r="J32" i="15"/>
  <c r="H32" i="15" s="1"/>
  <c r="J76" i="15"/>
  <c r="H76" i="15" s="1"/>
  <c r="Z76" i="15" s="1"/>
  <c r="AE32" i="15"/>
  <c r="J90" i="20"/>
  <c r="P90" i="20"/>
  <c r="AD90" i="20"/>
  <c r="AF90" i="20"/>
  <c r="AB90" i="20"/>
  <c r="N90" i="20"/>
  <c r="L90" i="20"/>
  <c r="T90" i="20"/>
  <c r="R90" i="20"/>
  <c r="V90" i="20"/>
  <c r="Z90" i="20"/>
  <c r="X90" i="20"/>
  <c r="A33" i="15"/>
  <c r="C143" i="20"/>
  <c r="D184" i="20"/>
  <c r="D90" i="20"/>
  <c r="AE12" i="15"/>
  <c r="Z74" i="15"/>
  <c r="AE73" i="15"/>
  <c r="AE39" i="15"/>
  <c r="AE74" i="15"/>
  <c r="AE76" i="15"/>
  <c r="AE37" i="15"/>
  <c r="AE14" i="15"/>
  <c r="A32" i="15"/>
  <c r="AD32" i="15" s="1"/>
  <c r="AA15" i="15"/>
  <c r="A37" i="15"/>
  <c r="AD37" i="15" s="1"/>
  <c r="A71" i="15"/>
  <c r="A19" i="15"/>
  <c r="A26" i="15"/>
  <c r="C62" i="10"/>
  <c r="A15" i="15" l="1"/>
  <c r="AD15" i="15" s="1"/>
  <c r="A7" i="15" s="1"/>
  <c r="C55" i="10"/>
  <c r="G70" i="10"/>
  <c r="F71" i="10"/>
  <c r="E71" i="10"/>
  <c r="D71" i="10"/>
  <c r="C71" i="10"/>
  <c r="C64" i="10"/>
  <c r="C61" i="10"/>
  <c r="C45" i="10"/>
  <c r="C39" i="10"/>
  <c r="C40" i="10" s="1"/>
  <c r="B31" i="10"/>
  <c r="B30" i="10"/>
  <c r="B29" i="10"/>
  <c r="D27" i="10"/>
  <c r="C27" i="10"/>
  <c r="B27" i="10"/>
  <c r="I104" i="6" l="1"/>
  <c r="F27" i="10"/>
  <c r="K104" i="6" l="1"/>
  <c r="P48" i="18" l="1"/>
  <c r="M104" i="6"/>
  <c r="E41" i="18"/>
  <c r="R41" i="18" s="1"/>
  <c r="V41" i="18" l="1"/>
  <c r="W41" i="18" s="1"/>
  <c r="Q41" i="18"/>
  <c r="T41" i="18" s="1"/>
  <c r="H41" i="18"/>
  <c r="G41" i="18"/>
  <c r="C41" i="18"/>
  <c r="O104" i="6"/>
  <c r="Q104" i="6" s="1"/>
  <c r="S104" i="6" s="1"/>
  <c r="E46" i="18"/>
  <c r="V46" i="18" s="1"/>
  <c r="D46" i="18"/>
  <c r="R46" i="18" s="1"/>
  <c r="E40" i="18"/>
  <c r="V40" i="18" s="1"/>
  <c r="W40" i="18" s="1"/>
  <c r="D40" i="18"/>
  <c r="D37" i="18"/>
  <c r="E30" i="18"/>
  <c r="V30" i="18" s="1"/>
  <c r="W30" i="18" s="1"/>
  <c r="D30" i="18"/>
  <c r="E29" i="18"/>
  <c r="V29" i="18" s="1"/>
  <c r="W29" i="18" s="1"/>
  <c r="D29" i="18"/>
  <c r="E33" i="18"/>
  <c r="L33" i="18" s="1"/>
  <c r="D33" i="18"/>
  <c r="D28" i="18"/>
  <c r="R28" i="18" s="1"/>
  <c r="E34" i="18"/>
  <c r="L34" i="18" s="1"/>
  <c r="D34" i="18"/>
  <c r="R34" i="18" s="1"/>
  <c r="E23" i="18"/>
  <c r="V23" i="18" s="1"/>
  <c r="W23" i="18" s="1"/>
  <c r="D23" i="18"/>
  <c r="E22" i="18"/>
  <c r="V22" i="18" s="1"/>
  <c r="W22" i="18" s="1"/>
  <c r="D22" i="18"/>
  <c r="R22" i="18" s="1"/>
  <c r="E17" i="18"/>
  <c r="D17" i="18"/>
  <c r="E15" i="18"/>
  <c r="V15" i="18" s="1"/>
  <c r="W15" i="18" s="1"/>
  <c r="D15" i="18"/>
  <c r="R15" i="18" s="1"/>
  <c r="B2" i="18"/>
  <c r="R29" i="18" l="1"/>
  <c r="J37" i="18"/>
  <c r="AA37" i="18" s="1"/>
  <c r="R37" i="18"/>
  <c r="R17" i="18"/>
  <c r="U17" i="18" s="1"/>
  <c r="R23" i="18"/>
  <c r="R40" i="18"/>
  <c r="R33" i="18"/>
  <c r="R30" i="18"/>
  <c r="C76" i="18"/>
  <c r="N37" i="18"/>
  <c r="J17" i="18"/>
  <c r="AA17" i="18" s="1"/>
  <c r="Q30" i="18"/>
  <c r="T30" i="18"/>
  <c r="J15" i="18"/>
  <c r="AA15" i="18" s="1"/>
  <c r="Q15" i="18"/>
  <c r="J34" i="18"/>
  <c r="AA34" i="18" s="1"/>
  <c r="Q34" i="18"/>
  <c r="T33" i="18"/>
  <c r="J33" i="18"/>
  <c r="AA33" i="18" s="1"/>
  <c r="Q33" i="18"/>
  <c r="J23" i="18"/>
  <c r="AA23" i="18" s="1"/>
  <c r="Q23" i="18"/>
  <c r="T34" i="18"/>
  <c r="Q29" i="18"/>
  <c r="T29" i="18"/>
  <c r="J40" i="18"/>
  <c r="Q40" i="18"/>
  <c r="T40" i="18" s="1"/>
  <c r="J22" i="18"/>
  <c r="AA22" i="18" s="1"/>
  <c r="Q22" i="18"/>
  <c r="T28" i="18"/>
  <c r="Q28" i="18"/>
  <c r="J29" i="18"/>
  <c r="AA29" i="18" s="1"/>
  <c r="J46" i="18"/>
  <c r="AA46" i="18" s="1"/>
  <c r="J28" i="18"/>
  <c r="I41" i="18"/>
  <c r="J30" i="18"/>
  <c r="AA30" i="18" s="1"/>
  <c r="V34" i="18"/>
  <c r="W34" i="18" s="1"/>
  <c r="V33" i="18"/>
  <c r="W33" i="18" s="1"/>
  <c r="V17" i="18"/>
  <c r="W17" i="18" s="1"/>
  <c r="H46" i="18"/>
  <c r="G46" i="18"/>
  <c r="L22" i="18"/>
  <c r="AB22" i="18" s="1"/>
  <c r="H22" i="18"/>
  <c r="G22" i="18"/>
  <c r="H23" i="18"/>
  <c r="L23" i="18"/>
  <c r="G23" i="18"/>
  <c r="H28" i="18"/>
  <c r="F28" i="18"/>
  <c r="G28" i="18"/>
  <c r="H30" i="18"/>
  <c r="L30" i="18"/>
  <c r="AB30" i="18" s="1"/>
  <c r="G30" i="18"/>
  <c r="G29" i="18"/>
  <c r="L29" i="18"/>
  <c r="AB29" i="18" s="1"/>
  <c r="H29" i="18"/>
  <c r="H33" i="18"/>
  <c r="G33" i="18"/>
  <c r="H34" i="18"/>
  <c r="G34" i="18"/>
  <c r="H37" i="18"/>
  <c r="G37" i="18"/>
  <c r="F37" i="18"/>
  <c r="F40" i="18"/>
  <c r="H40" i="18"/>
  <c r="G40" i="18"/>
  <c r="H15" i="18"/>
  <c r="G15" i="18"/>
  <c r="C17" i="18"/>
  <c r="C22" i="18"/>
  <c r="C33" i="18"/>
  <c r="C29" i="18"/>
  <c r="C30" i="18"/>
  <c r="Q46" i="18"/>
  <c r="C46" i="18"/>
  <c r="C23" i="18"/>
  <c r="C34" i="18"/>
  <c r="C28" i="18"/>
  <c r="C37" i="18"/>
  <c r="Q37" i="18"/>
  <c r="T37" i="18" s="1"/>
  <c r="L46" i="18"/>
  <c r="AB46" i="18" s="1"/>
  <c r="L15" i="18"/>
  <c r="C15" i="18"/>
  <c r="F76" i="18" s="1"/>
  <c r="U15" i="18"/>
  <c r="C40" i="18"/>
  <c r="T62" i="18"/>
  <c r="Q17" i="18"/>
  <c r="T17" i="18" s="1"/>
  <c r="U62" i="18"/>
  <c r="N71" i="18"/>
  <c r="N62" i="18"/>
  <c r="N61" i="18"/>
  <c r="O61" i="18" s="1"/>
  <c r="N56" i="18"/>
  <c r="O56" i="18" s="1"/>
  <c r="U35" i="18"/>
  <c r="U39" i="18"/>
  <c r="I17" i="18"/>
  <c r="T35" i="18"/>
  <c r="U41" i="18"/>
  <c r="P41" i="18"/>
  <c r="P62" i="18"/>
  <c r="U104" i="6"/>
  <c r="P71" i="18"/>
  <c r="P35" i="18"/>
  <c r="P56" i="18"/>
  <c r="P36" i="18"/>
  <c r="P39" i="18"/>
  <c r="P61" i="18"/>
  <c r="N76" i="18" l="1"/>
  <c r="G50" i="5" s="1"/>
  <c r="K76" i="18"/>
  <c r="M76" i="18"/>
  <c r="G48" i="5" s="1"/>
  <c r="O76" i="18"/>
  <c r="Q76" i="18"/>
  <c r="G52" i="5" s="1"/>
  <c r="R76" i="18"/>
  <c r="G55" i="5" s="1"/>
  <c r="F15" i="15" s="1"/>
  <c r="T76" i="18"/>
  <c r="G53" i="5" s="1"/>
  <c r="L76" i="18"/>
  <c r="G47" i="5" s="1"/>
  <c r="U76" i="18"/>
  <c r="G56" i="5" s="1"/>
  <c r="B136" i="6" s="1"/>
  <c r="V76" i="18"/>
  <c r="G65" i="5" s="1"/>
  <c r="F73" i="15" s="1"/>
  <c r="W76" i="18"/>
  <c r="G66" i="5" s="1"/>
  <c r="B143" i="6" s="1"/>
  <c r="X76" i="18"/>
  <c r="G76" i="18"/>
  <c r="G45" i="5" s="1"/>
  <c r="H76" i="18"/>
  <c r="G46" i="5" s="1"/>
  <c r="N17" i="18"/>
  <c r="X33" i="18"/>
  <c r="AB33" i="18"/>
  <c r="P30" i="18"/>
  <c r="N23" i="18"/>
  <c r="AB23" i="18"/>
  <c r="N15" i="18"/>
  <c r="AB15" i="18"/>
  <c r="X34" i="18"/>
  <c r="AB34" i="18"/>
  <c r="N28" i="18"/>
  <c r="AA28" i="18"/>
  <c r="N40" i="18"/>
  <c r="AA40" i="18"/>
  <c r="N33" i="18"/>
  <c r="N30" i="18"/>
  <c r="E17" i="5"/>
  <c r="C47" i="4" s="1"/>
  <c r="Y34" i="18"/>
  <c r="Z34" i="18" s="1"/>
  <c r="N34" i="18"/>
  <c r="N46" i="18"/>
  <c r="F34" i="18"/>
  <c r="Y33" i="18"/>
  <c r="Z33" i="18" s="1"/>
  <c r="F33" i="18"/>
  <c r="N29" i="18"/>
  <c r="N22" i="18"/>
  <c r="X46" i="18"/>
  <c r="Y46" i="18"/>
  <c r="Z46" i="18" s="1"/>
  <c r="F46" i="18"/>
  <c r="F29" i="18"/>
  <c r="Y29" i="18"/>
  <c r="Z29" i="18" s="1"/>
  <c r="X29" i="18"/>
  <c r="F15" i="18"/>
  <c r="Y15" i="18"/>
  <c r="Z15" i="18" s="1"/>
  <c r="X15" i="18"/>
  <c r="I40" i="18"/>
  <c r="F23" i="18"/>
  <c r="Y23" i="18"/>
  <c r="Z23" i="18" s="1"/>
  <c r="X23" i="18"/>
  <c r="F22" i="18"/>
  <c r="Y22" i="18"/>
  <c r="Z22" i="18" s="1"/>
  <c r="X22" i="18"/>
  <c r="F30" i="18"/>
  <c r="Y30" i="18"/>
  <c r="Z30" i="18" s="1"/>
  <c r="X30" i="18"/>
  <c r="I28" i="18"/>
  <c r="I37" i="18"/>
  <c r="U28" i="18"/>
  <c r="U30" i="18"/>
  <c r="U29" i="18"/>
  <c r="W46" i="18"/>
  <c r="U34" i="18"/>
  <c r="P29" i="18"/>
  <c r="P28" i="18"/>
  <c r="S62" i="18"/>
  <c r="O62" i="18" s="1"/>
  <c r="U33" i="18"/>
  <c r="T23" i="18"/>
  <c r="P15" i="18"/>
  <c r="T15" i="18"/>
  <c r="T22" i="18"/>
  <c r="U22" i="18"/>
  <c r="U23" i="18"/>
  <c r="P17" i="18"/>
  <c r="S71" i="18"/>
  <c r="O71" i="18" s="1"/>
  <c r="P46" i="18"/>
  <c r="T46" i="18"/>
  <c r="U46" i="18"/>
  <c r="S35" i="18"/>
  <c r="U40" i="18"/>
  <c r="P23" i="18"/>
  <c r="P34" i="18"/>
  <c r="P22" i="18"/>
  <c r="U37" i="18"/>
  <c r="S41" i="18"/>
  <c r="S39" i="18"/>
  <c r="P37" i="18"/>
  <c r="P33" i="18"/>
  <c r="P40" i="18"/>
  <c r="W104" i="6"/>
  <c r="G61" i="5" l="1"/>
  <c r="B140" i="6" s="1"/>
  <c r="G60" i="5"/>
  <c r="B138" i="6" s="1"/>
  <c r="F20" i="15" s="1"/>
  <c r="AB76" i="18"/>
  <c r="G58" i="5"/>
  <c r="S76" i="18"/>
  <c r="I76" i="18"/>
  <c r="B135" i="6"/>
  <c r="G59" i="5"/>
  <c r="B137" i="6" s="1"/>
  <c r="G44" i="5"/>
  <c r="D67" i="5" s="1"/>
  <c r="P76" i="18"/>
  <c r="D179" i="6"/>
  <c r="C28" i="16"/>
  <c r="O41" i="18"/>
  <c r="I34" i="18"/>
  <c r="I33" i="18"/>
  <c r="I46" i="18"/>
  <c r="I29" i="18"/>
  <c r="I30" i="18"/>
  <c r="I23" i="18"/>
  <c r="I22" i="18"/>
  <c r="I15" i="18"/>
  <c r="S15" i="18"/>
  <c r="S34" i="18"/>
  <c r="O34" i="18" s="1"/>
  <c r="S28" i="18"/>
  <c r="S30" i="18"/>
  <c r="S33" i="18"/>
  <c r="O33" i="18" s="1"/>
  <c r="S29" i="18"/>
  <c r="S17" i="18"/>
  <c r="S22" i="18"/>
  <c r="S23" i="18"/>
  <c r="S46" i="18"/>
  <c r="S40" i="18"/>
  <c r="S37" i="18"/>
  <c r="O37" i="18" s="1"/>
  <c r="Y104" i="6"/>
  <c r="F27" i="15" l="1"/>
  <c r="C136" i="6"/>
  <c r="D185" i="6"/>
  <c r="D183" i="20" s="1"/>
  <c r="O30" i="18"/>
  <c r="O28" i="18"/>
  <c r="O23" i="18"/>
  <c r="O15" i="18"/>
  <c r="O29" i="18"/>
  <c r="O17" i="18"/>
  <c r="O22" i="18"/>
  <c r="O46" i="18"/>
  <c r="O40" i="18"/>
  <c r="AA104" i="6"/>
  <c r="AA102" i="6"/>
  <c r="S102" i="6"/>
  <c r="K102" i="6"/>
  <c r="AE102" i="6"/>
  <c r="O102" i="6"/>
  <c r="AC102" i="6"/>
  <c r="U102" i="6"/>
  <c r="M102" i="6"/>
  <c r="Y102" i="6"/>
  <c r="Q102" i="6"/>
  <c r="I102" i="6"/>
  <c r="W102" i="6"/>
  <c r="M166" i="6"/>
  <c r="M170" i="6" s="1"/>
  <c r="U229" i="5" s="1"/>
  <c r="D174" i="6"/>
  <c r="D175" i="6"/>
  <c r="L166" i="6"/>
  <c r="L170" i="6" s="1"/>
  <c r="U228" i="5" s="1"/>
  <c r="N166" i="6"/>
  <c r="N170" i="6" s="1"/>
  <c r="U230" i="5" s="1"/>
  <c r="O166" i="6"/>
  <c r="O170" i="6" s="1"/>
  <c r="U231" i="5" s="1"/>
  <c r="P166" i="6"/>
  <c r="P170" i="6" s="1"/>
  <c r="U232" i="5" s="1"/>
  <c r="Q166" i="6"/>
  <c r="Q170" i="6" s="1"/>
  <c r="U233" i="5" s="1"/>
  <c r="R166" i="6"/>
  <c r="R170" i="6" s="1"/>
  <c r="U234" i="5" s="1"/>
  <c r="G166" i="6"/>
  <c r="G170" i="6" s="1"/>
  <c r="U223" i="5" s="1"/>
  <c r="H166" i="6"/>
  <c r="H170" i="6" s="1"/>
  <c r="U224" i="5" s="1"/>
  <c r="I166" i="6"/>
  <c r="I170" i="6" s="1"/>
  <c r="U225" i="5" s="1"/>
  <c r="J166" i="6"/>
  <c r="J170" i="6" s="1"/>
  <c r="U226" i="5" s="1"/>
  <c r="K166" i="6"/>
  <c r="K170" i="6" s="1"/>
  <c r="U227" i="5" s="1"/>
  <c r="D9" i="14"/>
  <c r="C9" i="14" s="1"/>
  <c r="D8" i="14"/>
  <c r="C8" i="14" s="1"/>
  <c r="U235" i="5" l="1"/>
  <c r="O61" i="10"/>
  <c r="AC109" i="6"/>
  <c r="F62" i="10"/>
  <c r="K109" i="6"/>
  <c r="N61" i="10"/>
  <c r="AA109" i="6"/>
  <c r="G61" i="10"/>
  <c r="M109" i="6"/>
  <c r="I61" i="10"/>
  <c r="Q109" i="6"/>
  <c r="E62" i="10"/>
  <c r="I109" i="6"/>
  <c r="M61" i="10"/>
  <c r="Y109" i="6"/>
  <c r="J61" i="10"/>
  <c r="S109" i="6"/>
  <c r="H61" i="10"/>
  <c r="O109" i="6"/>
  <c r="P61" i="10"/>
  <c r="AE109" i="6"/>
  <c r="L61" i="10"/>
  <c r="W109" i="6"/>
  <c r="K61" i="10"/>
  <c r="U109" i="6"/>
  <c r="AE112" i="6"/>
  <c r="AC104" i="6"/>
  <c r="AC112" i="6"/>
  <c r="C11" i="14"/>
  <c r="F15" i="14"/>
  <c r="F7" i="8"/>
  <c r="F6" i="8"/>
  <c r="F5" i="8"/>
  <c r="F4" i="8"/>
  <c r="D159" i="6"/>
  <c r="D156" i="6" l="1"/>
  <c r="H5" i="8"/>
  <c r="H6" i="8"/>
  <c r="AE104" i="6"/>
  <c r="D16" i="14"/>
  <c r="D14" i="14"/>
  <c r="D15" i="14"/>
  <c r="D17" i="14"/>
  <c r="C17" i="14"/>
  <c r="C15" i="14"/>
  <c r="C14" i="14"/>
  <c r="B17" i="14"/>
  <c r="B15" i="14"/>
  <c r="B14" i="14"/>
  <c r="D7" i="14"/>
  <c r="C7" i="14" s="1"/>
  <c r="D6" i="14"/>
  <c r="C6" i="14" s="1"/>
  <c r="D5" i="14"/>
  <c r="F9" i="8"/>
  <c r="F10" i="8"/>
  <c r="H10" i="8" s="1"/>
  <c r="F11" i="8"/>
  <c r="L207" i="5" l="1"/>
  <c r="G206" i="5" s="1"/>
  <c r="E161" i="6"/>
  <c r="E161" i="20"/>
  <c r="H11" i="8"/>
  <c r="D15" i="8" s="1"/>
  <c r="R168" i="6"/>
  <c r="R166" i="20" s="1"/>
  <c r="N168" i="6"/>
  <c r="N166" i="20" s="1"/>
  <c r="J168" i="6"/>
  <c r="J166" i="20" s="1"/>
  <c r="D168" i="6"/>
  <c r="C90" i="6" s="1"/>
  <c r="Q168" i="6"/>
  <c r="Q166" i="20" s="1"/>
  <c r="M168" i="6"/>
  <c r="M166" i="20" s="1"/>
  <c r="I168" i="6"/>
  <c r="I166" i="20" s="1"/>
  <c r="K168" i="6"/>
  <c r="K166" i="20" s="1"/>
  <c r="P168" i="6"/>
  <c r="P166" i="20" s="1"/>
  <c r="L168" i="6"/>
  <c r="L166" i="20" s="1"/>
  <c r="H168" i="6"/>
  <c r="H166" i="20" s="1"/>
  <c r="O168" i="6"/>
  <c r="O166" i="20" s="1"/>
  <c r="G168" i="6"/>
  <c r="G166" i="20" s="1"/>
  <c r="H4" i="8"/>
  <c r="H7" i="8" s="1"/>
  <c r="H9" i="8"/>
  <c r="D19" i="8"/>
  <c r="C5" i="14"/>
  <c r="E12" i="14"/>
  <c r="C16" i="8"/>
  <c r="C12" i="8"/>
  <c r="C8" i="8"/>
  <c r="C4" i="8"/>
  <c r="C11" i="8"/>
  <c r="C18" i="8"/>
  <c r="C14" i="8"/>
  <c r="C6" i="8"/>
  <c r="C17" i="8"/>
  <c r="C9" i="8"/>
  <c r="C19" i="8"/>
  <c r="C15" i="8"/>
  <c r="C7" i="8"/>
  <c r="C10" i="8"/>
  <c r="C13" i="8"/>
  <c r="C5" i="8"/>
  <c r="D7" i="8" l="1"/>
  <c r="D12" i="8"/>
  <c r="F4" i="15"/>
  <c r="D17" i="8"/>
  <c r="D13" i="8"/>
  <c r="D16" i="8"/>
  <c r="D14" i="8"/>
  <c r="D18" i="8"/>
  <c r="D166" i="20"/>
  <c r="D95" i="20" s="1"/>
  <c r="D8" i="8"/>
  <c r="D4" i="8"/>
  <c r="D11" i="8"/>
  <c r="D6" i="8"/>
  <c r="D10" i="8"/>
  <c r="D5" i="8"/>
  <c r="D9" i="8"/>
  <c r="V91" i="20"/>
  <c r="V92" i="20" s="1"/>
  <c r="AB91" i="20"/>
  <c r="AB92" i="20" s="1"/>
  <c r="R91" i="20"/>
  <c r="R92" i="20" s="1"/>
  <c r="L91" i="20"/>
  <c r="L92" i="20" s="1"/>
  <c r="P91" i="20"/>
  <c r="P92" i="20" s="1"/>
  <c r="J91" i="20"/>
  <c r="J92" i="20" s="1"/>
  <c r="AD91" i="20"/>
  <c r="AD92" i="20" s="1"/>
  <c r="Z91" i="20"/>
  <c r="Z92" i="20" s="1"/>
  <c r="T91" i="20"/>
  <c r="T92" i="20" s="1"/>
  <c r="X91" i="20"/>
  <c r="X92" i="20" s="1"/>
  <c r="AF91" i="20"/>
  <c r="AF92" i="20" s="1"/>
  <c r="D176" i="6"/>
  <c r="D92" i="5"/>
  <c r="D170" i="6"/>
  <c r="B27" i="8"/>
  <c r="B26" i="8"/>
  <c r="B24" i="8"/>
  <c r="B23" i="8"/>
  <c r="B19" i="8"/>
  <c r="B18" i="8"/>
  <c r="B17" i="8"/>
  <c r="B16" i="8"/>
  <c r="B15" i="8"/>
  <c r="B14" i="8"/>
  <c r="B13" i="8"/>
  <c r="B12" i="8"/>
  <c r="B11" i="8"/>
  <c r="B10" i="8"/>
  <c r="B9" i="8"/>
  <c r="B8" i="8"/>
  <c r="B7" i="8"/>
  <c r="B4" i="8"/>
  <c r="B5" i="8"/>
  <c r="B6" i="8"/>
  <c r="G205" i="5" l="1"/>
  <c r="G186" i="5"/>
  <c r="K198" i="5"/>
  <c r="I206" i="5"/>
  <c r="L4" i="15" s="1"/>
  <c r="D165" i="20"/>
  <c r="D169" i="20" s="1"/>
  <c r="D170" i="20" s="1"/>
  <c r="D156" i="20"/>
  <c r="N91" i="20"/>
  <c r="N92" i="20" s="1"/>
  <c r="G252" i="5"/>
  <c r="G147" i="20" s="1"/>
  <c r="I10" i="2"/>
  <c r="I14" i="2"/>
  <c r="I18" i="2"/>
  <c r="I22" i="2"/>
  <c r="I26" i="2"/>
  <c r="I30" i="2"/>
  <c r="I34" i="2"/>
  <c r="I38" i="2"/>
  <c r="I42" i="2"/>
  <c r="I46" i="2"/>
  <c r="I50" i="2"/>
  <c r="I54" i="2"/>
  <c r="I58" i="2"/>
  <c r="I62" i="2"/>
  <c r="I66" i="2"/>
  <c r="I70" i="2"/>
  <c r="I74" i="2"/>
  <c r="I78" i="2"/>
  <c r="I82" i="2"/>
  <c r="I86" i="2"/>
  <c r="I90" i="2"/>
  <c r="I94" i="2"/>
  <c r="I98" i="2"/>
  <c r="I102" i="2"/>
  <c r="I106" i="2"/>
  <c r="I110" i="2"/>
  <c r="I114" i="2"/>
  <c r="I118" i="2"/>
  <c r="I122" i="2"/>
  <c r="I126" i="2"/>
  <c r="I130" i="2"/>
  <c r="I134" i="2"/>
  <c r="I138" i="2"/>
  <c r="I142" i="2"/>
  <c r="I146" i="2"/>
  <c r="I150" i="2"/>
  <c r="I154" i="2"/>
  <c r="I158" i="2"/>
  <c r="I162" i="2"/>
  <c r="I166" i="2"/>
  <c r="I170" i="2"/>
  <c r="I174" i="2"/>
  <c r="I178" i="2"/>
  <c r="I182" i="2"/>
  <c r="I186" i="2"/>
  <c r="I190" i="2"/>
  <c r="I194" i="2"/>
  <c r="I198" i="2"/>
  <c r="I202" i="2"/>
  <c r="I206" i="2"/>
  <c r="I210" i="2"/>
  <c r="I214" i="2"/>
  <c r="I218" i="2"/>
  <c r="I222" i="2"/>
  <c r="I226" i="2"/>
  <c r="I230" i="2"/>
  <c r="I234" i="2"/>
  <c r="I238" i="2"/>
  <c r="I242" i="2"/>
  <c r="I246" i="2"/>
  <c r="I250" i="2"/>
  <c r="I254" i="2"/>
  <c r="I258" i="2"/>
  <c r="I262" i="2"/>
  <c r="I266" i="2"/>
  <c r="I270" i="2"/>
  <c r="I274" i="2"/>
  <c r="I278" i="2"/>
  <c r="I282" i="2"/>
  <c r="I290" i="2"/>
  <c r="I294" i="2"/>
  <c r="I298" i="2"/>
  <c r="I302" i="2"/>
  <c r="I306" i="2"/>
  <c r="I310" i="2"/>
  <c r="I314" i="2"/>
  <c r="I318" i="2"/>
  <c r="I322" i="2"/>
  <c r="I326" i="2"/>
  <c r="I330" i="2"/>
  <c r="I334" i="2"/>
  <c r="I338" i="2"/>
  <c r="I342" i="2"/>
  <c r="I346" i="2"/>
  <c r="I11" i="2"/>
  <c r="I15" i="2"/>
  <c r="I19" i="2"/>
  <c r="I23" i="2"/>
  <c r="I27" i="2"/>
  <c r="I31" i="2"/>
  <c r="I35" i="2"/>
  <c r="I39" i="2"/>
  <c r="I43" i="2"/>
  <c r="I47" i="2"/>
  <c r="I51" i="2"/>
  <c r="I55" i="2"/>
  <c r="I59" i="2"/>
  <c r="I63" i="2"/>
  <c r="I67" i="2"/>
  <c r="I71" i="2"/>
  <c r="I75" i="2"/>
  <c r="I79" i="2"/>
  <c r="I83" i="2"/>
  <c r="I87" i="2"/>
  <c r="I91" i="2"/>
  <c r="I95" i="2"/>
  <c r="I99" i="2"/>
  <c r="I103" i="2"/>
  <c r="I107" i="2"/>
  <c r="I111" i="2"/>
  <c r="I115" i="2"/>
  <c r="I119" i="2"/>
  <c r="I123" i="2"/>
  <c r="I127" i="2"/>
  <c r="I131" i="2"/>
  <c r="I135" i="2"/>
  <c r="I139" i="2"/>
  <c r="I143" i="2"/>
  <c r="I147" i="2"/>
  <c r="I151" i="2"/>
  <c r="I155" i="2"/>
  <c r="I159" i="2"/>
  <c r="I163" i="2"/>
  <c r="I167" i="2"/>
  <c r="I171" i="2"/>
  <c r="I175" i="2"/>
  <c r="I179" i="2"/>
  <c r="I183" i="2"/>
  <c r="I187" i="2"/>
  <c r="I191" i="2"/>
  <c r="I195" i="2"/>
  <c r="I199" i="2"/>
  <c r="I203" i="2"/>
  <c r="I207" i="2"/>
  <c r="I211" i="2"/>
  <c r="I215" i="2"/>
  <c r="I219" i="2"/>
  <c r="I223" i="2"/>
  <c r="I227" i="2"/>
  <c r="I231" i="2"/>
  <c r="I235" i="2"/>
  <c r="I239" i="2"/>
  <c r="I243" i="2"/>
  <c r="I247" i="2"/>
  <c r="I251" i="2"/>
  <c r="I255" i="2"/>
  <c r="I259" i="2"/>
  <c r="I263" i="2"/>
  <c r="I267" i="2"/>
  <c r="I271" i="2"/>
  <c r="I275" i="2"/>
  <c r="I279" i="2"/>
  <c r="I283" i="2"/>
  <c r="I287" i="2"/>
  <c r="I291" i="2"/>
  <c r="I295" i="2"/>
  <c r="I299" i="2"/>
  <c r="I303" i="2"/>
  <c r="I307" i="2"/>
  <c r="I311" i="2"/>
  <c r="I315" i="2"/>
  <c r="I319" i="2"/>
  <c r="I323" i="2"/>
  <c r="I327" i="2"/>
  <c r="I331" i="2"/>
  <c r="I335" i="2"/>
  <c r="I339" i="2"/>
  <c r="I343" i="2"/>
  <c r="I347" i="2"/>
  <c r="I12" i="2"/>
  <c r="I16" i="2"/>
  <c r="I20" i="2"/>
  <c r="I24" i="2"/>
  <c r="I28" i="2"/>
  <c r="I32" i="2"/>
  <c r="I36" i="2"/>
  <c r="I40" i="2"/>
  <c r="I44" i="2"/>
  <c r="I48" i="2"/>
  <c r="I52" i="2"/>
  <c r="I56" i="2"/>
  <c r="I60" i="2"/>
  <c r="I64" i="2"/>
  <c r="I68" i="2"/>
  <c r="I72" i="2"/>
  <c r="I76" i="2"/>
  <c r="I80" i="2"/>
  <c r="I84" i="2"/>
  <c r="I88" i="2"/>
  <c r="I92" i="2"/>
  <c r="I96" i="2"/>
  <c r="I100" i="2"/>
  <c r="I104" i="2"/>
  <c r="I108" i="2"/>
  <c r="I112" i="2"/>
  <c r="I116" i="2"/>
  <c r="I120" i="2"/>
  <c r="I124" i="2"/>
  <c r="I128" i="2"/>
  <c r="I132" i="2"/>
  <c r="I136" i="2"/>
  <c r="I140" i="2"/>
  <c r="I144" i="2"/>
  <c r="I148" i="2"/>
  <c r="I152" i="2"/>
  <c r="I156" i="2"/>
  <c r="I160" i="2"/>
  <c r="I164" i="2"/>
  <c r="I168" i="2"/>
  <c r="I172" i="2"/>
  <c r="I176" i="2"/>
  <c r="I180" i="2"/>
  <c r="I184" i="2"/>
  <c r="I188" i="2"/>
  <c r="I192" i="2"/>
  <c r="I196" i="2"/>
  <c r="I200" i="2"/>
  <c r="I204" i="2"/>
  <c r="I208" i="2"/>
  <c r="I212" i="2"/>
  <c r="I216" i="2"/>
  <c r="I220" i="2"/>
  <c r="I224" i="2"/>
  <c r="I228" i="2"/>
  <c r="I232" i="2"/>
  <c r="I236" i="2"/>
  <c r="I240" i="2"/>
  <c r="I244" i="2"/>
  <c r="I248" i="2"/>
  <c r="I252" i="2"/>
  <c r="I256" i="2"/>
  <c r="I260" i="2"/>
  <c r="I264" i="2"/>
  <c r="I268" i="2"/>
  <c r="I272" i="2"/>
  <c r="I276" i="2"/>
  <c r="I280" i="2"/>
  <c r="I288" i="2"/>
  <c r="I292" i="2"/>
  <c r="I296" i="2"/>
  <c r="I300" i="2"/>
  <c r="I304" i="2"/>
  <c r="I308" i="2"/>
  <c r="I312" i="2"/>
  <c r="I316" i="2"/>
  <c r="I320" i="2"/>
  <c r="I324" i="2"/>
  <c r="I328" i="2"/>
  <c r="I332" i="2"/>
  <c r="I336" i="2"/>
  <c r="I340" i="2"/>
  <c r="I344" i="2"/>
  <c r="I348" i="2"/>
  <c r="I13" i="2"/>
  <c r="I29" i="2"/>
  <c r="I45" i="2"/>
  <c r="I61" i="2"/>
  <c r="I77" i="2"/>
  <c r="I93" i="2"/>
  <c r="I109" i="2"/>
  <c r="I125" i="2"/>
  <c r="I141" i="2"/>
  <c r="I157" i="2"/>
  <c r="I173" i="2"/>
  <c r="I189" i="2"/>
  <c r="I205" i="2"/>
  <c r="I221" i="2"/>
  <c r="I237" i="2"/>
  <c r="I253" i="2"/>
  <c r="I269" i="2"/>
  <c r="I301" i="2"/>
  <c r="I317" i="2"/>
  <c r="I333" i="2"/>
  <c r="I349" i="2"/>
  <c r="I353" i="2"/>
  <c r="I357" i="2"/>
  <c r="I361" i="2"/>
  <c r="I365" i="2"/>
  <c r="I369" i="2"/>
  <c r="I373" i="2"/>
  <c r="I377" i="2"/>
  <c r="I381" i="2"/>
  <c r="I385" i="2"/>
  <c r="I389" i="2"/>
  <c r="I393" i="2"/>
  <c r="I397" i="2"/>
  <c r="I401" i="2"/>
  <c r="I405" i="2"/>
  <c r="I409" i="2"/>
  <c r="I413" i="2"/>
  <c r="I417" i="2"/>
  <c r="I421" i="2"/>
  <c r="I425" i="2"/>
  <c r="I429" i="2"/>
  <c r="I433" i="2"/>
  <c r="I437" i="2"/>
  <c r="I441" i="2"/>
  <c r="I445" i="2"/>
  <c r="I449" i="2"/>
  <c r="I453" i="2"/>
  <c r="I457" i="2"/>
  <c r="I461" i="2"/>
  <c r="I465" i="2"/>
  <c r="I469" i="2"/>
  <c r="I473" i="2"/>
  <c r="I458" i="2"/>
  <c r="I466" i="2"/>
  <c r="I470" i="2"/>
  <c r="I41" i="2"/>
  <c r="I121" i="2"/>
  <c r="I153" i="2"/>
  <c r="I201" i="2"/>
  <c r="I233" i="2"/>
  <c r="I281" i="2"/>
  <c r="I329" i="2"/>
  <c r="I356" i="2"/>
  <c r="I368" i="2"/>
  <c r="I380" i="2"/>
  <c r="I388" i="2"/>
  <c r="I400" i="2"/>
  <c r="I412" i="2"/>
  <c r="I424" i="2"/>
  <c r="I436" i="2"/>
  <c r="I444" i="2"/>
  <c r="I456" i="2"/>
  <c r="I468" i="2"/>
  <c r="I17" i="2"/>
  <c r="I33" i="2"/>
  <c r="I49" i="2"/>
  <c r="I65" i="2"/>
  <c r="I81" i="2"/>
  <c r="I97" i="2"/>
  <c r="I113" i="2"/>
  <c r="I129" i="2"/>
  <c r="I145" i="2"/>
  <c r="I161" i="2"/>
  <c r="I177" i="2"/>
  <c r="I193" i="2"/>
  <c r="I209" i="2"/>
  <c r="I225" i="2"/>
  <c r="I241" i="2"/>
  <c r="I257" i="2"/>
  <c r="I273" i="2"/>
  <c r="I289" i="2"/>
  <c r="I305" i="2"/>
  <c r="I321" i="2"/>
  <c r="I337" i="2"/>
  <c r="I350" i="2"/>
  <c r="I354" i="2"/>
  <c r="I358" i="2"/>
  <c r="I362" i="2"/>
  <c r="I366" i="2"/>
  <c r="I370" i="2"/>
  <c r="I374" i="2"/>
  <c r="I378" i="2"/>
  <c r="I382" i="2"/>
  <c r="I386" i="2"/>
  <c r="I390" i="2"/>
  <c r="I394" i="2"/>
  <c r="I398" i="2"/>
  <c r="I402" i="2"/>
  <c r="I406" i="2"/>
  <c r="I410" i="2"/>
  <c r="I414" i="2"/>
  <c r="I418" i="2"/>
  <c r="I422" i="2"/>
  <c r="I426" i="2"/>
  <c r="I430" i="2"/>
  <c r="I434" i="2"/>
  <c r="I438" i="2"/>
  <c r="I442" i="2"/>
  <c r="I446" i="2"/>
  <c r="I450" i="2"/>
  <c r="I454" i="2"/>
  <c r="I462" i="2"/>
  <c r="I474" i="2"/>
  <c r="I57" i="2"/>
  <c r="I185" i="2"/>
  <c r="I249" i="2"/>
  <c r="I297" i="2"/>
  <c r="I345" i="2"/>
  <c r="I360" i="2"/>
  <c r="I372" i="2"/>
  <c r="I384" i="2"/>
  <c r="I396" i="2"/>
  <c r="I408" i="2"/>
  <c r="I420" i="2"/>
  <c r="I432" i="2"/>
  <c r="I448" i="2"/>
  <c r="I460" i="2"/>
  <c r="I472" i="2"/>
  <c r="I21" i="2"/>
  <c r="I37" i="2"/>
  <c r="I53" i="2"/>
  <c r="I69" i="2"/>
  <c r="I85" i="2"/>
  <c r="I101" i="2"/>
  <c r="I117" i="2"/>
  <c r="I133" i="2"/>
  <c r="I149" i="2"/>
  <c r="I165" i="2"/>
  <c r="I181" i="2"/>
  <c r="I197" i="2"/>
  <c r="I213" i="2"/>
  <c r="I229" i="2"/>
  <c r="I245" i="2"/>
  <c r="I261" i="2"/>
  <c r="I277" i="2"/>
  <c r="I293" i="2"/>
  <c r="I309" i="2"/>
  <c r="I325" i="2"/>
  <c r="I341" i="2"/>
  <c r="I351" i="2"/>
  <c r="I355" i="2"/>
  <c r="I359" i="2"/>
  <c r="I363" i="2"/>
  <c r="I367" i="2"/>
  <c r="I371" i="2"/>
  <c r="I375" i="2"/>
  <c r="I379" i="2"/>
  <c r="I383" i="2"/>
  <c r="I387" i="2"/>
  <c r="I391" i="2"/>
  <c r="I395" i="2"/>
  <c r="I399" i="2"/>
  <c r="I403" i="2"/>
  <c r="I407" i="2"/>
  <c r="I411" i="2"/>
  <c r="I415" i="2"/>
  <c r="I419" i="2"/>
  <c r="I423" i="2"/>
  <c r="I427" i="2"/>
  <c r="I431" i="2"/>
  <c r="I435" i="2"/>
  <c r="I439" i="2"/>
  <c r="I443" i="2"/>
  <c r="I447" i="2"/>
  <c r="I451" i="2"/>
  <c r="I455" i="2"/>
  <c r="I459" i="2"/>
  <c r="I463" i="2"/>
  <c r="I467" i="2"/>
  <c r="I471" i="2"/>
  <c r="I25" i="2"/>
  <c r="I73" i="2"/>
  <c r="I89" i="2"/>
  <c r="I105" i="2"/>
  <c r="I137" i="2"/>
  <c r="I169" i="2"/>
  <c r="I217" i="2"/>
  <c r="I265" i="2"/>
  <c r="I313" i="2"/>
  <c r="I352" i="2"/>
  <c r="I364" i="2"/>
  <c r="I376" i="2"/>
  <c r="I392" i="2"/>
  <c r="I404" i="2"/>
  <c r="I416" i="2"/>
  <c r="I428" i="2"/>
  <c r="I440" i="2"/>
  <c r="I452" i="2"/>
  <c r="I464" i="2"/>
  <c r="I9" i="2"/>
  <c r="D91" i="20"/>
  <c r="D160" i="6"/>
  <c r="D160" i="20"/>
  <c r="D174" i="20"/>
  <c r="E86" i="20" s="1"/>
  <c r="G256" i="5"/>
  <c r="K147" i="20" s="1"/>
  <c r="G263" i="5"/>
  <c r="R147" i="20" s="1"/>
  <c r="G262" i="5"/>
  <c r="Q147" i="20" s="1"/>
  <c r="G253" i="5"/>
  <c r="H147" i="20" s="1"/>
  <c r="G254" i="5"/>
  <c r="I147" i="20" s="1"/>
  <c r="G255" i="5"/>
  <c r="J147" i="20" s="1"/>
  <c r="G260" i="5"/>
  <c r="G261" i="5"/>
  <c r="P147" i="20" s="1"/>
  <c r="G264" i="5"/>
  <c r="D147" i="20" s="1"/>
  <c r="C57" i="10" l="1"/>
  <c r="C54" i="10" s="1"/>
  <c r="C60" i="10" s="1"/>
  <c r="O147" i="20"/>
  <c r="D92" i="20"/>
  <c r="D171" i="20"/>
  <c r="N41" i="14"/>
  <c r="N40" i="14"/>
  <c r="N39" i="14"/>
  <c r="N38" i="14"/>
  <c r="E35" i="14"/>
  <c r="D35" i="14"/>
  <c r="E34" i="14"/>
  <c r="D34" i="14"/>
  <c r="E33" i="14"/>
  <c r="D33" i="14"/>
  <c r="P38" i="15" l="1"/>
  <c r="L38" i="14"/>
  <c r="L39" i="14"/>
  <c r="L40" i="14"/>
  <c r="L41" i="14"/>
  <c r="BA548" i="2" l="1"/>
  <c r="BB548" i="2" s="1"/>
  <c r="AW548" i="2"/>
  <c r="AX548" i="2" s="1"/>
  <c r="AS548" i="2"/>
  <c r="AT548" i="2" s="1"/>
  <c r="AP548" i="2"/>
  <c r="AL548" i="2"/>
  <c r="AH548" i="2"/>
  <c r="AC548" i="2"/>
  <c r="AD548" i="2" s="1"/>
  <c r="Y548" i="2"/>
  <c r="Z548" i="2" s="1"/>
  <c r="U548" i="2"/>
  <c r="V548" i="2" s="1"/>
  <c r="Q548" i="2"/>
  <c r="R548" i="2" s="1"/>
  <c r="BA547" i="2"/>
  <c r="BB547" i="2" s="1"/>
  <c r="AW547" i="2"/>
  <c r="AX547" i="2" s="1"/>
  <c r="AS547" i="2"/>
  <c r="AT547" i="2" s="1"/>
  <c r="AP547" i="2"/>
  <c r="AL547" i="2"/>
  <c r="AH547" i="2"/>
  <c r="AC547" i="2"/>
  <c r="AD547" i="2" s="1"/>
  <c r="Y547" i="2"/>
  <c r="Z547" i="2" s="1"/>
  <c r="U547" i="2"/>
  <c r="V547" i="2" s="1"/>
  <c r="Q547" i="2"/>
  <c r="R547" i="2" s="1"/>
  <c r="BA546" i="2"/>
  <c r="BB546" i="2" s="1"/>
  <c r="AW546" i="2"/>
  <c r="AX546" i="2" s="1"/>
  <c r="AS546" i="2"/>
  <c r="AT546" i="2" s="1"/>
  <c r="AP546" i="2"/>
  <c r="AL546" i="2"/>
  <c r="AH546" i="2"/>
  <c r="AC546" i="2"/>
  <c r="AD546" i="2" s="1"/>
  <c r="Y546" i="2"/>
  <c r="Z546" i="2" s="1"/>
  <c r="U546" i="2"/>
  <c r="V546" i="2" s="1"/>
  <c r="Q546" i="2"/>
  <c r="R546" i="2" s="1"/>
  <c r="BA545" i="2"/>
  <c r="BB545" i="2" s="1"/>
  <c r="AW545" i="2"/>
  <c r="AX545" i="2" s="1"/>
  <c r="AS545" i="2"/>
  <c r="AT545" i="2" s="1"/>
  <c r="AP545" i="2"/>
  <c r="AL545" i="2"/>
  <c r="AH545" i="2"/>
  <c r="AC545" i="2"/>
  <c r="Y545" i="2"/>
  <c r="Z545" i="2" s="1"/>
  <c r="U545" i="2"/>
  <c r="V545" i="2" s="1"/>
  <c r="Q545" i="2"/>
  <c r="R545" i="2" s="1"/>
  <c r="BA544" i="2"/>
  <c r="BB544" i="2" s="1"/>
  <c r="AW544" i="2"/>
  <c r="AX544" i="2" s="1"/>
  <c r="AS544" i="2"/>
  <c r="AT544" i="2" s="1"/>
  <c r="AP544" i="2"/>
  <c r="AL544" i="2"/>
  <c r="AH544" i="2"/>
  <c r="AC544" i="2"/>
  <c r="AD544" i="2" s="1"/>
  <c r="Y544" i="2"/>
  <c r="Z544" i="2" s="1"/>
  <c r="U544" i="2"/>
  <c r="V544" i="2" s="1"/>
  <c r="Q544" i="2"/>
  <c r="BA543" i="2"/>
  <c r="BB543" i="2" s="1"/>
  <c r="AW543" i="2"/>
  <c r="AX543" i="2" s="1"/>
  <c r="AS543" i="2"/>
  <c r="AT543" i="2" s="1"/>
  <c r="AP543" i="2"/>
  <c r="AL543" i="2"/>
  <c r="AH543" i="2"/>
  <c r="AC543" i="2"/>
  <c r="AD543" i="2" s="1"/>
  <c r="Y543" i="2"/>
  <c r="Z543" i="2" s="1"/>
  <c r="U543" i="2"/>
  <c r="V543" i="2" s="1"/>
  <c r="Q543" i="2"/>
  <c r="BA542" i="2"/>
  <c r="BB542" i="2" s="1"/>
  <c r="AW542" i="2"/>
  <c r="AX542" i="2" s="1"/>
  <c r="AS542" i="2"/>
  <c r="AT542" i="2" s="1"/>
  <c r="AP542" i="2"/>
  <c r="AL542" i="2"/>
  <c r="AH542" i="2"/>
  <c r="AC542" i="2"/>
  <c r="Y542" i="2"/>
  <c r="Z542" i="2" s="1"/>
  <c r="U542" i="2"/>
  <c r="V542" i="2" s="1"/>
  <c r="Q542" i="2"/>
  <c r="R542" i="2" s="1"/>
  <c r="BA541" i="2"/>
  <c r="BB541" i="2" s="1"/>
  <c r="AW541" i="2"/>
  <c r="AX541" i="2" s="1"/>
  <c r="AS541" i="2"/>
  <c r="AT541" i="2" s="1"/>
  <c r="AP541" i="2"/>
  <c r="AL541" i="2"/>
  <c r="AH541" i="2"/>
  <c r="AC541" i="2"/>
  <c r="AD541" i="2" s="1"/>
  <c r="Y541" i="2"/>
  <c r="Z541" i="2" s="1"/>
  <c r="U541" i="2"/>
  <c r="V541" i="2" s="1"/>
  <c r="Q541" i="2"/>
  <c r="BA540" i="2"/>
  <c r="BB540" i="2" s="1"/>
  <c r="AW540" i="2"/>
  <c r="AX540" i="2" s="1"/>
  <c r="AS540" i="2"/>
  <c r="AT540" i="2" s="1"/>
  <c r="AP540" i="2"/>
  <c r="AL540" i="2"/>
  <c r="AH540" i="2"/>
  <c r="AC540" i="2"/>
  <c r="AD540" i="2" s="1"/>
  <c r="Y540" i="2"/>
  <c r="Z540" i="2" s="1"/>
  <c r="U540" i="2"/>
  <c r="V540" i="2" s="1"/>
  <c r="Q540" i="2"/>
  <c r="BA539" i="2"/>
  <c r="BB539" i="2" s="1"/>
  <c r="AW539" i="2"/>
  <c r="AX539" i="2" s="1"/>
  <c r="AS539" i="2"/>
  <c r="AT539" i="2" s="1"/>
  <c r="AP539" i="2"/>
  <c r="AL539" i="2"/>
  <c r="AH539" i="2"/>
  <c r="AC539" i="2"/>
  <c r="AD539" i="2" s="1"/>
  <c r="Y539" i="2"/>
  <c r="Z539" i="2" s="1"/>
  <c r="U539" i="2"/>
  <c r="V539" i="2" s="1"/>
  <c r="Q539" i="2"/>
  <c r="BA538" i="2"/>
  <c r="BB538" i="2" s="1"/>
  <c r="AW538" i="2"/>
  <c r="AX538" i="2" s="1"/>
  <c r="AS538" i="2"/>
  <c r="AT538" i="2" s="1"/>
  <c r="AP538" i="2"/>
  <c r="AL538" i="2"/>
  <c r="AH538" i="2"/>
  <c r="AC538" i="2"/>
  <c r="AD538" i="2" s="1"/>
  <c r="Y538" i="2"/>
  <c r="Z538" i="2" s="1"/>
  <c r="U538" i="2"/>
  <c r="Q538" i="2"/>
  <c r="R538" i="2" s="1"/>
  <c r="BA537" i="2"/>
  <c r="BB537" i="2" s="1"/>
  <c r="AW537" i="2"/>
  <c r="AX537" i="2" s="1"/>
  <c r="AS537" i="2"/>
  <c r="AT537" i="2" s="1"/>
  <c r="AP537" i="2"/>
  <c r="AL537" i="2"/>
  <c r="AH537" i="2"/>
  <c r="AC537" i="2"/>
  <c r="AD537" i="2" s="1"/>
  <c r="Y537" i="2"/>
  <c r="Z537" i="2" s="1"/>
  <c r="U537" i="2"/>
  <c r="Q537" i="2"/>
  <c r="R537" i="2" s="1"/>
  <c r="BA536" i="2"/>
  <c r="BB536" i="2" s="1"/>
  <c r="AW536" i="2"/>
  <c r="AX536" i="2" s="1"/>
  <c r="AS536" i="2"/>
  <c r="AT536" i="2" s="1"/>
  <c r="AP536" i="2"/>
  <c r="AL536" i="2"/>
  <c r="AH536" i="2"/>
  <c r="AC536" i="2"/>
  <c r="AD536" i="2" s="1"/>
  <c r="Y536" i="2"/>
  <c r="Z536" i="2" s="1"/>
  <c r="U536" i="2"/>
  <c r="V536" i="2" s="1"/>
  <c r="Q536" i="2"/>
  <c r="BA535" i="2"/>
  <c r="BB535" i="2" s="1"/>
  <c r="AW535" i="2"/>
  <c r="AX535" i="2" s="1"/>
  <c r="AS535" i="2"/>
  <c r="AT535" i="2" s="1"/>
  <c r="AP535" i="2"/>
  <c r="AL535" i="2"/>
  <c r="AH535" i="2"/>
  <c r="AC535" i="2"/>
  <c r="AD535" i="2" s="1"/>
  <c r="Y535" i="2"/>
  <c r="Z535" i="2" s="1"/>
  <c r="U535" i="2"/>
  <c r="V535" i="2" s="1"/>
  <c r="Q535" i="2"/>
  <c r="BA534" i="2"/>
  <c r="BB534" i="2" s="1"/>
  <c r="AW534" i="2"/>
  <c r="AX534" i="2" s="1"/>
  <c r="AS534" i="2"/>
  <c r="AT534" i="2" s="1"/>
  <c r="AP534" i="2"/>
  <c r="AL534" i="2"/>
  <c r="AH534" i="2"/>
  <c r="AC534" i="2"/>
  <c r="Y534" i="2"/>
  <c r="Z534" i="2" s="1"/>
  <c r="U534" i="2"/>
  <c r="V534" i="2" s="1"/>
  <c r="Q534" i="2"/>
  <c r="R534" i="2" s="1"/>
  <c r="BA533" i="2"/>
  <c r="BB533" i="2" s="1"/>
  <c r="AW533" i="2"/>
  <c r="AX533" i="2" s="1"/>
  <c r="AS533" i="2"/>
  <c r="AT533" i="2" s="1"/>
  <c r="AP533" i="2"/>
  <c r="AL533" i="2"/>
  <c r="AH533" i="2"/>
  <c r="AC533" i="2"/>
  <c r="AD533" i="2" s="1"/>
  <c r="Y533" i="2"/>
  <c r="Z533" i="2" s="1"/>
  <c r="U533" i="2"/>
  <c r="Q533" i="2"/>
  <c r="R533" i="2" s="1"/>
  <c r="BA532" i="2"/>
  <c r="BB532" i="2" s="1"/>
  <c r="AW532" i="2"/>
  <c r="AX532" i="2" s="1"/>
  <c r="AS532" i="2"/>
  <c r="AT532" i="2" s="1"/>
  <c r="AP532" i="2"/>
  <c r="AL532" i="2"/>
  <c r="AH532" i="2"/>
  <c r="AC532" i="2"/>
  <c r="AD532" i="2" s="1"/>
  <c r="Y532" i="2"/>
  <c r="Z532" i="2" s="1"/>
  <c r="U532" i="2"/>
  <c r="V532" i="2" s="1"/>
  <c r="Q532" i="2"/>
  <c r="R532" i="2" s="1"/>
  <c r="BA531" i="2"/>
  <c r="BB531" i="2" s="1"/>
  <c r="AW531" i="2"/>
  <c r="AX531" i="2" s="1"/>
  <c r="AS531" i="2"/>
  <c r="AT531" i="2" s="1"/>
  <c r="AP531" i="2"/>
  <c r="AL531" i="2"/>
  <c r="AH531" i="2"/>
  <c r="AC531" i="2"/>
  <c r="AD531" i="2" s="1"/>
  <c r="Y531" i="2"/>
  <c r="Z531" i="2" s="1"/>
  <c r="U531" i="2"/>
  <c r="V531" i="2" s="1"/>
  <c r="Q531" i="2"/>
  <c r="BA530" i="2"/>
  <c r="BB530" i="2" s="1"/>
  <c r="AW530" i="2"/>
  <c r="AX530" i="2" s="1"/>
  <c r="AS530" i="2"/>
  <c r="AT530" i="2" s="1"/>
  <c r="AP530" i="2"/>
  <c r="AL530" i="2"/>
  <c r="AH530" i="2"/>
  <c r="AC530" i="2"/>
  <c r="AD530" i="2" s="1"/>
  <c r="Y530" i="2"/>
  <c r="Z530" i="2" s="1"/>
  <c r="U530" i="2"/>
  <c r="Q530" i="2"/>
  <c r="R530" i="2" s="1"/>
  <c r="BA529" i="2"/>
  <c r="BB529" i="2" s="1"/>
  <c r="AW529" i="2"/>
  <c r="AX529" i="2" s="1"/>
  <c r="AS529" i="2"/>
  <c r="AT529" i="2" s="1"/>
  <c r="AP529" i="2"/>
  <c r="AL529" i="2"/>
  <c r="AH529" i="2"/>
  <c r="AC529" i="2"/>
  <c r="AD529" i="2" s="1"/>
  <c r="Y529" i="2"/>
  <c r="Z529" i="2" s="1"/>
  <c r="U529" i="2"/>
  <c r="Q529" i="2"/>
  <c r="R529" i="2" s="1"/>
  <c r="BA528" i="2"/>
  <c r="BB528" i="2" s="1"/>
  <c r="AW528" i="2"/>
  <c r="AX528" i="2" s="1"/>
  <c r="AS528" i="2"/>
  <c r="AT528" i="2" s="1"/>
  <c r="AP528" i="2"/>
  <c r="AL528" i="2"/>
  <c r="AH528" i="2"/>
  <c r="AC528" i="2"/>
  <c r="AD528" i="2" s="1"/>
  <c r="Y528" i="2"/>
  <c r="Z528" i="2" s="1"/>
  <c r="U528" i="2"/>
  <c r="V528" i="2" s="1"/>
  <c r="Q528" i="2"/>
  <c r="BA527" i="2"/>
  <c r="BB527" i="2" s="1"/>
  <c r="AW527" i="2"/>
  <c r="AX527" i="2" s="1"/>
  <c r="AS527" i="2"/>
  <c r="AT527" i="2" s="1"/>
  <c r="AP527" i="2"/>
  <c r="AL527" i="2"/>
  <c r="AH527" i="2"/>
  <c r="AC527" i="2"/>
  <c r="AD527" i="2" s="1"/>
  <c r="Y527" i="2"/>
  <c r="Z527" i="2" s="1"/>
  <c r="U527" i="2"/>
  <c r="V527" i="2" s="1"/>
  <c r="Q527" i="2"/>
  <c r="BA526" i="2"/>
  <c r="BB526" i="2" s="1"/>
  <c r="AW526" i="2"/>
  <c r="AX526" i="2" s="1"/>
  <c r="AS526" i="2"/>
  <c r="AT526" i="2" s="1"/>
  <c r="AP526" i="2"/>
  <c r="AL526" i="2"/>
  <c r="AH526" i="2"/>
  <c r="AC526" i="2"/>
  <c r="AD526" i="2" s="1"/>
  <c r="Y526" i="2"/>
  <c r="Z526" i="2" s="1"/>
  <c r="U526" i="2"/>
  <c r="V526" i="2" s="1"/>
  <c r="Q526" i="2"/>
  <c r="BA525" i="2"/>
  <c r="BB525" i="2" s="1"/>
  <c r="AW525" i="2"/>
  <c r="AX525" i="2" s="1"/>
  <c r="AS525" i="2"/>
  <c r="AT525" i="2" s="1"/>
  <c r="AP525" i="2"/>
  <c r="AL525" i="2"/>
  <c r="AH525" i="2"/>
  <c r="AC525" i="2"/>
  <c r="AD525" i="2" s="1"/>
  <c r="Y525" i="2"/>
  <c r="Z525" i="2" s="1"/>
  <c r="U525" i="2"/>
  <c r="Q525" i="2"/>
  <c r="R525" i="2" s="1"/>
  <c r="BA524" i="2"/>
  <c r="BB524" i="2" s="1"/>
  <c r="AW524" i="2"/>
  <c r="AX524" i="2" s="1"/>
  <c r="AS524" i="2"/>
  <c r="AT524" i="2" s="1"/>
  <c r="AP524" i="2"/>
  <c r="AL524" i="2"/>
  <c r="AH524" i="2"/>
  <c r="AC524" i="2"/>
  <c r="AD524" i="2" s="1"/>
  <c r="Y524" i="2"/>
  <c r="Z524" i="2" s="1"/>
  <c r="U524" i="2"/>
  <c r="V524" i="2" s="1"/>
  <c r="Q524" i="2"/>
  <c r="BA523" i="2"/>
  <c r="BB523" i="2" s="1"/>
  <c r="AW523" i="2"/>
  <c r="AX523" i="2" s="1"/>
  <c r="AS523" i="2"/>
  <c r="AT523" i="2" s="1"/>
  <c r="AP523" i="2"/>
  <c r="AL523" i="2"/>
  <c r="AH523" i="2"/>
  <c r="AC523" i="2"/>
  <c r="AD523" i="2" s="1"/>
  <c r="Y523" i="2"/>
  <c r="Z523" i="2" s="1"/>
  <c r="U523" i="2"/>
  <c r="V523" i="2" s="1"/>
  <c r="Q523" i="2"/>
  <c r="BA522" i="2"/>
  <c r="AW522" i="2"/>
  <c r="AX522" i="2" s="1"/>
  <c r="AS522" i="2"/>
  <c r="AT522" i="2" s="1"/>
  <c r="AP522" i="2"/>
  <c r="AL522" i="2"/>
  <c r="AH522" i="2"/>
  <c r="AC522" i="2"/>
  <c r="AD522" i="2" s="1"/>
  <c r="Y522" i="2"/>
  <c r="Z522" i="2" s="1"/>
  <c r="U522" i="2"/>
  <c r="V522" i="2" s="1"/>
  <c r="Q522" i="2"/>
  <c r="R522" i="2" s="1"/>
  <c r="BA521" i="2"/>
  <c r="BB521" i="2" s="1"/>
  <c r="AW521" i="2"/>
  <c r="AX521" i="2" s="1"/>
  <c r="AS521" i="2"/>
  <c r="AT521" i="2" s="1"/>
  <c r="AP521" i="2"/>
  <c r="AL521" i="2"/>
  <c r="AH521" i="2"/>
  <c r="AC521" i="2"/>
  <c r="Y521" i="2"/>
  <c r="Z521" i="2" s="1"/>
  <c r="U521" i="2"/>
  <c r="V521" i="2" s="1"/>
  <c r="Q521" i="2"/>
  <c r="R521" i="2" s="1"/>
  <c r="BA520" i="2"/>
  <c r="BB520" i="2" s="1"/>
  <c r="AW520" i="2"/>
  <c r="AX520" i="2" s="1"/>
  <c r="AS520" i="2"/>
  <c r="AT520" i="2" s="1"/>
  <c r="AP520" i="2"/>
  <c r="AL520" i="2"/>
  <c r="AH520" i="2"/>
  <c r="AC520" i="2"/>
  <c r="AD520" i="2" s="1"/>
  <c r="Y520" i="2"/>
  <c r="Z520" i="2" s="1"/>
  <c r="U520" i="2"/>
  <c r="V520" i="2" s="1"/>
  <c r="Q520" i="2"/>
  <c r="BA519" i="2"/>
  <c r="BB519" i="2" s="1"/>
  <c r="AW519" i="2"/>
  <c r="AX519" i="2" s="1"/>
  <c r="AS519" i="2"/>
  <c r="AT519" i="2" s="1"/>
  <c r="AP519" i="2"/>
  <c r="AL519" i="2"/>
  <c r="AH519" i="2"/>
  <c r="AC519" i="2"/>
  <c r="AD519" i="2" s="1"/>
  <c r="Y519" i="2"/>
  <c r="Z519" i="2" s="1"/>
  <c r="U519" i="2"/>
  <c r="V519" i="2" s="1"/>
  <c r="Q519" i="2"/>
  <c r="BA518" i="2"/>
  <c r="BB518" i="2" s="1"/>
  <c r="AW518" i="2"/>
  <c r="AX518" i="2" s="1"/>
  <c r="AS518" i="2"/>
  <c r="AT518" i="2" s="1"/>
  <c r="AP518" i="2"/>
  <c r="AL518" i="2"/>
  <c r="AH518" i="2"/>
  <c r="AC518" i="2"/>
  <c r="AD518" i="2" s="1"/>
  <c r="Y518" i="2"/>
  <c r="Z518" i="2" s="1"/>
  <c r="U518" i="2"/>
  <c r="V518" i="2" s="1"/>
  <c r="Q518" i="2"/>
  <c r="R518" i="2" s="1"/>
  <c r="BA517" i="2"/>
  <c r="BB517" i="2" s="1"/>
  <c r="AW517" i="2"/>
  <c r="AX517" i="2" s="1"/>
  <c r="AS517" i="2"/>
  <c r="AT517" i="2" s="1"/>
  <c r="AP517" i="2"/>
  <c r="AL517" i="2"/>
  <c r="AH517" i="2"/>
  <c r="AC517" i="2"/>
  <c r="Y517" i="2"/>
  <c r="Z517" i="2" s="1"/>
  <c r="U517" i="2"/>
  <c r="V517" i="2" s="1"/>
  <c r="Q517" i="2"/>
  <c r="R517" i="2" s="1"/>
  <c r="BA516" i="2"/>
  <c r="BB516" i="2" s="1"/>
  <c r="AW516" i="2"/>
  <c r="AX516" i="2" s="1"/>
  <c r="AS516" i="2"/>
  <c r="AT516" i="2" s="1"/>
  <c r="AP516" i="2"/>
  <c r="AL516" i="2"/>
  <c r="AH516" i="2"/>
  <c r="AC516" i="2"/>
  <c r="AD516" i="2" s="1"/>
  <c r="Y516" i="2"/>
  <c r="Z516" i="2" s="1"/>
  <c r="U516" i="2"/>
  <c r="V516" i="2" s="1"/>
  <c r="Q516" i="2"/>
  <c r="BA515" i="2"/>
  <c r="BB515" i="2" s="1"/>
  <c r="AW515" i="2"/>
  <c r="AX515" i="2" s="1"/>
  <c r="AS515" i="2"/>
  <c r="AT515" i="2" s="1"/>
  <c r="AP515" i="2"/>
  <c r="AL515" i="2"/>
  <c r="AH515" i="2"/>
  <c r="AC515" i="2"/>
  <c r="AD515" i="2" s="1"/>
  <c r="Y515" i="2"/>
  <c r="Z515" i="2" s="1"/>
  <c r="U515" i="2"/>
  <c r="V515" i="2" s="1"/>
  <c r="Q515" i="2"/>
  <c r="R515" i="2" s="1"/>
  <c r="BA514" i="2"/>
  <c r="BB514" i="2" s="1"/>
  <c r="AW514" i="2"/>
  <c r="AX514" i="2" s="1"/>
  <c r="AS514" i="2"/>
  <c r="AT514" i="2" s="1"/>
  <c r="AP514" i="2"/>
  <c r="AL514" i="2"/>
  <c r="AH514" i="2"/>
  <c r="AC514" i="2"/>
  <c r="AD514" i="2" s="1"/>
  <c r="Y514" i="2"/>
  <c r="Z514" i="2" s="1"/>
  <c r="U514" i="2"/>
  <c r="V514" i="2" s="1"/>
  <c r="Q514" i="2"/>
  <c r="BA513" i="2"/>
  <c r="BB513" i="2" s="1"/>
  <c r="AW513" i="2"/>
  <c r="AX513" i="2" s="1"/>
  <c r="AS513" i="2"/>
  <c r="AT513" i="2" s="1"/>
  <c r="AP513" i="2"/>
  <c r="AL513" i="2"/>
  <c r="AH513" i="2"/>
  <c r="AC513" i="2"/>
  <c r="AD513" i="2" s="1"/>
  <c r="Y513" i="2"/>
  <c r="Z513" i="2" s="1"/>
  <c r="U513" i="2"/>
  <c r="V513" i="2" s="1"/>
  <c r="Q513" i="2"/>
  <c r="R513" i="2" s="1"/>
  <c r="BA512" i="2"/>
  <c r="BB512" i="2" s="1"/>
  <c r="AW512" i="2"/>
  <c r="AX512" i="2" s="1"/>
  <c r="AS512" i="2"/>
  <c r="AT512" i="2" s="1"/>
  <c r="AP512" i="2"/>
  <c r="AL512" i="2"/>
  <c r="AH512" i="2"/>
  <c r="AC512" i="2"/>
  <c r="AD512" i="2" s="1"/>
  <c r="Y512" i="2"/>
  <c r="Z512" i="2" s="1"/>
  <c r="U512" i="2"/>
  <c r="V512" i="2" s="1"/>
  <c r="Q512" i="2"/>
  <c r="R512" i="2" s="1"/>
  <c r="BA511" i="2"/>
  <c r="BB511" i="2" s="1"/>
  <c r="AW511" i="2"/>
  <c r="AX511" i="2" s="1"/>
  <c r="AS511" i="2"/>
  <c r="AT511" i="2" s="1"/>
  <c r="AP511" i="2"/>
  <c r="AL511" i="2"/>
  <c r="AH511" i="2"/>
  <c r="AC511" i="2"/>
  <c r="AD511" i="2" s="1"/>
  <c r="Y511" i="2"/>
  <c r="Z511" i="2" s="1"/>
  <c r="U511" i="2"/>
  <c r="V511" i="2" s="1"/>
  <c r="Q511" i="2"/>
  <c r="BA510" i="2"/>
  <c r="BB510" i="2" s="1"/>
  <c r="AW510" i="2"/>
  <c r="AX510" i="2" s="1"/>
  <c r="AS510" i="2"/>
  <c r="AT510" i="2" s="1"/>
  <c r="AP510" i="2"/>
  <c r="AL510" i="2"/>
  <c r="AH510" i="2"/>
  <c r="AC510" i="2"/>
  <c r="AD510" i="2" s="1"/>
  <c r="Y510" i="2"/>
  <c r="Z510" i="2" s="1"/>
  <c r="U510" i="2"/>
  <c r="V510" i="2" s="1"/>
  <c r="Q510" i="2"/>
  <c r="BA509" i="2"/>
  <c r="BB509" i="2" s="1"/>
  <c r="AW509" i="2"/>
  <c r="AX509" i="2" s="1"/>
  <c r="AS509" i="2"/>
  <c r="AP509" i="2"/>
  <c r="AL509" i="2"/>
  <c r="AH509" i="2"/>
  <c r="AC509" i="2"/>
  <c r="AD509" i="2" s="1"/>
  <c r="Y509" i="2"/>
  <c r="Z509" i="2" s="1"/>
  <c r="U509" i="2"/>
  <c r="V509" i="2" s="1"/>
  <c r="Q509" i="2"/>
  <c r="R509" i="2" s="1"/>
  <c r="BA508" i="2"/>
  <c r="BB508" i="2" s="1"/>
  <c r="AW508" i="2"/>
  <c r="AX508" i="2" s="1"/>
  <c r="AS508" i="2"/>
  <c r="AT508" i="2" s="1"/>
  <c r="AP508" i="2"/>
  <c r="AL508" i="2"/>
  <c r="AH508" i="2"/>
  <c r="AC508" i="2"/>
  <c r="AD508" i="2" s="1"/>
  <c r="Y508" i="2"/>
  <c r="Z508" i="2" s="1"/>
  <c r="U508" i="2"/>
  <c r="V508" i="2" s="1"/>
  <c r="Q508" i="2"/>
  <c r="R508" i="2" s="1"/>
  <c r="BA507" i="2"/>
  <c r="BB507" i="2" s="1"/>
  <c r="AW507" i="2"/>
  <c r="AX507" i="2" s="1"/>
  <c r="AS507" i="2"/>
  <c r="AT507" i="2" s="1"/>
  <c r="AP507" i="2"/>
  <c r="AL507" i="2"/>
  <c r="AH507" i="2"/>
  <c r="AC507" i="2"/>
  <c r="AD507" i="2" s="1"/>
  <c r="Y507" i="2"/>
  <c r="Z507" i="2" s="1"/>
  <c r="U507" i="2"/>
  <c r="V507" i="2" s="1"/>
  <c r="Q507" i="2"/>
  <c r="R507" i="2" s="1"/>
  <c r="BA506" i="2"/>
  <c r="BB506" i="2" s="1"/>
  <c r="AW506" i="2"/>
  <c r="AX506" i="2" s="1"/>
  <c r="AS506" i="2"/>
  <c r="AT506" i="2" s="1"/>
  <c r="AP506" i="2"/>
  <c r="AL506" i="2"/>
  <c r="AH506" i="2"/>
  <c r="AC506" i="2"/>
  <c r="AD506" i="2" s="1"/>
  <c r="Y506" i="2"/>
  <c r="Z506" i="2" s="1"/>
  <c r="U506" i="2"/>
  <c r="Q506" i="2"/>
  <c r="R506" i="2" s="1"/>
  <c r="BA505" i="2"/>
  <c r="BB505" i="2" s="1"/>
  <c r="AW505" i="2"/>
  <c r="AS505" i="2"/>
  <c r="AT505" i="2" s="1"/>
  <c r="AP505" i="2"/>
  <c r="AL505" i="2"/>
  <c r="AH505" i="2"/>
  <c r="AC505" i="2"/>
  <c r="AD505" i="2" s="1"/>
  <c r="Y505" i="2"/>
  <c r="Z505" i="2" s="1"/>
  <c r="U505" i="2"/>
  <c r="V505" i="2" s="1"/>
  <c r="Q505" i="2"/>
  <c r="R505" i="2" s="1"/>
  <c r="BA504" i="2"/>
  <c r="BB504" i="2" s="1"/>
  <c r="AW504" i="2"/>
  <c r="AX504" i="2" s="1"/>
  <c r="AS504" i="2"/>
  <c r="AT504" i="2" s="1"/>
  <c r="AP504" i="2"/>
  <c r="AL504" i="2"/>
  <c r="AH504" i="2"/>
  <c r="AC504" i="2"/>
  <c r="Y504" i="2"/>
  <c r="Z504" i="2" s="1"/>
  <c r="U504" i="2"/>
  <c r="V504" i="2" s="1"/>
  <c r="Q504" i="2"/>
  <c r="R504" i="2" s="1"/>
  <c r="BA503" i="2"/>
  <c r="BB503" i="2" s="1"/>
  <c r="AW503" i="2"/>
  <c r="AX503" i="2" s="1"/>
  <c r="AS503" i="2"/>
  <c r="AT503" i="2" s="1"/>
  <c r="AP503" i="2"/>
  <c r="AL503" i="2"/>
  <c r="AH503" i="2"/>
  <c r="AC503" i="2"/>
  <c r="AD503" i="2" s="1"/>
  <c r="Y503" i="2"/>
  <c r="Z503" i="2" s="1"/>
  <c r="U503" i="2"/>
  <c r="V503" i="2" s="1"/>
  <c r="Q503" i="2"/>
  <c r="R503" i="2" s="1"/>
  <c r="BA502" i="2"/>
  <c r="BB502" i="2" s="1"/>
  <c r="AW502" i="2"/>
  <c r="AX502" i="2" s="1"/>
  <c r="AS502" i="2"/>
  <c r="AT502" i="2" s="1"/>
  <c r="AP502" i="2"/>
  <c r="AL502" i="2"/>
  <c r="AH502" i="2"/>
  <c r="AC502" i="2"/>
  <c r="AD502" i="2" s="1"/>
  <c r="Y502" i="2"/>
  <c r="Z502" i="2" s="1"/>
  <c r="U502" i="2"/>
  <c r="V502" i="2" s="1"/>
  <c r="Q502" i="2"/>
  <c r="BA501" i="2"/>
  <c r="BB501" i="2" s="1"/>
  <c r="AW501" i="2"/>
  <c r="AX501" i="2" s="1"/>
  <c r="AS501" i="2"/>
  <c r="AT501" i="2" s="1"/>
  <c r="AP501" i="2"/>
  <c r="AL501" i="2"/>
  <c r="AH501" i="2"/>
  <c r="AC501" i="2"/>
  <c r="AD501" i="2" s="1"/>
  <c r="Y501" i="2"/>
  <c r="Z501" i="2" s="1"/>
  <c r="U501" i="2"/>
  <c r="V501" i="2" s="1"/>
  <c r="Q501" i="2"/>
  <c r="R501" i="2" s="1"/>
  <c r="BA500" i="2"/>
  <c r="BB500" i="2" s="1"/>
  <c r="AW500" i="2"/>
  <c r="AX500" i="2" s="1"/>
  <c r="AS500" i="2"/>
  <c r="AT500" i="2" s="1"/>
  <c r="AP500" i="2"/>
  <c r="AL500" i="2"/>
  <c r="AH500" i="2"/>
  <c r="AC500" i="2"/>
  <c r="AD500" i="2" s="1"/>
  <c r="Y500" i="2"/>
  <c r="Z500" i="2" s="1"/>
  <c r="U500" i="2"/>
  <c r="Q500" i="2"/>
  <c r="R500" i="2" s="1"/>
  <c r="BA499" i="2"/>
  <c r="BB499" i="2" s="1"/>
  <c r="AW499" i="2"/>
  <c r="AX499" i="2" s="1"/>
  <c r="AS499" i="2"/>
  <c r="AT499" i="2" s="1"/>
  <c r="AP499" i="2"/>
  <c r="AL499" i="2"/>
  <c r="AH499" i="2"/>
  <c r="AC499" i="2"/>
  <c r="AD499" i="2" s="1"/>
  <c r="Y499" i="2"/>
  <c r="Z499" i="2" s="1"/>
  <c r="U499" i="2"/>
  <c r="V499" i="2" s="1"/>
  <c r="Q499" i="2"/>
  <c r="BA498" i="2"/>
  <c r="BB498" i="2" s="1"/>
  <c r="AW498" i="2"/>
  <c r="AX498" i="2" s="1"/>
  <c r="AS498" i="2"/>
  <c r="AT498" i="2" s="1"/>
  <c r="AP498" i="2"/>
  <c r="AL498" i="2"/>
  <c r="AH498" i="2"/>
  <c r="AC498" i="2"/>
  <c r="AD498" i="2" s="1"/>
  <c r="Y498" i="2"/>
  <c r="Z498" i="2" s="1"/>
  <c r="U498" i="2"/>
  <c r="V498" i="2" s="1"/>
  <c r="Q498" i="2"/>
  <c r="R498" i="2" s="1"/>
  <c r="BA497" i="2"/>
  <c r="BB497" i="2" s="1"/>
  <c r="AW497" i="2"/>
  <c r="AX497" i="2" s="1"/>
  <c r="AS497" i="2"/>
  <c r="AP497" i="2"/>
  <c r="AL497" i="2"/>
  <c r="AH497" i="2"/>
  <c r="AC497" i="2"/>
  <c r="AD497" i="2" s="1"/>
  <c r="Y497" i="2"/>
  <c r="Z497" i="2" s="1"/>
  <c r="U497" i="2"/>
  <c r="V497" i="2" s="1"/>
  <c r="Q497" i="2"/>
  <c r="R497" i="2" s="1"/>
  <c r="BA496" i="2"/>
  <c r="BB496" i="2" s="1"/>
  <c r="AW496" i="2"/>
  <c r="AX496" i="2" s="1"/>
  <c r="AS496" i="2"/>
  <c r="AT496" i="2" s="1"/>
  <c r="AP496" i="2"/>
  <c r="AL496" i="2"/>
  <c r="AH496" i="2"/>
  <c r="AC496" i="2"/>
  <c r="AD496" i="2" s="1"/>
  <c r="Y496" i="2"/>
  <c r="Z496" i="2" s="1"/>
  <c r="U496" i="2"/>
  <c r="V496" i="2" s="1"/>
  <c r="Q496" i="2"/>
  <c r="BA495" i="2"/>
  <c r="BB495" i="2" s="1"/>
  <c r="AW495" i="2"/>
  <c r="AX495" i="2" s="1"/>
  <c r="AS495" i="2"/>
  <c r="AT495" i="2" s="1"/>
  <c r="AP495" i="2"/>
  <c r="AL495" i="2"/>
  <c r="AH495" i="2"/>
  <c r="AC495" i="2"/>
  <c r="AD495" i="2" s="1"/>
  <c r="Y495" i="2"/>
  <c r="Z495" i="2" s="1"/>
  <c r="U495" i="2"/>
  <c r="V495" i="2" s="1"/>
  <c r="Q495" i="2"/>
  <c r="R495" i="2" s="1"/>
  <c r="BA494" i="2"/>
  <c r="BB494" i="2" s="1"/>
  <c r="AW494" i="2"/>
  <c r="AX494" i="2" s="1"/>
  <c r="AS494" i="2"/>
  <c r="AT494" i="2" s="1"/>
  <c r="AP494" i="2"/>
  <c r="AL494" i="2"/>
  <c r="AH494" i="2"/>
  <c r="AC494" i="2"/>
  <c r="AD494" i="2" s="1"/>
  <c r="Y494" i="2"/>
  <c r="Z494" i="2" s="1"/>
  <c r="U494" i="2"/>
  <c r="Q494" i="2"/>
  <c r="R494" i="2" s="1"/>
  <c r="BA493" i="2"/>
  <c r="BB493" i="2" s="1"/>
  <c r="AW493" i="2"/>
  <c r="AX493" i="2" s="1"/>
  <c r="AS493" i="2"/>
  <c r="AT493" i="2" s="1"/>
  <c r="AP493" i="2"/>
  <c r="AL493" i="2"/>
  <c r="AH493" i="2"/>
  <c r="AC493" i="2"/>
  <c r="AD493" i="2" s="1"/>
  <c r="Y493" i="2"/>
  <c r="Z493" i="2" s="1"/>
  <c r="U493" i="2"/>
  <c r="V493" i="2" s="1"/>
  <c r="Q493" i="2"/>
  <c r="R493" i="2" s="1"/>
  <c r="BA492" i="2"/>
  <c r="BB492" i="2" s="1"/>
  <c r="AW492" i="2"/>
  <c r="AX492" i="2" s="1"/>
  <c r="AS492" i="2"/>
  <c r="AT492" i="2" s="1"/>
  <c r="AP492" i="2"/>
  <c r="AL492" i="2"/>
  <c r="AH492" i="2"/>
  <c r="AC492" i="2"/>
  <c r="AD492" i="2" s="1"/>
  <c r="Y492" i="2"/>
  <c r="Z492" i="2" s="1"/>
  <c r="U492" i="2"/>
  <c r="V492" i="2" s="1"/>
  <c r="Q492" i="2"/>
  <c r="BA491" i="2"/>
  <c r="BB491" i="2" s="1"/>
  <c r="AW491" i="2"/>
  <c r="AX491" i="2" s="1"/>
  <c r="AS491" i="2"/>
  <c r="AT491" i="2" s="1"/>
  <c r="AP491" i="2"/>
  <c r="AL491" i="2"/>
  <c r="AH491" i="2"/>
  <c r="AC491" i="2"/>
  <c r="AD491" i="2" s="1"/>
  <c r="Y491" i="2"/>
  <c r="Z491" i="2" s="1"/>
  <c r="U491" i="2"/>
  <c r="V491" i="2" s="1"/>
  <c r="Q491" i="2"/>
  <c r="BA490" i="2"/>
  <c r="BB490" i="2" s="1"/>
  <c r="AW490" i="2"/>
  <c r="AX490" i="2" s="1"/>
  <c r="AS490" i="2"/>
  <c r="AT490" i="2" s="1"/>
  <c r="AP490" i="2"/>
  <c r="AL490" i="2"/>
  <c r="AH490" i="2"/>
  <c r="AC490" i="2"/>
  <c r="AD490" i="2" s="1"/>
  <c r="Y490" i="2"/>
  <c r="Z490" i="2" s="1"/>
  <c r="U490" i="2"/>
  <c r="V490" i="2" s="1"/>
  <c r="Q490" i="2"/>
  <c r="BA489" i="2"/>
  <c r="BB489" i="2" s="1"/>
  <c r="AW489" i="2"/>
  <c r="AX489" i="2" s="1"/>
  <c r="AS489" i="2"/>
  <c r="AT489" i="2" s="1"/>
  <c r="AP489" i="2"/>
  <c r="AL489" i="2"/>
  <c r="AH489" i="2"/>
  <c r="AC489" i="2"/>
  <c r="AD489" i="2" s="1"/>
  <c r="Y489" i="2"/>
  <c r="Z489" i="2" s="1"/>
  <c r="U489" i="2"/>
  <c r="Q489" i="2"/>
  <c r="R489" i="2" s="1"/>
  <c r="BA488" i="2"/>
  <c r="BB488" i="2" s="1"/>
  <c r="AW488" i="2"/>
  <c r="AX488" i="2" s="1"/>
  <c r="AS488" i="2"/>
  <c r="AT488" i="2" s="1"/>
  <c r="AP488" i="2"/>
  <c r="AL488" i="2"/>
  <c r="AH488" i="2"/>
  <c r="AC488" i="2"/>
  <c r="AD488" i="2" s="1"/>
  <c r="Y488" i="2"/>
  <c r="U488" i="2"/>
  <c r="V488" i="2" s="1"/>
  <c r="Q488" i="2"/>
  <c r="R488" i="2" s="1"/>
  <c r="BA487" i="2"/>
  <c r="BB487" i="2" s="1"/>
  <c r="AW487" i="2"/>
  <c r="AX487" i="2" s="1"/>
  <c r="AS487" i="2"/>
  <c r="AT487" i="2" s="1"/>
  <c r="AP487" i="2"/>
  <c r="AL487" i="2"/>
  <c r="AH487" i="2"/>
  <c r="AC487" i="2"/>
  <c r="AD487" i="2" s="1"/>
  <c r="Y487" i="2"/>
  <c r="Z487" i="2" s="1"/>
  <c r="U487" i="2"/>
  <c r="V487" i="2" s="1"/>
  <c r="Q487" i="2"/>
  <c r="BA486" i="2"/>
  <c r="BB486" i="2" s="1"/>
  <c r="AW486" i="2"/>
  <c r="AX486" i="2" s="1"/>
  <c r="AS486" i="2"/>
  <c r="AT486" i="2" s="1"/>
  <c r="AP486" i="2"/>
  <c r="AL486" i="2"/>
  <c r="AH486" i="2"/>
  <c r="AC486" i="2"/>
  <c r="AD486" i="2" s="1"/>
  <c r="Y486" i="2"/>
  <c r="Z486" i="2" s="1"/>
  <c r="U486" i="2"/>
  <c r="V486" i="2" s="1"/>
  <c r="Q486" i="2"/>
  <c r="BA485" i="2"/>
  <c r="BB485" i="2" s="1"/>
  <c r="AW485" i="2"/>
  <c r="AS485" i="2"/>
  <c r="AT485" i="2" s="1"/>
  <c r="AP485" i="2"/>
  <c r="AL485" i="2"/>
  <c r="AH485" i="2"/>
  <c r="AC485" i="2"/>
  <c r="AD485" i="2" s="1"/>
  <c r="Y485" i="2"/>
  <c r="Z485" i="2" s="1"/>
  <c r="U485" i="2"/>
  <c r="V485" i="2" s="1"/>
  <c r="Q485" i="2"/>
  <c r="R485" i="2" s="1"/>
  <c r="BA484" i="2"/>
  <c r="BB484" i="2" s="1"/>
  <c r="AW484" i="2"/>
  <c r="AX484" i="2" s="1"/>
  <c r="AS484" i="2"/>
  <c r="AT484" i="2" s="1"/>
  <c r="AP484" i="2"/>
  <c r="AL484" i="2"/>
  <c r="AH484" i="2"/>
  <c r="AC484" i="2"/>
  <c r="AD484" i="2" s="1"/>
  <c r="Y484" i="2"/>
  <c r="Z484" i="2" s="1"/>
  <c r="U484" i="2"/>
  <c r="Q484" i="2"/>
  <c r="R484" i="2" s="1"/>
  <c r="BA483" i="2"/>
  <c r="BB483" i="2" s="1"/>
  <c r="AW483" i="2"/>
  <c r="AX483" i="2" s="1"/>
  <c r="AS483" i="2"/>
  <c r="AT483" i="2" s="1"/>
  <c r="AP483" i="2"/>
  <c r="AL483" i="2"/>
  <c r="AH483" i="2"/>
  <c r="AC483" i="2"/>
  <c r="AD483" i="2" s="1"/>
  <c r="Y483" i="2"/>
  <c r="Z483" i="2" s="1"/>
  <c r="U483" i="2"/>
  <c r="V483" i="2" s="1"/>
  <c r="Q483" i="2"/>
  <c r="BA482" i="2"/>
  <c r="BB482" i="2" s="1"/>
  <c r="AW482" i="2"/>
  <c r="AX482" i="2" s="1"/>
  <c r="AS482" i="2"/>
  <c r="AT482" i="2" s="1"/>
  <c r="AP482" i="2"/>
  <c r="AL482" i="2"/>
  <c r="AH482" i="2"/>
  <c r="AC482" i="2"/>
  <c r="AD482" i="2" s="1"/>
  <c r="Y482" i="2"/>
  <c r="Z482" i="2" s="1"/>
  <c r="U482" i="2"/>
  <c r="V482" i="2" s="1"/>
  <c r="Q482" i="2"/>
  <c r="R482" i="2" s="1"/>
  <c r="BA481" i="2"/>
  <c r="BB481" i="2" s="1"/>
  <c r="AW481" i="2"/>
  <c r="AX481" i="2" s="1"/>
  <c r="AS481" i="2"/>
  <c r="AP481" i="2"/>
  <c r="AL481" i="2"/>
  <c r="AH481" i="2"/>
  <c r="AC481" i="2"/>
  <c r="AD481" i="2" s="1"/>
  <c r="Y481" i="2"/>
  <c r="Z481" i="2" s="1"/>
  <c r="U481" i="2"/>
  <c r="V481" i="2" s="1"/>
  <c r="Q481" i="2"/>
  <c r="R481" i="2" s="1"/>
  <c r="BA480" i="2"/>
  <c r="BB480" i="2" s="1"/>
  <c r="AW480" i="2"/>
  <c r="AX480" i="2" s="1"/>
  <c r="AS480" i="2"/>
  <c r="AT480" i="2" s="1"/>
  <c r="AP480" i="2"/>
  <c r="AL480" i="2"/>
  <c r="AH480" i="2"/>
  <c r="AC480" i="2"/>
  <c r="AD480" i="2" s="1"/>
  <c r="Y480" i="2"/>
  <c r="Z480" i="2" s="1"/>
  <c r="U480" i="2"/>
  <c r="V480" i="2" s="1"/>
  <c r="Q480" i="2"/>
  <c r="R480" i="2" s="1"/>
  <c r="BA479" i="2"/>
  <c r="BB479" i="2" s="1"/>
  <c r="AW479" i="2"/>
  <c r="AX479" i="2" s="1"/>
  <c r="AS479" i="2"/>
  <c r="AT479" i="2" s="1"/>
  <c r="AP479" i="2"/>
  <c r="AL479" i="2"/>
  <c r="AH479" i="2"/>
  <c r="AC479" i="2"/>
  <c r="AD479" i="2" s="1"/>
  <c r="Y479" i="2"/>
  <c r="Z479" i="2" s="1"/>
  <c r="U479" i="2"/>
  <c r="V479" i="2" s="1"/>
  <c r="Q479" i="2"/>
  <c r="R479" i="2" s="1"/>
  <c r="BA478" i="2"/>
  <c r="BB478" i="2" s="1"/>
  <c r="AW478" i="2"/>
  <c r="AX478" i="2" s="1"/>
  <c r="AS478" i="2"/>
  <c r="AT478" i="2" s="1"/>
  <c r="AP478" i="2"/>
  <c r="AL478" i="2"/>
  <c r="AH478" i="2"/>
  <c r="AC478" i="2"/>
  <c r="AD478" i="2" s="1"/>
  <c r="Y478" i="2"/>
  <c r="Z478" i="2" s="1"/>
  <c r="U478" i="2"/>
  <c r="V478" i="2" s="1"/>
  <c r="Q478" i="2"/>
  <c r="R478" i="2" s="1"/>
  <c r="BA477" i="2"/>
  <c r="BB477" i="2" s="1"/>
  <c r="AW477" i="2"/>
  <c r="AX477" i="2" s="1"/>
  <c r="AS477" i="2"/>
  <c r="AT477" i="2" s="1"/>
  <c r="AP477" i="2"/>
  <c r="AL477" i="2"/>
  <c r="AH477" i="2"/>
  <c r="AC477" i="2"/>
  <c r="AD477" i="2" s="1"/>
  <c r="Y477" i="2"/>
  <c r="Z477" i="2" s="1"/>
  <c r="U477" i="2"/>
  <c r="V477" i="2" s="1"/>
  <c r="Q477" i="2"/>
  <c r="R477" i="2" s="1"/>
  <c r="BE476" i="2"/>
  <c r="BF476" i="2" s="1"/>
  <c r="BA476" i="2"/>
  <c r="BB476" i="2" s="1"/>
  <c r="AW476" i="2"/>
  <c r="AX476" i="2" s="1"/>
  <c r="AS476" i="2"/>
  <c r="AT476" i="2" s="1"/>
  <c r="AC476" i="2"/>
  <c r="AD476" i="2" s="1"/>
  <c r="Y476" i="2"/>
  <c r="Z476" i="2" s="1"/>
  <c r="U476" i="2"/>
  <c r="V476" i="2" s="1"/>
  <c r="Q476" i="2"/>
  <c r="R476" i="2" s="1"/>
  <c r="AU475" i="2"/>
  <c r="AQ475" i="2"/>
  <c r="AM475" i="2"/>
  <c r="AP475" i="2" s="1"/>
  <c r="AI475" i="2"/>
  <c r="AL475" i="2" s="1"/>
  <c r="AE475" i="2"/>
  <c r="AH475" i="2" s="1"/>
  <c r="AA475" i="2"/>
  <c r="W475" i="2"/>
  <c r="G475" i="2"/>
  <c r="F475" i="2"/>
  <c r="E475" i="2"/>
  <c r="D475" i="2"/>
  <c r="BE474" i="2"/>
  <c r="BF474" i="2" s="1"/>
  <c r="BA474" i="2"/>
  <c r="BB474" i="2" s="1"/>
  <c r="AW474" i="2"/>
  <c r="AX474" i="2" s="1"/>
  <c r="AS474" i="2"/>
  <c r="AT474" i="2" s="1"/>
  <c r="AC474" i="2"/>
  <c r="AD474" i="2" s="1"/>
  <c r="Y474" i="2"/>
  <c r="Z474" i="2" s="1"/>
  <c r="U474" i="2"/>
  <c r="V474" i="2" s="1"/>
  <c r="Q474" i="2"/>
  <c r="R474" i="2" s="1"/>
  <c r="D474" i="2"/>
  <c r="BE473" i="2"/>
  <c r="BF473" i="2" s="1"/>
  <c r="BA473" i="2"/>
  <c r="BB473" i="2" s="1"/>
  <c r="AW473" i="2"/>
  <c r="AX473" i="2" s="1"/>
  <c r="AS473" i="2"/>
  <c r="AT473" i="2" s="1"/>
  <c r="AC473" i="2"/>
  <c r="AD473" i="2" s="1"/>
  <c r="Y473" i="2"/>
  <c r="Z473" i="2" s="1"/>
  <c r="U473" i="2"/>
  <c r="V473" i="2" s="1"/>
  <c r="Q473" i="2"/>
  <c r="R473" i="2" s="1"/>
  <c r="D473" i="2"/>
  <c r="BE472" i="2"/>
  <c r="BF472" i="2" s="1"/>
  <c r="BA472" i="2"/>
  <c r="BB472" i="2" s="1"/>
  <c r="AW472" i="2"/>
  <c r="AX472" i="2" s="1"/>
  <c r="AS472" i="2"/>
  <c r="AT472" i="2" s="1"/>
  <c r="AC472" i="2"/>
  <c r="AD472" i="2" s="1"/>
  <c r="Y472" i="2"/>
  <c r="Z472" i="2" s="1"/>
  <c r="U472" i="2"/>
  <c r="V472" i="2" s="1"/>
  <c r="Q472" i="2"/>
  <c r="R472" i="2" s="1"/>
  <c r="J472" i="2"/>
  <c r="D472" i="2"/>
  <c r="BE471" i="2"/>
  <c r="BF471" i="2" s="1"/>
  <c r="BA471" i="2"/>
  <c r="BB471" i="2" s="1"/>
  <c r="AW471" i="2"/>
  <c r="AX471" i="2" s="1"/>
  <c r="AS471" i="2"/>
  <c r="AT471" i="2" s="1"/>
  <c r="AC471" i="2"/>
  <c r="AD471" i="2" s="1"/>
  <c r="Y471" i="2"/>
  <c r="Z471" i="2" s="1"/>
  <c r="U471" i="2"/>
  <c r="V471" i="2" s="1"/>
  <c r="Q471" i="2"/>
  <c r="R471" i="2" s="1"/>
  <c r="D471" i="2"/>
  <c r="BE470" i="2"/>
  <c r="BF470" i="2" s="1"/>
  <c r="BA470" i="2"/>
  <c r="BB470" i="2" s="1"/>
  <c r="AW470" i="2"/>
  <c r="AX470" i="2" s="1"/>
  <c r="AS470" i="2"/>
  <c r="AT470" i="2" s="1"/>
  <c r="AC470" i="2"/>
  <c r="AD470" i="2" s="1"/>
  <c r="Y470" i="2"/>
  <c r="Z470" i="2" s="1"/>
  <c r="U470" i="2"/>
  <c r="V470" i="2" s="1"/>
  <c r="Q470" i="2"/>
  <c r="R470" i="2" s="1"/>
  <c r="D470" i="2"/>
  <c r="BE469" i="2"/>
  <c r="BF469" i="2" s="1"/>
  <c r="BA469" i="2"/>
  <c r="BB469" i="2" s="1"/>
  <c r="AW469" i="2"/>
  <c r="AX469" i="2" s="1"/>
  <c r="AS469" i="2"/>
  <c r="AT469" i="2" s="1"/>
  <c r="AC469" i="2"/>
  <c r="AD469" i="2" s="1"/>
  <c r="Y469" i="2"/>
  <c r="Z469" i="2" s="1"/>
  <c r="U469" i="2"/>
  <c r="V469" i="2" s="1"/>
  <c r="Q469" i="2"/>
  <c r="R469" i="2" s="1"/>
  <c r="D469" i="2"/>
  <c r="BE468" i="2"/>
  <c r="BF468" i="2" s="1"/>
  <c r="BA468" i="2"/>
  <c r="BB468" i="2" s="1"/>
  <c r="AW468" i="2"/>
  <c r="AX468" i="2" s="1"/>
  <c r="AS468" i="2"/>
  <c r="AT468" i="2" s="1"/>
  <c r="AC468" i="2"/>
  <c r="AD468" i="2" s="1"/>
  <c r="Y468" i="2"/>
  <c r="Z468" i="2" s="1"/>
  <c r="U468" i="2"/>
  <c r="V468" i="2" s="1"/>
  <c r="Q468" i="2"/>
  <c r="R468" i="2" s="1"/>
  <c r="D468" i="2"/>
  <c r="BE467" i="2"/>
  <c r="BF467" i="2" s="1"/>
  <c r="BA467" i="2"/>
  <c r="BB467" i="2" s="1"/>
  <c r="AW467" i="2"/>
  <c r="AX467" i="2" s="1"/>
  <c r="AS467" i="2"/>
  <c r="AT467" i="2" s="1"/>
  <c r="AC467" i="2"/>
  <c r="AD467" i="2" s="1"/>
  <c r="Y467" i="2"/>
  <c r="Z467" i="2" s="1"/>
  <c r="U467" i="2"/>
  <c r="V467" i="2" s="1"/>
  <c r="Q467" i="2"/>
  <c r="R467" i="2" s="1"/>
  <c r="J467" i="2"/>
  <c r="D467" i="2"/>
  <c r="BE466" i="2"/>
  <c r="BF466" i="2" s="1"/>
  <c r="BA466" i="2"/>
  <c r="BB466" i="2" s="1"/>
  <c r="AW466" i="2"/>
  <c r="AX466" i="2" s="1"/>
  <c r="AS466" i="2"/>
  <c r="AT466" i="2" s="1"/>
  <c r="AC466" i="2"/>
  <c r="AD466" i="2" s="1"/>
  <c r="Y466" i="2"/>
  <c r="Z466" i="2" s="1"/>
  <c r="U466" i="2"/>
  <c r="V466" i="2" s="1"/>
  <c r="Q466" i="2"/>
  <c r="R466" i="2" s="1"/>
  <c r="D466" i="2"/>
  <c r="BE465" i="2"/>
  <c r="BF465" i="2" s="1"/>
  <c r="BA465" i="2"/>
  <c r="BB465" i="2" s="1"/>
  <c r="AW465" i="2"/>
  <c r="AX465" i="2" s="1"/>
  <c r="AS465" i="2"/>
  <c r="AT465" i="2" s="1"/>
  <c r="AC465" i="2"/>
  <c r="AD465" i="2" s="1"/>
  <c r="Y465" i="2"/>
  <c r="Z465" i="2" s="1"/>
  <c r="U465" i="2"/>
  <c r="V465" i="2" s="1"/>
  <c r="Q465" i="2"/>
  <c r="R465" i="2" s="1"/>
  <c r="J465" i="2"/>
  <c r="D465" i="2"/>
  <c r="BE464" i="2"/>
  <c r="BF464" i="2" s="1"/>
  <c r="BA464" i="2"/>
  <c r="BB464" i="2" s="1"/>
  <c r="AW464" i="2"/>
  <c r="AX464" i="2" s="1"/>
  <c r="AS464" i="2"/>
  <c r="AT464" i="2" s="1"/>
  <c r="AC464" i="2"/>
  <c r="AD464" i="2" s="1"/>
  <c r="Y464" i="2"/>
  <c r="Z464" i="2" s="1"/>
  <c r="U464" i="2"/>
  <c r="V464" i="2" s="1"/>
  <c r="Q464" i="2"/>
  <c r="R464" i="2" s="1"/>
  <c r="J464" i="2"/>
  <c r="D464" i="2"/>
  <c r="BE463" i="2"/>
  <c r="BF463" i="2" s="1"/>
  <c r="BA463" i="2"/>
  <c r="BB463" i="2" s="1"/>
  <c r="AW463" i="2"/>
  <c r="AX463" i="2" s="1"/>
  <c r="AS463" i="2"/>
  <c r="AT463" i="2" s="1"/>
  <c r="AC463" i="2"/>
  <c r="AD463" i="2" s="1"/>
  <c r="Y463" i="2"/>
  <c r="Z463" i="2" s="1"/>
  <c r="U463" i="2"/>
  <c r="V463" i="2" s="1"/>
  <c r="Q463" i="2"/>
  <c r="R463" i="2" s="1"/>
  <c r="D463" i="2"/>
  <c r="BE462" i="2"/>
  <c r="BF462" i="2" s="1"/>
  <c r="BA462" i="2"/>
  <c r="BB462" i="2" s="1"/>
  <c r="AW462" i="2"/>
  <c r="AX462" i="2" s="1"/>
  <c r="AS462" i="2"/>
  <c r="AT462" i="2" s="1"/>
  <c r="AC462" i="2"/>
  <c r="AD462" i="2" s="1"/>
  <c r="Y462" i="2"/>
  <c r="Z462" i="2" s="1"/>
  <c r="U462" i="2"/>
  <c r="V462" i="2" s="1"/>
  <c r="Q462" i="2"/>
  <c r="R462" i="2" s="1"/>
  <c r="J462" i="2"/>
  <c r="D462" i="2"/>
  <c r="BE461" i="2"/>
  <c r="BF461" i="2" s="1"/>
  <c r="BA461" i="2"/>
  <c r="BB461" i="2" s="1"/>
  <c r="AW461" i="2"/>
  <c r="AX461" i="2" s="1"/>
  <c r="AS461" i="2"/>
  <c r="AT461" i="2" s="1"/>
  <c r="AC461" i="2"/>
  <c r="AD461" i="2" s="1"/>
  <c r="Y461" i="2"/>
  <c r="Z461" i="2" s="1"/>
  <c r="U461" i="2"/>
  <c r="V461" i="2" s="1"/>
  <c r="Q461" i="2"/>
  <c r="R461" i="2" s="1"/>
  <c r="D461" i="2"/>
  <c r="BE460" i="2"/>
  <c r="BF460" i="2" s="1"/>
  <c r="BA460" i="2"/>
  <c r="BB460" i="2" s="1"/>
  <c r="AW460" i="2"/>
  <c r="AX460" i="2" s="1"/>
  <c r="AS460" i="2"/>
  <c r="AT460" i="2" s="1"/>
  <c r="AC460" i="2"/>
  <c r="AD460" i="2" s="1"/>
  <c r="Y460" i="2"/>
  <c r="Z460" i="2" s="1"/>
  <c r="U460" i="2"/>
  <c r="V460" i="2" s="1"/>
  <c r="Q460" i="2"/>
  <c r="R460" i="2" s="1"/>
  <c r="J460" i="2"/>
  <c r="D460" i="2"/>
  <c r="BE459" i="2"/>
  <c r="BF459" i="2" s="1"/>
  <c r="BA459" i="2"/>
  <c r="BB459" i="2" s="1"/>
  <c r="AW459" i="2"/>
  <c r="AX459" i="2" s="1"/>
  <c r="AS459" i="2"/>
  <c r="AT459" i="2" s="1"/>
  <c r="AC459" i="2"/>
  <c r="AD459" i="2" s="1"/>
  <c r="Y459" i="2"/>
  <c r="Z459" i="2" s="1"/>
  <c r="U459" i="2"/>
  <c r="V459" i="2" s="1"/>
  <c r="Q459" i="2"/>
  <c r="R459" i="2" s="1"/>
  <c r="D459" i="2"/>
  <c r="BE458" i="2"/>
  <c r="BF458" i="2" s="1"/>
  <c r="BA458" i="2"/>
  <c r="BB458" i="2" s="1"/>
  <c r="AW458" i="2"/>
  <c r="AX458" i="2" s="1"/>
  <c r="AS458" i="2"/>
  <c r="AT458" i="2" s="1"/>
  <c r="AC458" i="2"/>
  <c r="AD458" i="2" s="1"/>
  <c r="Y458" i="2"/>
  <c r="Z458" i="2" s="1"/>
  <c r="U458" i="2"/>
  <c r="V458" i="2" s="1"/>
  <c r="Q458" i="2"/>
  <c r="R458" i="2" s="1"/>
  <c r="D458" i="2"/>
  <c r="BE457" i="2"/>
  <c r="BF457" i="2" s="1"/>
  <c r="BA457" i="2"/>
  <c r="BB457" i="2" s="1"/>
  <c r="AW457" i="2"/>
  <c r="AX457" i="2" s="1"/>
  <c r="AS457" i="2"/>
  <c r="AT457" i="2" s="1"/>
  <c r="AC457" i="2"/>
  <c r="AD457" i="2" s="1"/>
  <c r="Y457" i="2"/>
  <c r="Z457" i="2" s="1"/>
  <c r="U457" i="2"/>
  <c r="V457" i="2" s="1"/>
  <c r="Q457" i="2"/>
  <c r="R457" i="2" s="1"/>
  <c r="D457" i="2"/>
  <c r="BE456" i="2"/>
  <c r="BF456" i="2" s="1"/>
  <c r="BA456" i="2"/>
  <c r="BB456" i="2" s="1"/>
  <c r="AW456" i="2"/>
  <c r="AX456" i="2" s="1"/>
  <c r="AS456" i="2"/>
  <c r="AT456" i="2" s="1"/>
  <c r="AC456" i="2"/>
  <c r="AD456" i="2" s="1"/>
  <c r="Y456" i="2"/>
  <c r="Z456" i="2" s="1"/>
  <c r="U456" i="2"/>
  <c r="V456" i="2" s="1"/>
  <c r="Q456" i="2"/>
  <c r="R456" i="2" s="1"/>
  <c r="J456" i="2"/>
  <c r="D456" i="2"/>
  <c r="BE455" i="2"/>
  <c r="BF455" i="2" s="1"/>
  <c r="BA455" i="2"/>
  <c r="BB455" i="2" s="1"/>
  <c r="AW455" i="2"/>
  <c r="AX455" i="2" s="1"/>
  <c r="AS455" i="2"/>
  <c r="AT455" i="2" s="1"/>
  <c r="AC455" i="2"/>
  <c r="AD455" i="2" s="1"/>
  <c r="Y455" i="2"/>
  <c r="Z455" i="2" s="1"/>
  <c r="U455" i="2"/>
  <c r="V455" i="2" s="1"/>
  <c r="Q455" i="2"/>
  <c r="R455" i="2" s="1"/>
  <c r="D455" i="2"/>
  <c r="BE454" i="2"/>
  <c r="BF454" i="2" s="1"/>
  <c r="BA454" i="2"/>
  <c r="BB454" i="2" s="1"/>
  <c r="AW454" i="2"/>
  <c r="AX454" i="2" s="1"/>
  <c r="AS454" i="2"/>
  <c r="AT454" i="2" s="1"/>
  <c r="AC454" i="2"/>
  <c r="AD454" i="2" s="1"/>
  <c r="Y454" i="2"/>
  <c r="Z454" i="2" s="1"/>
  <c r="U454" i="2"/>
  <c r="V454" i="2" s="1"/>
  <c r="Q454" i="2"/>
  <c r="R454" i="2" s="1"/>
  <c r="D454" i="2"/>
  <c r="BE453" i="2"/>
  <c r="BF453" i="2" s="1"/>
  <c r="BA453" i="2"/>
  <c r="BB453" i="2" s="1"/>
  <c r="AW453" i="2"/>
  <c r="AX453" i="2" s="1"/>
  <c r="AS453" i="2"/>
  <c r="AT453" i="2" s="1"/>
  <c r="AC453" i="2"/>
  <c r="AD453" i="2" s="1"/>
  <c r="Y453" i="2"/>
  <c r="Z453" i="2" s="1"/>
  <c r="U453" i="2"/>
  <c r="V453" i="2" s="1"/>
  <c r="Q453" i="2"/>
  <c r="R453" i="2" s="1"/>
  <c r="D453" i="2"/>
  <c r="BE452" i="2"/>
  <c r="BF452" i="2" s="1"/>
  <c r="BA452" i="2"/>
  <c r="BB452" i="2" s="1"/>
  <c r="AW452" i="2"/>
  <c r="AX452" i="2" s="1"/>
  <c r="AS452" i="2"/>
  <c r="AT452" i="2" s="1"/>
  <c r="AC452" i="2"/>
  <c r="AD452" i="2" s="1"/>
  <c r="Y452" i="2"/>
  <c r="Z452" i="2" s="1"/>
  <c r="U452" i="2"/>
  <c r="V452" i="2" s="1"/>
  <c r="Q452" i="2"/>
  <c r="R452" i="2" s="1"/>
  <c r="D452" i="2"/>
  <c r="BE451" i="2"/>
  <c r="BF451" i="2" s="1"/>
  <c r="BA451" i="2"/>
  <c r="BB451" i="2" s="1"/>
  <c r="AW451" i="2"/>
  <c r="AX451" i="2" s="1"/>
  <c r="AS451" i="2"/>
  <c r="AT451" i="2" s="1"/>
  <c r="AC451" i="2"/>
  <c r="AD451" i="2" s="1"/>
  <c r="Y451" i="2"/>
  <c r="Z451" i="2" s="1"/>
  <c r="U451" i="2"/>
  <c r="V451" i="2" s="1"/>
  <c r="Q451" i="2"/>
  <c r="R451" i="2" s="1"/>
  <c r="D451" i="2"/>
  <c r="BE450" i="2"/>
  <c r="BF450" i="2" s="1"/>
  <c r="BA450" i="2"/>
  <c r="BB450" i="2" s="1"/>
  <c r="AW450" i="2"/>
  <c r="AX450" i="2" s="1"/>
  <c r="AS450" i="2"/>
  <c r="AT450" i="2" s="1"/>
  <c r="AC450" i="2"/>
  <c r="AD450" i="2" s="1"/>
  <c r="Y450" i="2"/>
  <c r="Z450" i="2" s="1"/>
  <c r="U450" i="2"/>
  <c r="V450" i="2" s="1"/>
  <c r="Q450" i="2"/>
  <c r="R450" i="2" s="1"/>
  <c r="D450" i="2"/>
  <c r="BE449" i="2"/>
  <c r="BF449" i="2" s="1"/>
  <c r="BA449" i="2"/>
  <c r="BB449" i="2" s="1"/>
  <c r="AW449" i="2"/>
  <c r="AX449" i="2" s="1"/>
  <c r="AS449" i="2"/>
  <c r="AT449" i="2" s="1"/>
  <c r="AC449" i="2"/>
  <c r="AD449" i="2" s="1"/>
  <c r="Y449" i="2"/>
  <c r="Z449" i="2" s="1"/>
  <c r="U449" i="2"/>
  <c r="V449" i="2" s="1"/>
  <c r="Q449" i="2"/>
  <c r="R449" i="2" s="1"/>
  <c r="D449" i="2"/>
  <c r="BE448" i="2"/>
  <c r="BF448" i="2" s="1"/>
  <c r="BA448" i="2"/>
  <c r="BB448" i="2" s="1"/>
  <c r="AW448" i="2"/>
  <c r="AX448" i="2" s="1"/>
  <c r="AS448" i="2"/>
  <c r="AT448" i="2" s="1"/>
  <c r="AC448" i="2"/>
  <c r="AD448" i="2" s="1"/>
  <c r="Y448" i="2"/>
  <c r="Z448" i="2" s="1"/>
  <c r="U448" i="2"/>
  <c r="V448" i="2" s="1"/>
  <c r="Q448" i="2"/>
  <c r="R448" i="2" s="1"/>
  <c r="D448" i="2"/>
  <c r="BE447" i="2"/>
  <c r="BF447" i="2" s="1"/>
  <c r="BA447" i="2"/>
  <c r="BB447" i="2" s="1"/>
  <c r="AW447" i="2"/>
  <c r="AX447" i="2" s="1"/>
  <c r="AS447" i="2"/>
  <c r="AT447" i="2" s="1"/>
  <c r="AC447" i="2"/>
  <c r="AD447" i="2" s="1"/>
  <c r="Y447" i="2"/>
  <c r="Z447" i="2" s="1"/>
  <c r="U447" i="2"/>
  <c r="V447" i="2" s="1"/>
  <c r="Q447" i="2"/>
  <c r="R447" i="2" s="1"/>
  <c r="D447" i="2"/>
  <c r="BE446" i="2"/>
  <c r="BF446" i="2" s="1"/>
  <c r="BA446" i="2"/>
  <c r="BB446" i="2" s="1"/>
  <c r="AW446" i="2"/>
  <c r="AX446" i="2" s="1"/>
  <c r="AS446" i="2"/>
  <c r="AT446" i="2" s="1"/>
  <c r="AC446" i="2"/>
  <c r="AD446" i="2" s="1"/>
  <c r="Y446" i="2"/>
  <c r="Z446" i="2" s="1"/>
  <c r="U446" i="2"/>
  <c r="V446" i="2" s="1"/>
  <c r="Q446" i="2"/>
  <c r="R446" i="2" s="1"/>
  <c r="D446" i="2"/>
  <c r="BE445" i="2"/>
  <c r="BF445" i="2" s="1"/>
  <c r="BA445" i="2"/>
  <c r="BB445" i="2" s="1"/>
  <c r="AW445" i="2"/>
  <c r="AX445" i="2" s="1"/>
  <c r="AS445" i="2"/>
  <c r="AT445" i="2" s="1"/>
  <c r="AC445" i="2"/>
  <c r="AD445" i="2" s="1"/>
  <c r="Y445" i="2"/>
  <c r="Z445" i="2" s="1"/>
  <c r="U445" i="2"/>
  <c r="V445" i="2" s="1"/>
  <c r="Q445" i="2"/>
  <c r="R445" i="2" s="1"/>
  <c r="D445" i="2"/>
  <c r="BE444" i="2"/>
  <c r="BF444" i="2" s="1"/>
  <c r="BA444" i="2"/>
  <c r="BB444" i="2" s="1"/>
  <c r="AW444" i="2"/>
  <c r="AX444" i="2" s="1"/>
  <c r="AS444" i="2"/>
  <c r="AT444" i="2" s="1"/>
  <c r="AC444" i="2"/>
  <c r="AD444" i="2" s="1"/>
  <c r="Y444" i="2"/>
  <c r="Z444" i="2" s="1"/>
  <c r="U444" i="2"/>
  <c r="V444" i="2" s="1"/>
  <c r="Q444" i="2"/>
  <c r="R444" i="2" s="1"/>
  <c r="D444" i="2"/>
  <c r="BE443" i="2"/>
  <c r="BF443" i="2" s="1"/>
  <c r="BA443" i="2"/>
  <c r="BB443" i="2" s="1"/>
  <c r="AW443" i="2"/>
  <c r="AX443" i="2" s="1"/>
  <c r="AS443" i="2"/>
  <c r="AT443" i="2" s="1"/>
  <c r="AC443" i="2"/>
  <c r="AD443" i="2" s="1"/>
  <c r="Y443" i="2"/>
  <c r="Z443" i="2" s="1"/>
  <c r="U443" i="2"/>
  <c r="V443" i="2" s="1"/>
  <c r="Q443" i="2"/>
  <c r="R443" i="2" s="1"/>
  <c r="J443" i="2"/>
  <c r="D443" i="2"/>
  <c r="BE442" i="2"/>
  <c r="BF442" i="2" s="1"/>
  <c r="BA442" i="2"/>
  <c r="BB442" i="2" s="1"/>
  <c r="AW442" i="2"/>
  <c r="AX442" i="2" s="1"/>
  <c r="AS442" i="2"/>
  <c r="AT442" i="2" s="1"/>
  <c r="AC442" i="2"/>
  <c r="AD442" i="2" s="1"/>
  <c r="Y442" i="2"/>
  <c r="Z442" i="2" s="1"/>
  <c r="U442" i="2"/>
  <c r="V442" i="2" s="1"/>
  <c r="Q442" i="2"/>
  <c r="R442" i="2" s="1"/>
  <c r="D442" i="2"/>
  <c r="BE441" i="2"/>
  <c r="BF441" i="2" s="1"/>
  <c r="BA441" i="2"/>
  <c r="BB441" i="2" s="1"/>
  <c r="AW441" i="2"/>
  <c r="AX441" i="2" s="1"/>
  <c r="AS441" i="2"/>
  <c r="AT441" i="2" s="1"/>
  <c r="AC441" i="2"/>
  <c r="AD441" i="2" s="1"/>
  <c r="Y441" i="2"/>
  <c r="Z441" i="2" s="1"/>
  <c r="U441" i="2"/>
  <c r="V441" i="2" s="1"/>
  <c r="Q441" i="2"/>
  <c r="R441" i="2" s="1"/>
  <c r="D441" i="2"/>
  <c r="BE440" i="2"/>
  <c r="BF440" i="2" s="1"/>
  <c r="BA440" i="2"/>
  <c r="BB440" i="2" s="1"/>
  <c r="AW440" i="2"/>
  <c r="AX440" i="2" s="1"/>
  <c r="AS440" i="2"/>
  <c r="AT440" i="2" s="1"/>
  <c r="AC440" i="2"/>
  <c r="AD440" i="2" s="1"/>
  <c r="Y440" i="2"/>
  <c r="Z440" i="2" s="1"/>
  <c r="U440" i="2"/>
  <c r="V440" i="2" s="1"/>
  <c r="Q440" i="2"/>
  <c r="R440" i="2" s="1"/>
  <c r="D440" i="2"/>
  <c r="BE439" i="2"/>
  <c r="BF439" i="2" s="1"/>
  <c r="BA439" i="2"/>
  <c r="BB439" i="2" s="1"/>
  <c r="AW439" i="2"/>
  <c r="AX439" i="2" s="1"/>
  <c r="AS439" i="2"/>
  <c r="AT439" i="2" s="1"/>
  <c r="AC439" i="2"/>
  <c r="AD439" i="2" s="1"/>
  <c r="Y439" i="2"/>
  <c r="Z439" i="2" s="1"/>
  <c r="U439" i="2"/>
  <c r="V439" i="2" s="1"/>
  <c r="Q439" i="2"/>
  <c r="R439" i="2" s="1"/>
  <c r="D439" i="2"/>
  <c r="BE438" i="2"/>
  <c r="BF438" i="2" s="1"/>
  <c r="BA438" i="2"/>
  <c r="BB438" i="2" s="1"/>
  <c r="AW438" i="2"/>
  <c r="AX438" i="2" s="1"/>
  <c r="AS438" i="2"/>
  <c r="AT438" i="2" s="1"/>
  <c r="AC438" i="2"/>
  <c r="AD438" i="2" s="1"/>
  <c r="Y438" i="2"/>
  <c r="Z438" i="2" s="1"/>
  <c r="U438" i="2"/>
  <c r="V438" i="2" s="1"/>
  <c r="Q438" i="2"/>
  <c r="R438" i="2" s="1"/>
  <c r="D438" i="2"/>
  <c r="BE437" i="2"/>
  <c r="BF437" i="2" s="1"/>
  <c r="BA437" i="2"/>
  <c r="BB437" i="2" s="1"/>
  <c r="AW437" i="2"/>
  <c r="AX437" i="2" s="1"/>
  <c r="AS437" i="2"/>
  <c r="AT437" i="2" s="1"/>
  <c r="AC437" i="2"/>
  <c r="AD437" i="2" s="1"/>
  <c r="Y437" i="2"/>
  <c r="Z437" i="2" s="1"/>
  <c r="U437" i="2"/>
  <c r="V437" i="2" s="1"/>
  <c r="Q437" i="2"/>
  <c r="R437" i="2" s="1"/>
  <c r="D437" i="2"/>
  <c r="BE436" i="2"/>
  <c r="BF436" i="2" s="1"/>
  <c r="BA436" i="2"/>
  <c r="BB436" i="2" s="1"/>
  <c r="AW436" i="2"/>
  <c r="AX436" i="2" s="1"/>
  <c r="AS436" i="2"/>
  <c r="AT436" i="2" s="1"/>
  <c r="AC436" i="2"/>
  <c r="AD436" i="2" s="1"/>
  <c r="Y436" i="2"/>
  <c r="Z436" i="2" s="1"/>
  <c r="U436" i="2"/>
  <c r="V436" i="2" s="1"/>
  <c r="Q436" i="2"/>
  <c r="R436" i="2" s="1"/>
  <c r="D436" i="2"/>
  <c r="BE435" i="2"/>
  <c r="BF435" i="2" s="1"/>
  <c r="BA435" i="2"/>
  <c r="BB435" i="2" s="1"/>
  <c r="AW435" i="2"/>
  <c r="AX435" i="2" s="1"/>
  <c r="AS435" i="2"/>
  <c r="AT435" i="2" s="1"/>
  <c r="AC435" i="2"/>
  <c r="AD435" i="2" s="1"/>
  <c r="Y435" i="2"/>
  <c r="Z435" i="2" s="1"/>
  <c r="U435" i="2"/>
  <c r="V435" i="2" s="1"/>
  <c r="Q435" i="2"/>
  <c r="R435" i="2" s="1"/>
  <c r="J435" i="2"/>
  <c r="D435" i="2"/>
  <c r="BE434" i="2"/>
  <c r="BF434" i="2" s="1"/>
  <c r="BA434" i="2"/>
  <c r="BB434" i="2" s="1"/>
  <c r="AW434" i="2"/>
  <c r="AX434" i="2" s="1"/>
  <c r="AS434" i="2"/>
  <c r="AT434" i="2" s="1"/>
  <c r="AC434" i="2"/>
  <c r="AD434" i="2" s="1"/>
  <c r="Y434" i="2"/>
  <c r="Z434" i="2" s="1"/>
  <c r="U434" i="2"/>
  <c r="V434" i="2" s="1"/>
  <c r="Q434" i="2"/>
  <c r="R434" i="2" s="1"/>
  <c r="D434" i="2"/>
  <c r="BE433" i="2"/>
  <c r="BF433" i="2" s="1"/>
  <c r="BA433" i="2"/>
  <c r="BB433" i="2" s="1"/>
  <c r="AW433" i="2"/>
  <c r="AX433" i="2" s="1"/>
  <c r="AS433" i="2"/>
  <c r="AT433" i="2" s="1"/>
  <c r="AC433" i="2"/>
  <c r="AD433" i="2" s="1"/>
  <c r="Y433" i="2"/>
  <c r="Z433" i="2" s="1"/>
  <c r="U433" i="2"/>
  <c r="V433" i="2" s="1"/>
  <c r="Q433" i="2"/>
  <c r="R433" i="2" s="1"/>
  <c r="D433" i="2"/>
  <c r="BE432" i="2"/>
  <c r="BF432" i="2" s="1"/>
  <c r="BA432" i="2"/>
  <c r="BB432" i="2" s="1"/>
  <c r="AW432" i="2"/>
  <c r="AX432" i="2" s="1"/>
  <c r="AS432" i="2"/>
  <c r="AT432" i="2" s="1"/>
  <c r="AC432" i="2"/>
  <c r="AD432" i="2" s="1"/>
  <c r="Y432" i="2"/>
  <c r="Z432" i="2" s="1"/>
  <c r="U432" i="2"/>
  <c r="V432" i="2" s="1"/>
  <c r="Q432" i="2"/>
  <c r="R432" i="2" s="1"/>
  <c r="D432" i="2"/>
  <c r="BE431" i="2"/>
  <c r="BF431" i="2" s="1"/>
  <c r="BA431" i="2"/>
  <c r="BB431" i="2" s="1"/>
  <c r="AW431" i="2"/>
  <c r="AX431" i="2" s="1"/>
  <c r="AS431" i="2"/>
  <c r="AT431" i="2" s="1"/>
  <c r="AC431" i="2"/>
  <c r="AD431" i="2" s="1"/>
  <c r="Y431" i="2"/>
  <c r="Z431" i="2" s="1"/>
  <c r="U431" i="2"/>
  <c r="V431" i="2" s="1"/>
  <c r="Q431" i="2"/>
  <c r="R431" i="2" s="1"/>
  <c r="D431" i="2"/>
  <c r="BE430" i="2"/>
  <c r="BF430" i="2" s="1"/>
  <c r="BA430" i="2"/>
  <c r="BB430" i="2" s="1"/>
  <c r="AW430" i="2"/>
  <c r="AX430" i="2" s="1"/>
  <c r="AS430" i="2"/>
  <c r="AT430" i="2" s="1"/>
  <c r="AC430" i="2"/>
  <c r="AD430" i="2" s="1"/>
  <c r="Y430" i="2"/>
  <c r="Z430" i="2" s="1"/>
  <c r="U430" i="2"/>
  <c r="V430" i="2" s="1"/>
  <c r="Q430" i="2"/>
  <c r="R430" i="2" s="1"/>
  <c r="D430" i="2"/>
  <c r="BE429" i="2"/>
  <c r="BF429" i="2" s="1"/>
  <c r="BA429" i="2"/>
  <c r="BB429" i="2" s="1"/>
  <c r="AW429" i="2"/>
  <c r="AX429" i="2" s="1"/>
  <c r="AS429" i="2"/>
  <c r="AT429" i="2" s="1"/>
  <c r="AC429" i="2"/>
  <c r="AD429" i="2" s="1"/>
  <c r="Y429" i="2"/>
  <c r="Z429" i="2" s="1"/>
  <c r="U429" i="2"/>
  <c r="V429" i="2" s="1"/>
  <c r="Q429" i="2"/>
  <c r="R429" i="2" s="1"/>
  <c r="D429" i="2"/>
  <c r="BE428" i="2"/>
  <c r="BF428" i="2" s="1"/>
  <c r="BA428" i="2"/>
  <c r="BB428" i="2" s="1"/>
  <c r="AW428" i="2"/>
  <c r="AX428" i="2" s="1"/>
  <c r="AS428" i="2"/>
  <c r="AT428" i="2" s="1"/>
  <c r="AC428" i="2"/>
  <c r="AD428" i="2" s="1"/>
  <c r="Y428" i="2"/>
  <c r="Z428" i="2" s="1"/>
  <c r="U428" i="2"/>
  <c r="V428" i="2" s="1"/>
  <c r="Q428" i="2"/>
  <c r="R428" i="2" s="1"/>
  <c r="D428" i="2"/>
  <c r="BE427" i="2"/>
  <c r="BF427" i="2" s="1"/>
  <c r="BA427" i="2"/>
  <c r="BB427" i="2" s="1"/>
  <c r="AW427" i="2"/>
  <c r="AX427" i="2" s="1"/>
  <c r="AS427" i="2"/>
  <c r="AT427" i="2" s="1"/>
  <c r="AC427" i="2"/>
  <c r="AD427" i="2" s="1"/>
  <c r="Y427" i="2"/>
  <c r="Z427" i="2" s="1"/>
  <c r="U427" i="2"/>
  <c r="V427" i="2" s="1"/>
  <c r="Q427" i="2"/>
  <c r="R427" i="2" s="1"/>
  <c r="D427" i="2"/>
  <c r="BE426" i="2"/>
  <c r="BF426" i="2" s="1"/>
  <c r="BA426" i="2"/>
  <c r="BB426" i="2" s="1"/>
  <c r="AW426" i="2"/>
  <c r="AX426" i="2" s="1"/>
  <c r="AS426" i="2"/>
  <c r="AT426" i="2" s="1"/>
  <c r="AC426" i="2"/>
  <c r="AD426" i="2" s="1"/>
  <c r="Y426" i="2"/>
  <c r="Z426" i="2" s="1"/>
  <c r="U426" i="2"/>
  <c r="V426" i="2" s="1"/>
  <c r="Q426" i="2"/>
  <c r="R426" i="2" s="1"/>
  <c r="D426" i="2"/>
  <c r="BE425" i="2"/>
  <c r="BF425" i="2" s="1"/>
  <c r="BA425" i="2"/>
  <c r="BB425" i="2" s="1"/>
  <c r="AW425" i="2"/>
  <c r="AX425" i="2" s="1"/>
  <c r="AS425" i="2"/>
  <c r="AT425" i="2" s="1"/>
  <c r="AC425" i="2"/>
  <c r="AD425" i="2" s="1"/>
  <c r="Y425" i="2"/>
  <c r="Z425" i="2" s="1"/>
  <c r="U425" i="2"/>
  <c r="V425" i="2" s="1"/>
  <c r="Q425" i="2"/>
  <c r="R425" i="2" s="1"/>
  <c r="D425" i="2"/>
  <c r="BE424" i="2"/>
  <c r="BF424" i="2" s="1"/>
  <c r="BA424" i="2"/>
  <c r="BB424" i="2" s="1"/>
  <c r="AW424" i="2"/>
  <c r="AX424" i="2" s="1"/>
  <c r="AS424" i="2"/>
  <c r="AT424" i="2" s="1"/>
  <c r="AC424" i="2"/>
  <c r="AD424" i="2" s="1"/>
  <c r="Y424" i="2"/>
  <c r="Z424" i="2" s="1"/>
  <c r="U424" i="2"/>
  <c r="V424" i="2" s="1"/>
  <c r="Q424" i="2"/>
  <c r="R424" i="2" s="1"/>
  <c r="D424" i="2"/>
  <c r="BE423" i="2"/>
  <c r="BF423" i="2" s="1"/>
  <c r="BA423" i="2"/>
  <c r="BB423" i="2" s="1"/>
  <c r="AW423" i="2"/>
  <c r="AX423" i="2" s="1"/>
  <c r="AS423" i="2"/>
  <c r="AT423" i="2" s="1"/>
  <c r="AC423" i="2"/>
  <c r="AD423" i="2" s="1"/>
  <c r="Y423" i="2"/>
  <c r="Z423" i="2" s="1"/>
  <c r="U423" i="2"/>
  <c r="V423" i="2" s="1"/>
  <c r="Q423" i="2"/>
  <c r="R423" i="2" s="1"/>
  <c r="D423" i="2"/>
  <c r="BE422" i="2"/>
  <c r="BF422" i="2" s="1"/>
  <c r="BA422" i="2"/>
  <c r="BB422" i="2" s="1"/>
  <c r="AW422" i="2"/>
  <c r="AX422" i="2" s="1"/>
  <c r="AS422" i="2"/>
  <c r="AT422" i="2" s="1"/>
  <c r="AC422" i="2"/>
  <c r="AD422" i="2" s="1"/>
  <c r="Y422" i="2"/>
  <c r="Z422" i="2" s="1"/>
  <c r="U422" i="2"/>
  <c r="V422" i="2" s="1"/>
  <c r="Q422" i="2"/>
  <c r="R422" i="2" s="1"/>
  <c r="D422" i="2"/>
  <c r="BE421" i="2"/>
  <c r="BF421" i="2" s="1"/>
  <c r="BA421" i="2"/>
  <c r="BB421" i="2" s="1"/>
  <c r="AW421" i="2"/>
  <c r="AX421" i="2" s="1"/>
  <c r="AS421" i="2"/>
  <c r="AT421" i="2" s="1"/>
  <c r="AC421" i="2"/>
  <c r="AD421" i="2" s="1"/>
  <c r="Y421" i="2"/>
  <c r="Z421" i="2" s="1"/>
  <c r="U421" i="2"/>
  <c r="V421" i="2" s="1"/>
  <c r="Q421" i="2"/>
  <c r="R421" i="2" s="1"/>
  <c r="D421" i="2"/>
  <c r="BE420" i="2"/>
  <c r="BF420" i="2" s="1"/>
  <c r="BA420" i="2"/>
  <c r="BB420" i="2" s="1"/>
  <c r="AW420" i="2"/>
  <c r="AX420" i="2" s="1"/>
  <c r="AS420" i="2"/>
  <c r="AT420" i="2" s="1"/>
  <c r="AC420" i="2"/>
  <c r="AD420" i="2" s="1"/>
  <c r="Y420" i="2"/>
  <c r="Z420" i="2" s="1"/>
  <c r="U420" i="2"/>
  <c r="V420" i="2" s="1"/>
  <c r="Q420" i="2"/>
  <c r="R420" i="2" s="1"/>
  <c r="D420" i="2"/>
  <c r="BE419" i="2"/>
  <c r="BF419" i="2" s="1"/>
  <c r="BA419" i="2"/>
  <c r="BB419" i="2" s="1"/>
  <c r="AW419" i="2"/>
  <c r="AX419" i="2" s="1"/>
  <c r="AS419" i="2"/>
  <c r="AT419" i="2" s="1"/>
  <c r="AC419" i="2"/>
  <c r="AD419" i="2" s="1"/>
  <c r="Y419" i="2"/>
  <c r="Z419" i="2" s="1"/>
  <c r="U419" i="2"/>
  <c r="V419" i="2" s="1"/>
  <c r="Q419" i="2"/>
  <c r="R419" i="2" s="1"/>
  <c r="D419" i="2"/>
  <c r="BE418" i="2"/>
  <c r="BF418" i="2" s="1"/>
  <c r="BA418" i="2"/>
  <c r="BB418" i="2" s="1"/>
  <c r="AW418" i="2"/>
  <c r="AX418" i="2" s="1"/>
  <c r="AS418" i="2"/>
  <c r="AT418" i="2" s="1"/>
  <c r="AC418" i="2"/>
  <c r="AD418" i="2" s="1"/>
  <c r="Y418" i="2"/>
  <c r="Z418" i="2" s="1"/>
  <c r="U418" i="2"/>
  <c r="V418" i="2" s="1"/>
  <c r="Q418" i="2"/>
  <c r="R418" i="2" s="1"/>
  <c r="J418" i="2"/>
  <c r="D418" i="2"/>
  <c r="BE417" i="2"/>
  <c r="BF417" i="2" s="1"/>
  <c r="BA417" i="2"/>
  <c r="BB417" i="2" s="1"/>
  <c r="AW417" i="2"/>
  <c r="AX417" i="2" s="1"/>
  <c r="AS417" i="2"/>
  <c r="AT417" i="2" s="1"/>
  <c r="AC417" i="2"/>
  <c r="AD417" i="2" s="1"/>
  <c r="Y417" i="2"/>
  <c r="Z417" i="2" s="1"/>
  <c r="U417" i="2"/>
  <c r="V417" i="2" s="1"/>
  <c r="Q417" i="2"/>
  <c r="R417" i="2" s="1"/>
  <c r="D417" i="2"/>
  <c r="BE416" i="2"/>
  <c r="BF416" i="2" s="1"/>
  <c r="BA416" i="2"/>
  <c r="BB416" i="2" s="1"/>
  <c r="AW416" i="2"/>
  <c r="AX416" i="2" s="1"/>
  <c r="AS416" i="2"/>
  <c r="AT416" i="2" s="1"/>
  <c r="AC416" i="2"/>
  <c r="AD416" i="2" s="1"/>
  <c r="Y416" i="2"/>
  <c r="Z416" i="2" s="1"/>
  <c r="U416" i="2"/>
  <c r="V416" i="2" s="1"/>
  <c r="Q416" i="2"/>
  <c r="R416" i="2" s="1"/>
  <c r="D416" i="2"/>
  <c r="BE415" i="2"/>
  <c r="BF415" i="2" s="1"/>
  <c r="BA415" i="2"/>
  <c r="BB415" i="2" s="1"/>
  <c r="AW415" i="2"/>
  <c r="AX415" i="2" s="1"/>
  <c r="AS415" i="2"/>
  <c r="AT415" i="2" s="1"/>
  <c r="AC415" i="2"/>
  <c r="AD415" i="2" s="1"/>
  <c r="Y415" i="2"/>
  <c r="Z415" i="2" s="1"/>
  <c r="U415" i="2"/>
  <c r="V415" i="2" s="1"/>
  <c r="Q415" i="2"/>
  <c r="R415" i="2" s="1"/>
  <c r="D415" i="2"/>
  <c r="BE414" i="2"/>
  <c r="BF414" i="2" s="1"/>
  <c r="BA414" i="2"/>
  <c r="BB414" i="2" s="1"/>
  <c r="AW414" i="2"/>
  <c r="AX414" i="2" s="1"/>
  <c r="AS414" i="2"/>
  <c r="AT414" i="2" s="1"/>
  <c r="AC414" i="2"/>
  <c r="AD414" i="2" s="1"/>
  <c r="Y414" i="2"/>
  <c r="Z414" i="2" s="1"/>
  <c r="U414" i="2"/>
  <c r="V414" i="2" s="1"/>
  <c r="Q414" i="2"/>
  <c r="R414" i="2" s="1"/>
  <c r="D414" i="2"/>
  <c r="BE413" i="2"/>
  <c r="BF413" i="2" s="1"/>
  <c r="BA413" i="2"/>
  <c r="BB413" i="2" s="1"/>
  <c r="AW413" i="2"/>
  <c r="AX413" i="2" s="1"/>
  <c r="AS413" i="2"/>
  <c r="AT413" i="2" s="1"/>
  <c r="AC413" i="2"/>
  <c r="AD413" i="2" s="1"/>
  <c r="Y413" i="2"/>
  <c r="Z413" i="2" s="1"/>
  <c r="U413" i="2"/>
  <c r="V413" i="2" s="1"/>
  <c r="Q413" i="2"/>
  <c r="R413" i="2" s="1"/>
  <c r="D413" i="2"/>
  <c r="BE412" i="2"/>
  <c r="BF412" i="2" s="1"/>
  <c r="BA412" i="2"/>
  <c r="BB412" i="2" s="1"/>
  <c r="AW412" i="2"/>
  <c r="AX412" i="2" s="1"/>
  <c r="AS412" i="2"/>
  <c r="AT412" i="2" s="1"/>
  <c r="AC412" i="2"/>
  <c r="AD412" i="2" s="1"/>
  <c r="Y412" i="2"/>
  <c r="Z412" i="2" s="1"/>
  <c r="U412" i="2"/>
  <c r="V412" i="2" s="1"/>
  <c r="Q412" i="2"/>
  <c r="R412" i="2" s="1"/>
  <c r="D412" i="2"/>
  <c r="BE411" i="2"/>
  <c r="BF411" i="2" s="1"/>
  <c r="BA411" i="2"/>
  <c r="BB411" i="2" s="1"/>
  <c r="AW411" i="2"/>
  <c r="AX411" i="2" s="1"/>
  <c r="AS411" i="2"/>
  <c r="AT411" i="2" s="1"/>
  <c r="AC411" i="2"/>
  <c r="AD411" i="2" s="1"/>
  <c r="Y411" i="2"/>
  <c r="Z411" i="2" s="1"/>
  <c r="U411" i="2"/>
  <c r="V411" i="2" s="1"/>
  <c r="Q411" i="2"/>
  <c r="R411" i="2" s="1"/>
  <c r="D411" i="2"/>
  <c r="BE410" i="2"/>
  <c r="BF410" i="2" s="1"/>
  <c r="BA410" i="2"/>
  <c r="BB410" i="2" s="1"/>
  <c r="AW410" i="2"/>
  <c r="AX410" i="2" s="1"/>
  <c r="AS410" i="2"/>
  <c r="AT410" i="2" s="1"/>
  <c r="AC410" i="2"/>
  <c r="AD410" i="2" s="1"/>
  <c r="Y410" i="2"/>
  <c r="Z410" i="2" s="1"/>
  <c r="U410" i="2"/>
  <c r="V410" i="2" s="1"/>
  <c r="Q410" i="2"/>
  <c r="R410" i="2" s="1"/>
  <c r="D410" i="2"/>
  <c r="BE409" i="2"/>
  <c r="BF409" i="2" s="1"/>
  <c r="BA409" i="2"/>
  <c r="BB409" i="2" s="1"/>
  <c r="AW409" i="2"/>
  <c r="AX409" i="2" s="1"/>
  <c r="AS409" i="2"/>
  <c r="AT409" i="2" s="1"/>
  <c r="AC409" i="2"/>
  <c r="AD409" i="2" s="1"/>
  <c r="Y409" i="2"/>
  <c r="Z409" i="2" s="1"/>
  <c r="U409" i="2"/>
  <c r="V409" i="2" s="1"/>
  <c r="Q409" i="2"/>
  <c r="R409" i="2" s="1"/>
  <c r="D409" i="2"/>
  <c r="BE408" i="2"/>
  <c r="BF408" i="2" s="1"/>
  <c r="BA408" i="2"/>
  <c r="BB408" i="2" s="1"/>
  <c r="AW408" i="2"/>
  <c r="AX408" i="2" s="1"/>
  <c r="AS408" i="2"/>
  <c r="AT408" i="2" s="1"/>
  <c r="AC408" i="2"/>
  <c r="AD408" i="2" s="1"/>
  <c r="Y408" i="2"/>
  <c r="Z408" i="2" s="1"/>
  <c r="U408" i="2"/>
  <c r="V408" i="2" s="1"/>
  <c r="Q408" i="2"/>
  <c r="R408" i="2" s="1"/>
  <c r="D408" i="2"/>
  <c r="BE407" i="2"/>
  <c r="BF407" i="2" s="1"/>
  <c r="BA407" i="2"/>
  <c r="BB407" i="2" s="1"/>
  <c r="AW407" i="2"/>
  <c r="AX407" i="2" s="1"/>
  <c r="AS407" i="2"/>
  <c r="AT407" i="2" s="1"/>
  <c r="AC407" i="2"/>
  <c r="AD407" i="2" s="1"/>
  <c r="Y407" i="2"/>
  <c r="Z407" i="2" s="1"/>
  <c r="U407" i="2"/>
  <c r="V407" i="2" s="1"/>
  <c r="Q407" i="2"/>
  <c r="R407" i="2" s="1"/>
  <c r="D407" i="2"/>
  <c r="BE406" i="2"/>
  <c r="BF406" i="2" s="1"/>
  <c r="BA406" i="2"/>
  <c r="BB406" i="2" s="1"/>
  <c r="AW406" i="2"/>
  <c r="AX406" i="2" s="1"/>
  <c r="AS406" i="2"/>
  <c r="AT406" i="2" s="1"/>
  <c r="AC406" i="2"/>
  <c r="AD406" i="2" s="1"/>
  <c r="Y406" i="2"/>
  <c r="Z406" i="2" s="1"/>
  <c r="U406" i="2"/>
  <c r="V406" i="2" s="1"/>
  <c r="Q406" i="2"/>
  <c r="R406" i="2" s="1"/>
  <c r="D406" i="2"/>
  <c r="BE405" i="2"/>
  <c r="BF405" i="2" s="1"/>
  <c r="BA405" i="2"/>
  <c r="BB405" i="2" s="1"/>
  <c r="AW405" i="2"/>
  <c r="AX405" i="2" s="1"/>
  <c r="AS405" i="2"/>
  <c r="AT405" i="2" s="1"/>
  <c r="AC405" i="2"/>
  <c r="AD405" i="2" s="1"/>
  <c r="Y405" i="2"/>
  <c r="Z405" i="2" s="1"/>
  <c r="U405" i="2"/>
  <c r="V405" i="2" s="1"/>
  <c r="Q405" i="2"/>
  <c r="R405" i="2" s="1"/>
  <c r="D405" i="2"/>
  <c r="BE404" i="2"/>
  <c r="BF404" i="2" s="1"/>
  <c r="BA404" i="2"/>
  <c r="BB404" i="2" s="1"/>
  <c r="AW404" i="2"/>
  <c r="AX404" i="2" s="1"/>
  <c r="AS404" i="2"/>
  <c r="AT404" i="2" s="1"/>
  <c r="AC404" i="2"/>
  <c r="AD404" i="2" s="1"/>
  <c r="Y404" i="2"/>
  <c r="Z404" i="2" s="1"/>
  <c r="U404" i="2"/>
  <c r="V404" i="2" s="1"/>
  <c r="Q404" i="2"/>
  <c r="R404" i="2" s="1"/>
  <c r="D404" i="2"/>
  <c r="BE403" i="2"/>
  <c r="BF403" i="2" s="1"/>
  <c r="BA403" i="2"/>
  <c r="BB403" i="2" s="1"/>
  <c r="AW403" i="2"/>
  <c r="AX403" i="2" s="1"/>
  <c r="AS403" i="2"/>
  <c r="AT403" i="2" s="1"/>
  <c r="AC403" i="2"/>
  <c r="AD403" i="2" s="1"/>
  <c r="Y403" i="2"/>
  <c r="Z403" i="2" s="1"/>
  <c r="U403" i="2"/>
  <c r="V403" i="2" s="1"/>
  <c r="Q403" i="2"/>
  <c r="R403" i="2" s="1"/>
  <c r="D403" i="2"/>
  <c r="BE402" i="2"/>
  <c r="BF402" i="2" s="1"/>
  <c r="BA402" i="2"/>
  <c r="BB402" i="2" s="1"/>
  <c r="AW402" i="2"/>
  <c r="AX402" i="2" s="1"/>
  <c r="AS402" i="2"/>
  <c r="AT402" i="2" s="1"/>
  <c r="AC402" i="2"/>
  <c r="AD402" i="2" s="1"/>
  <c r="Y402" i="2"/>
  <c r="Z402" i="2" s="1"/>
  <c r="U402" i="2"/>
  <c r="V402" i="2" s="1"/>
  <c r="Q402" i="2"/>
  <c r="R402" i="2" s="1"/>
  <c r="D402" i="2"/>
  <c r="BE401" i="2"/>
  <c r="BF401" i="2" s="1"/>
  <c r="BA401" i="2"/>
  <c r="BB401" i="2" s="1"/>
  <c r="AW401" i="2"/>
  <c r="AX401" i="2" s="1"/>
  <c r="AS401" i="2"/>
  <c r="AT401" i="2" s="1"/>
  <c r="AC401" i="2"/>
  <c r="AD401" i="2" s="1"/>
  <c r="Y401" i="2"/>
  <c r="Z401" i="2" s="1"/>
  <c r="U401" i="2"/>
  <c r="V401" i="2" s="1"/>
  <c r="Q401" i="2"/>
  <c r="R401" i="2" s="1"/>
  <c r="D401" i="2"/>
  <c r="BE400" i="2"/>
  <c r="BF400" i="2" s="1"/>
  <c r="BA400" i="2"/>
  <c r="BB400" i="2" s="1"/>
  <c r="AW400" i="2"/>
  <c r="AX400" i="2" s="1"/>
  <c r="AS400" i="2"/>
  <c r="AT400" i="2" s="1"/>
  <c r="AC400" i="2"/>
  <c r="AD400" i="2" s="1"/>
  <c r="Y400" i="2"/>
  <c r="Z400" i="2" s="1"/>
  <c r="U400" i="2"/>
  <c r="V400" i="2" s="1"/>
  <c r="Q400" i="2"/>
  <c r="R400" i="2" s="1"/>
  <c r="D400" i="2"/>
  <c r="BE399" i="2"/>
  <c r="BF399" i="2" s="1"/>
  <c r="BA399" i="2"/>
  <c r="BB399" i="2" s="1"/>
  <c r="AW399" i="2"/>
  <c r="AX399" i="2" s="1"/>
  <c r="AS399" i="2"/>
  <c r="AT399" i="2" s="1"/>
  <c r="AC399" i="2"/>
  <c r="AD399" i="2" s="1"/>
  <c r="Y399" i="2"/>
  <c r="Z399" i="2" s="1"/>
  <c r="U399" i="2"/>
  <c r="V399" i="2" s="1"/>
  <c r="Q399" i="2"/>
  <c r="R399" i="2" s="1"/>
  <c r="D399" i="2"/>
  <c r="BE398" i="2"/>
  <c r="BF398" i="2" s="1"/>
  <c r="BA398" i="2"/>
  <c r="BB398" i="2" s="1"/>
  <c r="AW398" i="2"/>
  <c r="AX398" i="2" s="1"/>
  <c r="AS398" i="2"/>
  <c r="AT398" i="2" s="1"/>
  <c r="AC398" i="2"/>
  <c r="AD398" i="2" s="1"/>
  <c r="Y398" i="2"/>
  <c r="Z398" i="2" s="1"/>
  <c r="U398" i="2"/>
  <c r="V398" i="2" s="1"/>
  <c r="Q398" i="2"/>
  <c r="R398" i="2" s="1"/>
  <c r="D398" i="2"/>
  <c r="BE397" i="2"/>
  <c r="BF397" i="2" s="1"/>
  <c r="BA397" i="2"/>
  <c r="BB397" i="2" s="1"/>
  <c r="AW397" i="2"/>
  <c r="AX397" i="2" s="1"/>
  <c r="AS397" i="2"/>
  <c r="AT397" i="2" s="1"/>
  <c r="AC397" i="2"/>
  <c r="AD397" i="2" s="1"/>
  <c r="Y397" i="2"/>
  <c r="Z397" i="2" s="1"/>
  <c r="U397" i="2"/>
  <c r="V397" i="2" s="1"/>
  <c r="Q397" i="2"/>
  <c r="R397" i="2" s="1"/>
  <c r="D397" i="2"/>
  <c r="BE396" i="2"/>
  <c r="BF396" i="2" s="1"/>
  <c r="BA396" i="2"/>
  <c r="BB396" i="2" s="1"/>
  <c r="AW396" i="2"/>
  <c r="AX396" i="2" s="1"/>
  <c r="AS396" i="2"/>
  <c r="AT396" i="2" s="1"/>
  <c r="AC396" i="2"/>
  <c r="AD396" i="2" s="1"/>
  <c r="Y396" i="2"/>
  <c r="Z396" i="2" s="1"/>
  <c r="U396" i="2"/>
  <c r="V396" i="2" s="1"/>
  <c r="Q396" i="2"/>
  <c r="R396" i="2" s="1"/>
  <c r="D396" i="2"/>
  <c r="BE395" i="2"/>
  <c r="BF395" i="2" s="1"/>
  <c r="BA395" i="2"/>
  <c r="BB395" i="2" s="1"/>
  <c r="AW395" i="2"/>
  <c r="AX395" i="2" s="1"/>
  <c r="AS395" i="2"/>
  <c r="AT395" i="2" s="1"/>
  <c r="AC395" i="2"/>
  <c r="AD395" i="2" s="1"/>
  <c r="Y395" i="2"/>
  <c r="Z395" i="2" s="1"/>
  <c r="U395" i="2"/>
  <c r="V395" i="2" s="1"/>
  <c r="Q395" i="2"/>
  <c r="R395" i="2" s="1"/>
  <c r="D395" i="2"/>
  <c r="BE394" i="2"/>
  <c r="BF394" i="2" s="1"/>
  <c r="BA394" i="2"/>
  <c r="BB394" i="2" s="1"/>
  <c r="AW394" i="2"/>
  <c r="AX394" i="2" s="1"/>
  <c r="AS394" i="2"/>
  <c r="AT394" i="2" s="1"/>
  <c r="AC394" i="2"/>
  <c r="AD394" i="2" s="1"/>
  <c r="Y394" i="2"/>
  <c r="Z394" i="2" s="1"/>
  <c r="U394" i="2"/>
  <c r="V394" i="2" s="1"/>
  <c r="Q394" i="2"/>
  <c r="R394" i="2" s="1"/>
  <c r="D394" i="2"/>
  <c r="BE393" i="2"/>
  <c r="BF393" i="2" s="1"/>
  <c r="BA393" i="2"/>
  <c r="BB393" i="2" s="1"/>
  <c r="AW393" i="2"/>
  <c r="AX393" i="2" s="1"/>
  <c r="AS393" i="2"/>
  <c r="AT393" i="2" s="1"/>
  <c r="AC393" i="2"/>
  <c r="AD393" i="2" s="1"/>
  <c r="Y393" i="2"/>
  <c r="Z393" i="2" s="1"/>
  <c r="U393" i="2"/>
  <c r="V393" i="2" s="1"/>
  <c r="Q393" i="2"/>
  <c r="R393" i="2" s="1"/>
  <c r="D393" i="2"/>
  <c r="BE392" i="2"/>
  <c r="BF392" i="2" s="1"/>
  <c r="BA392" i="2"/>
  <c r="BB392" i="2" s="1"/>
  <c r="AW392" i="2"/>
  <c r="AX392" i="2" s="1"/>
  <c r="AS392" i="2"/>
  <c r="AT392" i="2" s="1"/>
  <c r="AC392" i="2"/>
  <c r="AD392" i="2" s="1"/>
  <c r="Y392" i="2"/>
  <c r="Z392" i="2" s="1"/>
  <c r="U392" i="2"/>
  <c r="V392" i="2" s="1"/>
  <c r="Q392" i="2"/>
  <c r="R392" i="2" s="1"/>
  <c r="D392" i="2"/>
  <c r="BE391" i="2"/>
  <c r="BF391" i="2" s="1"/>
  <c r="BA391" i="2"/>
  <c r="BB391" i="2" s="1"/>
  <c r="AW391" i="2"/>
  <c r="AX391" i="2" s="1"/>
  <c r="AS391" i="2"/>
  <c r="AT391" i="2" s="1"/>
  <c r="AC391" i="2"/>
  <c r="AD391" i="2" s="1"/>
  <c r="Y391" i="2"/>
  <c r="Z391" i="2" s="1"/>
  <c r="U391" i="2"/>
  <c r="V391" i="2" s="1"/>
  <c r="Q391" i="2"/>
  <c r="R391" i="2" s="1"/>
  <c r="D391" i="2"/>
  <c r="BE390" i="2"/>
  <c r="BF390" i="2" s="1"/>
  <c r="BA390" i="2"/>
  <c r="BB390" i="2" s="1"/>
  <c r="AW390" i="2"/>
  <c r="AX390" i="2" s="1"/>
  <c r="AS390" i="2"/>
  <c r="AT390" i="2" s="1"/>
  <c r="AC390" i="2"/>
  <c r="AD390" i="2" s="1"/>
  <c r="Y390" i="2"/>
  <c r="Z390" i="2" s="1"/>
  <c r="U390" i="2"/>
  <c r="V390" i="2" s="1"/>
  <c r="Q390" i="2"/>
  <c r="R390" i="2" s="1"/>
  <c r="D390" i="2"/>
  <c r="BE389" i="2"/>
  <c r="BF389" i="2" s="1"/>
  <c r="BA389" i="2"/>
  <c r="BB389" i="2" s="1"/>
  <c r="AW389" i="2"/>
  <c r="AX389" i="2" s="1"/>
  <c r="AS389" i="2"/>
  <c r="AT389" i="2" s="1"/>
  <c r="AC389" i="2"/>
  <c r="AD389" i="2" s="1"/>
  <c r="Y389" i="2"/>
  <c r="Z389" i="2" s="1"/>
  <c r="U389" i="2"/>
  <c r="V389" i="2" s="1"/>
  <c r="Q389" i="2"/>
  <c r="R389" i="2" s="1"/>
  <c r="D389" i="2"/>
  <c r="BE388" i="2"/>
  <c r="BF388" i="2" s="1"/>
  <c r="BA388" i="2"/>
  <c r="BB388" i="2" s="1"/>
  <c r="AW388" i="2"/>
  <c r="AX388" i="2" s="1"/>
  <c r="AS388" i="2"/>
  <c r="AT388" i="2" s="1"/>
  <c r="AC388" i="2"/>
  <c r="AD388" i="2" s="1"/>
  <c r="Y388" i="2"/>
  <c r="Z388" i="2" s="1"/>
  <c r="U388" i="2"/>
  <c r="V388" i="2" s="1"/>
  <c r="Q388" i="2"/>
  <c r="R388" i="2" s="1"/>
  <c r="D388" i="2"/>
  <c r="BE387" i="2"/>
  <c r="BF387" i="2" s="1"/>
  <c r="BA387" i="2"/>
  <c r="BB387" i="2" s="1"/>
  <c r="AW387" i="2"/>
  <c r="AX387" i="2" s="1"/>
  <c r="AS387" i="2"/>
  <c r="AT387" i="2" s="1"/>
  <c r="AC387" i="2"/>
  <c r="AD387" i="2" s="1"/>
  <c r="Y387" i="2"/>
  <c r="Z387" i="2" s="1"/>
  <c r="U387" i="2"/>
  <c r="V387" i="2" s="1"/>
  <c r="Q387" i="2"/>
  <c r="R387" i="2" s="1"/>
  <c r="D387" i="2"/>
  <c r="BE386" i="2"/>
  <c r="BF386" i="2" s="1"/>
  <c r="BA386" i="2"/>
  <c r="BB386" i="2" s="1"/>
  <c r="AW386" i="2"/>
  <c r="AX386" i="2" s="1"/>
  <c r="AS386" i="2"/>
  <c r="AT386" i="2" s="1"/>
  <c r="AC386" i="2"/>
  <c r="AD386" i="2" s="1"/>
  <c r="Y386" i="2"/>
  <c r="Z386" i="2" s="1"/>
  <c r="U386" i="2"/>
  <c r="V386" i="2" s="1"/>
  <c r="Q386" i="2"/>
  <c r="R386" i="2" s="1"/>
  <c r="D386" i="2"/>
  <c r="BE385" i="2"/>
  <c r="BF385" i="2" s="1"/>
  <c r="BA385" i="2"/>
  <c r="BB385" i="2" s="1"/>
  <c r="AW385" i="2"/>
  <c r="AX385" i="2" s="1"/>
  <c r="AS385" i="2"/>
  <c r="AT385" i="2" s="1"/>
  <c r="AC385" i="2"/>
  <c r="AD385" i="2" s="1"/>
  <c r="Y385" i="2"/>
  <c r="Z385" i="2" s="1"/>
  <c r="U385" i="2"/>
  <c r="V385" i="2" s="1"/>
  <c r="Q385" i="2"/>
  <c r="R385" i="2" s="1"/>
  <c r="D385" i="2"/>
  <c r="BE384" i="2"/>
  <c r="BF384" i="2" s="1"/>
  <c r="BA384" i="2"/>
  <c r="BB384" i="2" s="1"/>
  <c r="AW384" i="2"/>
  <c r="AX384" i="2" s="1"/>
  <c r="AS384" i="2"/>
  <c r="AT384" i="2" s="1"/>
  <c r="AC384" i="2"/>
  <c r="AD384" i="2" s="1"/>
  <c r="Y384" i="2"/>
  <c r="Z384" i="2" s="1"/>
  <c r="U384" i="2"/>
  <c r="V384" i="2" s="1"/>
  <c r="Q384" i="2"/>
  <c r="R384" i="2" s="1"/>
  <c r="D384" i="2"/>
  <c r="BE383" i="2"/>
  <c r="BF383" i="2" s="1"/>
  <c r="BA383" i="2"/>
  <c r="BB383" i="2" s="1"/>
  <c r="AW383" i="2"/>
  <c r="AX383" i="2" s="1"/>
  <c r="AS383" i="2"/>
  <c r="AT383" i="2" s="1"/>
  <c r="AC383" i="2"/>
  <c r="AD383" i="2" s="1"/>
  <c r="Y383" i="2"/>
  <c r="Z383" i="2" s="1"/>
  <c r="U383" i="2"/>
  <c r="V383" i="2" s="1"/>
  <c r="Q383" i="2"/>
  <c r="R383" i="2" s="1"/>
  <c r="D383" i="2"/>
  <c r="A383" i="2"/>
  <c r="BE382" i="2"/>
  <c r="BF382" i="2" s="1"/>
  <c r="BA382" i="2"/>
  <c r="BB382" i="2" s="1"/>
  <c r="AW382" i="2"/>
  <c r="AX382" i="2" s="1"/>
  <c r="AS382" i="2"/>
  <c r="AT382" i="2" s="1"/>
  <c r="AC382" i="2"/>
  <c r="AD382" i="2" s="1"/>
  <c r="Y382" i="2"/>
  <c r="Z382" i="2" s="1"/>
  <c r="U382" i="2"/>
  <c r="V382" i="2" s="1"/>
  <c r="Q382" i="2"/>
  <c r="R382" i="2" s="1"/>
  <c r="D382" i="2"/>
  <c r="BE381" i="2"/>
  <c r="BF381" i="2" s="1"/>
  <c r="BA381" i="2"/>
  <c r="BB381" i="2" s="1"/>
  <c r="AW381" i="2"/>
  <c r="AX381" i="2" s="1"/>
  <c r="AS381" i="2"/>
  <c r="AT381" i="2" s="1"/>
  <c r="AC381" i="2"/>
  <c r="AD381" i="2" s="1"/>
  <c r="Y381" i="2"/>
  <c r="Z381" i="2" s="1"/>
  <c r="U381" i="2"/>
  <c r="V381" i="2" s="1"/>
  <c r="Q381" i="2"/>
  <c r="R381" i="2" s="1"/>
  <c r="D381" i="2"/>
  <c r="BE380" i="2"/>
  <c r="BF380" i="2" s="1"/>
  <c r="BA380" i="2"/>
  <c r="BB380" i="2" s="1"/>
  <c r="AW380" i="2"/>
  <c r="AX380" i="2" s="1"/>
  <c r="AS380" i="2"/>
  <c r="AT380" i="2" s="1"/>
  <c r="AC380" i="2"/>
  <c r="AD380" i="2" s="1"/>
  <c r="Y380" i="2"/>
  <c r="Z380" i="2" s="1"/>
  <c r="U380" i="2"/>
  <c r="V380" i="2" s="1"/>
  <c r="Q380" i="2"/>
  <c r="R380" i="2" s="1"/>
  <c r="D380" i="2"/>
  <c r="BE379" i="2"/>
  <c r="BF379" i="2" s="1"/>
  <c r="BA379" i="2"/>
  <c r="BB379" i="2" s="1"/>
  <c r="AW379" i="2"/>
  <c r="AX379" i="2" s="1"/>
  <c r="AS379" i="2"/>
  <c r="AT379" i="2" s="1"/>
  <c r="AC379" i="2"/>
  <c r="AD379" i="2" s="1"/>
  <c r="Y379" i="2"/>
  <c r="Z379" i="2" s="1"/>
  <c r="U379" i="2"/>
  <c r="V379" i="2" s="1"/>
  <c r="Q379" i="2"/>
  <c r="R379" i="2" s="1"/>
  <c r="D379" i="2"/>
  <c r="BE378" i="2"/>
  <c r="BF378" i="2" s="1"/>
  <c r="BA378" i="2"/>
  <c r="BB378" i="2" s="1"/>
  <c r="AW378" i="2"/>
  <c r="AX378" i="2" s="1"/>
  <c r="AS378" i="2"/>
  <c r="AT378" i="2" s="1"/>
  <c r="AC378" i="2"/>
  <c r="AD378" i="2" s="1"/>
  <c r="Y378" i="2"/>
  <c r="Z378" i="2" s="1"/>
  <c r="U378" i="2"/>
  <c r="V378" i="2" s="1"/>
  <c r="Q378" i="2"/>
  <c r="R378" i="2" s="1"/>
  <c r="D378" i="2"/>
  <c r="BE377" i="2"/>
  <c r="BF377" i="2" s="1"/>
  <c r="BA377" i="2"/>
  <c r="BB377" i="2" s="1"/>
  <c r="AW377" i="2"/>
  <c r="AX377" i="2" s="1"/>
  <c r="AS377" i="2"/>
  <c r="AT377" i="2" s="1"/>
  <c r="AC377" i="2"/>
  <c r="AD377" i="2" s="1"/>
  <c r="Y377" i="2"/>
  <c r="Z377" i="2" s="1"/>
  <c r="U377" i="2"/>
  <c r="V377" i="2" s="1"/>
  <c r="Q377" i="2"/>
  <c r="R377" i="2" s="1"/>
  <c r="D377" i="2"/>
  <c r="BE376" i="2"/>
  <c r="BF376" i="2" s="1"/>
  <c r="BA376" i="2"/>
  <c r="BB376" i="2" s="1"/>
  <c r="AW376" i="2"/>
  <c r="AX376" i="2" s="1"/>
  <c r="AS376" i="2"/>
  <c r="AT376" i="2" s="1"/>
  <c r="AC376" i="2"/>
  <c r="AD376" i="2" s="1"/>
  <c r="Y376" i="2"/>
  <c r="Z376" i="2" s="1"/>
  <c r="U376" i="2"/>
  <c r="V376" i="2" s="1"/>
  <c r="Q376" i="2"/>
  <c r="R376" i="2" s="1"/>
  <c r="J376" i="2"/>
  <c r="D376" i="2"/>
  <c r="BE375" i="2"/>
  <c r="BF375" i="2" s="1"/>
  <c r="BA375" i="2"/>
  <c r="BB375" i="2" s="1"/>
  <c r="AW375" i="2"/>
  <c r="AX375" i="2" s="1"/>
  <c r="AS375" i="2"/>
  <c r="AT375" i="2" s="1"/>
  <c r="AC375" i="2"/>
  <c r="AD375" i="2" s="1"/>
  <c r="Y375" i="2"/>
  <c r="Z375" i="2" s="1"/>
  <c r="U375" i="2"/>
  <c r="V375" i="2" s="1"/>
  <c r="Q375" i="2"/>
  <c r="R375" i="2" s="1"/>
  <c r="D375" i="2"/>
  <c r="BE374" i="2"/>
  <c r="BF374" i="2" s="1"/>
  <c r="BA374" i="2"/>
  <c r="BB374" i="2" s="1"/>
  <c r="AW374" i="2"/>
  <c r="AX374" i="2" s="1"/>
  <c r="AS374" i="2"/>
  <c r="AT374" i="2" s="1"/>
  <c r="AC374" i="2"/>
  <c r="AD374" i="2" s="1"/>
  <c r="Y374" i="2"/>
  <c r="Z374" i="2" s="1"/>
  <c r="U374" i="2"/>
  <c r="V374" i="2" s="1"/>
  <c r="Q374" i="2"/>
  <c r="R374" i="2" s="1"/>
  <c r="D374" i="2"/>
  <c r="BE373" i="2"/>
  <c r="BF373" i="2" s="1"/>
  <c r="BA373" i="2"/>
  <c r="BB373" i="2" s="1"/>
  <c r="AW373" i="2"/>
  <c r="AX373" i="2" s="1"/>
  <c r="AS373" i="2"/>
  <c r="AT373" i="2" s="1"/>
  <c r="AC373" i="2"/>
  <c r="AD373" i="2" s="1"/>
  <c r="Y373" i="2"/>
  <c r="Z373" i="2" s="1"/>
  <c r="U373" i="2"/>
  <c r="V373" i="2" s="1"/>
  <c r="Q373" i="2"/>
  <c r="R373" i="2" s="1"/>
  <c r="D373" i="2"/>
  <c r="BE372" i="2"/>
  <c r="BF372" i="2" s="1"/>
  <c r="BA372" i="2"/>
  <c r="BB372" i="2" s="1"/>
  <c r="AW372" i="2"/>
  <c r="AX372" i="2" s="1"/>
  <c r="AS372" i="2"/>
  <c r="AT372" i="2" s="1"/>
  <c r="AC372" i="2"/>
  <c r="AD372" i="2" s="1"/>
  <c r="Y372" i="2"/>
  <c r="Z372" i="2" s="1"/>
  <c r="U372" i="2"/>
  <c r="V372" i="2" s="1"/>
  <c r="Q372" i="2"/>
  <c r="R372" i="2" s="1"/>
  <c r="D372" i="2"/>
  <c r="BE371" i="2"/>
  <c r="BF371" i="2" s="1"/>
  <c r="BA371" i="2"/>
  <c r="BB371" i="2" s="1"/>
  <c r="AW371" i="2"/>
  <c r="AX371" i="2" s="1"/>
  <c r="AS371" i="2"/>
  <c r="AT371" i="2" s="1"/>
  <c r="AC371" i="2"/>
  <c r="AD371" i="2" s="1"/>
  <c r="Y371" i="2"/>
  <c r="Z371" i="2" s="1"/>
  <c r="U371" i="2"/>
  <c r="V371" i="2" s="1"/>
  <c r="Q371" i="2"/>
  <c r="R371" i="2" s="1"/>
  <c r="D371" i="2"/>
  <c r="BE370" i="2"/>
  <c r="BF370" i="2" s="1"/>
  <c r="BA370" i="2"/>
  <c r="BB370" i="2" s="1"/>
  <c r="AW370" i="2"/>
  <c r="AX370" i="2" s="1"/>
  <c r="AS370" i="2"/>
  <c r="AT370" i="2" s="1"/>
  <c r="AC370" i="2"/>
  <c r="AD370" i="2" s="1"/>
  <c r="Y370" i="2"/>
  <c r="Z370" i="2" s="1"/>
  <c r="U370" i="2"/>
  <c r="V370" i="2" s="1"/>
  <c r="Q370" i="2"/>
  <c r="R370" i="2" s="1"/>
  <c r="D370" i="2"/>
  <c r="BE369" i="2"/>
  <c r="BF369" i="2" s="1"/>
  <c r="BA369" i="2"/>
  <c r="BB369" i="2" s="1"/>
  <c r="AW369" i="2"/>
  <c r="AX369" i="2" s="1"/>
  <c r="AS369" i="2"/>
  <c r="AT369" i="2" s="1"/>
  <c r="AC369" i="2"/>
  <c r="AD369" i="2" s="1"/>
  <c r="Y369" i="2"/>
  <c r="Z369" i="2" s="1"/>
  <c r="U369" i="2"/>
  <c r="V369" i="2" s="1"/>
  <c r="Q369" i="2"/>
  <c r="R369" i="2" s="1"/>
  <c r="D369" i="2"/>
  <c r="BE368" i="2"/>
  <c r="BF368" i="2" s="1"/>
  <c r="BA368" i="2"/>
  <c r="BB368" i="2" s="1"/>
  <c r="AW368" i="2"/>
  <c r="AX368" i="2" s="1"/>
  <c r="AS368" i="2"/>
  <c r="AT368" i="2" s="1"/>
  <c r="AC368" i="2"/>
  <c r="AD368" i="2" s="1"/>
  <c r="Y368" i="2"/>
  <c r="Z368" i="2" s="1"/>
  <c r="U368" i="2"/>
  <c r="V368" i="2" s="1"/>
  <c r="Q368" i="2"/>
  <c r="R368" i="2" s="1"/>
  <c r="D368" i="2"/>
  <c r="BE367" i="2"/>
  <c r="BF367" i="2" s="1"/>
  <c r="BA367" i="2"/>
  <c r="BB367" i="2" s="1"/>
  <c r="AW367" i="2"/>
  <c r="AX367" i="2" s="1"/>
  <c r="AS367" i="2"/>
  <c r="AT367" i="2" s="1"/>
  <c r="AC367" i="2"/>
  <c r="AD367" i="2" s="1"/>
  <c r="Y367" i="2"/>
  <c r="Z367" i="2" s="1"/>
  <c r="U367" i="2"/>
  <c r="V367" i="2" s="1"/>
  <c r="Q367" i="2"/>
  <c r="R367" i="2" s="1"/>
  <c r="D367" i="2"/>
  <c r="BE366" i="2"/>
  <c r="BF366" i="2" s="1"/>
  <c r="BA366" i="2"/>
  <c r="BB366" i="2" s="1"/>
  <c r="AW366" i="2"/>
  <c r="AX366" i="2" s="1"/>
  <c r="AS366" i="2"/>
  <c r="AT366" i="2" s="1"/>
  <c r="AC366" i="2"/>
  <c r="AD366" i="2" s="1"/>
  <c r="Y366" i="2"/>
  <c r="Z366" i="2" s="1"/>
  <c r="U366" i="2"/>
  <c r="V366" i="2" s="1"/>
  <c r="Q366" i="2"/>
  <c r="R366" i="2" s="1"/>
  <c r="D366" i="2"/>
  <c r="BE365" i="2"/>
  <c r="BF365" i="2" s="1"/>
  <c r="BA365" i="2"/>
  <c r="BB365" i="2" s="1"/>
  <c r="AW365" i="2"/>
  <c r="AX365" i="2" s="1"/>
  <c r="AS365" i="2"/>
  <c r="AT365" i="2" s="1"/>
  <c r="AC365" i="2"/>
  <c r="AD365" i="2" s="1"/>
  <c r="Y365" i="2"/>
  <c r="Z365" i="2" s="1"/>
  <c r="U365" i="2"/>
  <c r="V365" i="2" s="1"/>
  <c r="Q365" i="2"/>
  <c r="R365" i="2" s="1"/>
  <c r="D365" i="2"/>
  <c r="BE364" i="2"/>
  <c r="BF364" i="2" s="1"/>
  <c r="BA364" i="2"/>
  <c r="BB364" i="2" s="1"/>
  <c r="AW364" i="2"/>
  <c r="AX364" i="2" s="1"/>
  <c r="AS364" i="2"/>
  <c r="AT364" i="2" s="1"/>
  <c r="AC364" i="2"/>
  <c r="AD364" i="2" s="1"/>
  <c r="Y364" i="2"/>
  <c r="Z364" i="2" s="1"/>
  <c r="U364" i="2"/>
  <c r="V364" i="2" s="1"/>
  <c r="Q364" i="2"/>
  <c r="R364" i="2" s="1"/>
  <c r="D364" i="2"/>
  <c r="BE363" i="2"/>
  <c r="BF363" i="2" s="1"/>
  <c r="BA363" i="2"/>
  <c r="BB363" i="2" s="1"/>
  <c r="AW363" i="2"/>
  <c r="AX363" i="2" s="1"/>
  <c r="AS363" i="2"/>
  <c r="AT363" i="2" s="1"/>
  <c r="AC363" i="2"/>
  <c r="AD363" i="2" s="1"/>
  <c r="Y363" i="2"/>
  <c r="Z363" i="2" s="1"/>
  <c r="U363" i="2"/>
  <c r="V363" i="2" s="1"/>
  <c r="Q363" i="2"/>
  <c r="R363" i="2" s="1"/>
  <c r="D363" i="2"/>
  <c r="BE362" i="2"/>
  <c r="BF362" i="2" s="1"/>
  <c r="BA362" i="2"/>
  <c r="BB362" i="2" s="1"/>
  <c r="AW362" i="2"/>
  <c r="AX362" i="2" s="1"/>
  <c r="AS362" i="2"/>
  <c r="AT362" i="2" s="1"/>
  <c r="AC362" i="2"/>
  <c r="AD362" i="2" s="1"/>
  <c r="Y362" i="2"/>
  <c r="Z362" i="2" s="1"/>
  <c r="U362" i="2"/>
  <c r="V362" i="2" s="1"/>
  <c r="Q362" i="2"/>
  <c r="R362" i="2" s="1"/>
  <c r="D362" i="2"/>
  <c r="BE361" i="2"/>
  <c r="BF361" i="2" s="1"/>
  <c r="BA361" i="2"/>
  <c r="BB361" i="2" s="1"/>
  <c r="AW361" i="2"/>
  <c r="AX361" i="2" s="1"/>
  <c r="AS361" i="2"/>
  <c r="AT361" i="2" s="1"/>
  <c r="AC361" i="2"/>
  <c r="AD361" i="2" s="1"/>
  <c r="Y361" i="2"/>
  <c r="Z361" i="2" s="1"/>
  <c r="U361" i="2"/>
  <c r="V361" i="2" s="1"/>
  <c r="Q361" i="2"/>
  <c r="R361" i="2" s="1"/>
  <c r="D361" i="2"/>
  <c r="BE360" i="2"/>
  <c r="BF360" i="2" s="1"/>
  <c r="BA360" i="2"/>
  <c r="BB360" i="2" s="1"/>
  <c r="AW360" i="2"/>
  <c r="AX360" i="2" s="1"/>
  <c r="AS360" i="2"/>
  <c r="AT360" i="2" s="1"/>
  <c r="AC360" i="2"/>
  <c r="AD360" i="2" s="1"/>
  <c r="Y360" i="2"/>
  <c r="Z360" i="2" s="1"/>
  <c r="U360" i="2"/>
  <c r="V360" i="2" s="1"/>
  <c r="Q360" i="2"/>
  <c r="R360" i="2" s="1"/>
  <c r="D360" i="2"/>
  <c r="BE359" i="2"/>
  <c r="BF359" i="2" s="1"/>
  <c r="BA359" i="2"/>
  <c r="BB359" i="2" s="1"/>
  <c r="AW359" i="2"/>
  <c r="AX359" i="2" s="1"/>
  <c r="AS359" i="2"/>
  <c r="AT359" i="2" s="1"/>
  <c r="AC359" i="2"/>
  <c r="AD359" i="2" s="1"/>
  <c r="Y359" i="2"/>
  <c r="Z359" i="2" s="1"/>
  <c r="U359" i="2"/>
  <c r="V359" i="2" s="1"/>
  <c r="Q359" i="2"/>
  <c r="R359" i="2" s="1"/>
  <c r="D359" i="2"/>
  <c r="BE358" i="2"/>
  <c r="BF358" i="2" s="1"/>
  <c r="BA358" i="2"/>
  <c r="BB358" i="2" s="1"/>
  <c r="AW358" i="2"/>
  <c r="AX358" i="2" s="1"/>
  <c r="AS358" i="2"/>
  <c r="AT358" i="2" s="1"/>
  <c r="AC358" i="2"/>
  <c r="AD358" i="2" s="1"/>
  <c r="Y358" i="2"/>
  <c r="Z358" i="2" s="1"/>
  <c r="U358" i="2"/>
  <c r="V358" i="2" s="1"/>
  <c r="Q358" i="2"/>
  <c r="R358" i="2" s="1"/>
  <c r="D358" i="2"/>
  <c r="BE357" i="2"/>
  <c r="BF357" i="2" s="1"/>
  <c r="BA357" i="2"/>
  <c r="BB357" i="2" s="1"/>
  <c r="AW357" i="2"/>
  <c r="AX357" i="2" s="1"/>
  <c r="AS357" i="2"/>
  <c r="AT357" i="2" s="1"/>
  <c r="AC357" i="2"/>
  <c r="AD357" i="2" s="1"/>
  <c r="Y357" i="2"/>
  <c r="Z357" i="2" s="1"/>
  <c r="U357" i="2"/>
  <c r="V357" i="2" s="1"/>
  <c r="Q357" i="2"/>
  <c r="R357" i="2" s="1"/>
  <c r="D357" i="2"/>
  <c r="BE356" i="2"/>
  <c r="BF356" i="2" s="1"/>
  <c r="BA356" i="2"/>
  <c r="BB356" i="2" s="1"/>
  <c r="AW356" i="2"/>
  <c r="AX356" i="2" s="1"/>
  <c r="AS356" i="2"/>
  <c r="AT356" i="2" s="1"/>
  <c r="AC356" i="2"/>
  <c r="AD356" i="2" s="1"/>
  <c r="Y356" i="2"/>
  <c r="Z356" i="2" s="1"/>
  <c r="U356" i="2"/>
  <c r="V356" i="2" s="1"/>
  <c r="Q356" i="2"/>
  <c r="R356" i="2" s="1"/>
  <c r="D356" i="2"/>
  <c r="BE355" i="2"/>
  <c r="BF355" i="2" s="1"/>
  <c r="BA355" i="2"/>
  <c r="BB355" i="2" s="1"/>
  <c r="AW355" i="2"/>
  <c r="AX355" i="2" s="1"/>
  <c r="AS355" i="2"/>
  <c r="AT355" i="2" s="1"/>
  <c r="AC355" i="2"/>
  <c r="AD355" i="2" s="1"/>
  <c r="Y355" i="2"/>
  <c r="Z355" i="2" s="1"/>
  <c r="U355" i="2"/>
  <c r="V355" i="2" s="1"/>
  <c r="Q355" i="2"/>
  <c r="R355" i="2" s="1"/>
  <c r="D355" i="2"/>
  <c r="BE354" i="2"/>
  <c r="BF354" i="2" s="1"/>
  <c r="BA354" i="2"/>
  <c r="BB354" i="2" s="1"/>
  <c r="AW354" i="2"/>
  <c r="AX354" i="2" s="1"/>
  <c r="AS354" i="2"/>
  <c r="AT354" i="2" s="1"/>
  <c r="AC354" i="2"/>
  <c r="AD354" i="2" s="1"/>
  <c r="Y354" i="2"/>
  <c r="Z354" i="2" s="1"/>
  <c r="U354" i="2"/>
  <c r="V354" i="2" s="1"/>
  <c r="Q354" i="2"/>
  <c r="R354" i="2" s="1"/>
  <c r="D354" i="2"/>
  <c r="BE353" i="2"/>
  <c r="BF353" i="2" s="1"/>
  <c r="BA353" i="2"/>
  <c r="BB353" i="2" s="1"/>
  <c r="AW353" i="2"/>
  <c r="AX353" i="2" s="1"/>
  <c r="AS353" i="2"/>
  <c r="AT353" i="2" s="1"/>
  <c r="AC353" i="2"/>
  <c r="AD353" i="2" s="1"/>
  <c r="Y353" i="2"/>
  <c r="Z353" i="2" s="1"/>
  <c r="U353" i="2"/>
  <c r="V353" i="2" s="1"/>
  <c r="Q353" i="2"/>
  <c r="R353" i="2" s="1"/>
  <c r="D353" i="2"/>
  <c r="BE352" i="2"/>
  <c r="BF352" i="2" s="1"/>
  <c r="BA352" i="2"/>
  <c r="BB352" i="2" s="1"/>
  <c r="AW352" i="2"/>
  <c r="AX352" i="2" s="1"/>
  <c r="AS352" i="2"/>
  <c r="AT352" i="2" s="1"/>
  <c r="AC352" i="2"/>
  <c r="AD352" i="2" s="1"/>
  <c r="Y352" i="2"/>
  <c r="Z352" i="2" s="1"/>
  <c r="U352" i="2"/>
  <c r="V352" i="2" s="1"/>
  <c r="Q352" i="2"/>
  <c r="R352" i="2" s="1"/>
  <c r="D352" i="2"/>
  <c r="BE351" i="2"/>
  <c r="BF351" i="2" s="1"/>
  <c r="BA351" i="2"/>
  <c r="BB351" i="2" s="1"/>
  <c r="AW351" i="2"/>
  <c r="AX351" i="2" s="1"/>
  <c r="AS351" i="2"/>
  <c r="AT351" i="2" s="1"/>
  <c r="AC351" i="2"/>
  <c r="AD351" i="2" s="1"/>
  <c r="Y351" i="2"/>
  <c r="Z351" i="2" s="1"/>
  <c r="U351" i="2"/>
  <c r="V351" i="2" s="1"/>
  <c r="Q351" i="2"/>
  <c r="R351" i="2" s="1"/>
  <c r="D351" i="2"/>
  <c r="BE350" i="2"/>
  <c r="BF350" i="2" s="1"/>
  <c r="BA350" i="2"/>
  <c r="BB350" i="2" s="1"/>
  <c r="AW350" i="2"/>
  <c r="AX350" i="2" s="1"/>
  <c r="AS350" i="2"/>
  <c r="AT350" i="2" s="1"/>
  <c r="AC350" i="2"/>
  <c r="AD350" i="2" s="1"/>
  <c r="Y350" i="2"/>
  <c r="Z350" i="2" s="1"/>
  <c r="U350" i="2"/>
  <c r="V350" i="2" s="1"/>
  <c r="Q350" i="2"/>
  <c r="R350" i="2" s="1"/>
  <c r="D350" i="2"/>
  <c r="BE349" i="2"/>
  <c r="BF349" i="2" s="1"/>
  <c r="BA349" i="2"/>
  <c r="BB349" i="2" s="1"/>
  <c r="AW349" i="2"/>
  <c r="AX349" i="2" s="1"/>
  <c r="AS349" i="2"/>
  <c r="AT349" i="2" s="1"/>
  <c r="AC349" i="2"/>
  <c r="AD349" i="2" s="1"/>
  <c r="Y349" i="2"/>
  <c r="Z349" i="2" s="1"/>
  <c r="U349" i="2"/>
  <c r="V349" i="2" s="1"/>
  <c r="Q349" i="2"/>
  <c r="R349" i="2" s="1"/>
  <c r="D349" i="2"/>
  <c r="BE348" i="2"/>
  <c r="BF348" i="2" s="1"/>
  <c r="BA348" i="2"/>
  <c r="BB348" i="2" s="1"/>
  <c r="AW348" i="2"/>
  <c r="AX348" i="2" s="1"/>
  <c r="AS348" i="2"/>
  <c r="AT348" i="2" s="1"/>
  <c r="AC348" i="2"/>
  <c r="AD348" i="2" s="1"/>
  <c r="Y348" i="2"/>
  <c r="Z348" i="2" s="1"/>
  <c r="U348" i="2"/>
  <c r="V348" i="2" s="1"/>
  <c r="Q348" i="2"/>
  <c r="R348" i="2" s="1"/>
  <c r="D348" i="2"/>
  <c r="BE347" i="2"/>
  <c r="BF347" i="2" s="1"/>
  <c r="BA347" i="2"/>
  <c r="BB347" i="2" s="1"/>
  <c r="AW347" i="2"/>
  <c r="AX347" i="2" s="1"/>
  <c r="AS347" i="2"/>
  <c r="AT347" i="2" s="1"/>
  <c r="AC347" i="2"/>
  <c r="AD347" i="2" s="1"/>
  <c r="Y347" i="2"/>
  <c r="Z347" i="2" s="1"/>
  <c r="U347" i="2"/>
  <c r="V347" i="2" s="1"/>
  <c r="Q347" i="2"/>
  <c r="R347" i="2" s="1"/>
  <c r="D347" i="2"/>
  <c r="BE346" i="2"/>
  <c r="BF346" i="2" s="1"/>
  <c r="BA346" i="2"/>
  <c r="BB346" i="2" s="1"/>
  <c r="AW346" i="2"/>
  <c r="AX346" i="2" s="1"/>
  <c r="AS346" i="2"/>
  <c r="AT346" i="2" s="1"/>
  <c r="AC346" i="2"/>
  <c r="AD346" i="2" s="1"/>
  <c r="Y346" i="2"/>
  <c r="Z346" i="2" s="1"/>
  <c r="U346" i="2"/>
  <c r="V346" i="2" s="1"/>
  <c r="Q346" i="2"/>
  <c r="R346" i="2" s="1"/>
  <c r="D346" i="2"/>
  <c r="BE345" i="2"/>
  <c r="BF345" i="2" s="1"/>
  <c r="BA345" i="2"/>
  <c r="BB345" i="2" s="1"/>
  <c r="AW345" i="2"/>
  <c r="AX345" i="2" s="1"/>
  <c r="AS345" i="2"/>
  <c r="AT345" i="2" s="1"/>
  <c r="AC345" i="2"/>
  <c r="AD345" i="2" s="1"/>
  <c r="Y345" i="2"/>
  <c r="Z345" i="2" s="1"/>
  <c r="U345" i="2"/>
  <c r="V345" i="2" s="1"/>
  <c r="Q345" i="2"/>
  <c r="R345" i="2" s="1"/>
  <c r="D345" i="2"/>
  <c r="BE344" i="2"/>
  <c r="BF344" i="2" s="1"/>
  <c r="BA344" i="2"/>
  <c r="BB344" i="2" s="1"/>
  <c r="AW344" i="2"/>
  <c r="AX344" i="2" s="1"/>
  <c r="AS344" i="2"/>
  <c r="AT344" i="2" s="1"/>
  <c r="AC344" i="2"/>
  <c r="AD344" i="2" s="1"/>
  <c r="Y344" i="2"/>
  <c r="Z344" i="2" s="1"/>
  <c r="U344" i="2"/>
  <c r="V344" i="2" s="1"/>
  <c r="Q344" i="2"/>
  <c r="R344" i="2" s="1"/>
  <c r="D344" i="2"/>
  <c r="BE343" i="2"/>
  <c r="BF343" i="2" s="1"/>
  <c r="BA343" i="2"/>
  <c r="BB343" i="2" s="1"/>
  <c r="AW343" i="2"/>
  <c r="AX343" i="2" s="1"/>
  <c r="AS343" i="2"/>
  <c r="AT343" i="2" s="1"/>
  <c r="AC343" i="2"/>
  <c r="AD343" i="2" s="1"/>
  <c r="Y343" i="2"/>
  <c r="Z343" i="2" s="1"/>
  <c r="U343" i="2"/>
  <c r="V343" i="2" s="1"/>
  <c r="Q343" i="2"/>
  <c r="R343" i="2" s="1"/>
  <c r="D343" i="2"/>
  <c r="BE342" i="2"/>
  <c r="BF342" i="2" s="1"/>
  <c r="BA342" i="2"/>
  <c r="BB342" i="2" s="1"/>
  <c r="AW342" i="2"/>
  <c r="AX342" i="2" s="1"/>
  <c r="AS342" i="2"/>
  <c r="AT342" i="2" s="1"/>
  <c r="AC342" i="2"/>
  <c r="AD342" i="2" s="1"/>
  <c r="Y342" i="2"/>
  <c r="Z342" i="2" s="1"/>
  <c r="U342" i="2"/>
  <c r="V342" i="2" s="1"/>
  <c r="Q342" i="2"/>
  <c r="R342" i="2" s="1"/>
  <c r="D342" i="2"/>
  <c r="BE341" i="2"/>
  <c r="BF341" i="2" s="1"/>
  <c r="BA341" i="2"/>
  <c r="BB341" i="2" s="1"/>
  <c r="AW341" i="2"/>
  <c r="AX341" i="2" s="1"/>
  <c r="AS341" i="2"/>
  <c r="AT341" i="2" s="1"/>
  <c r="AC341" i="2"/>
  <c r="AD341" i="2" s="1"/>
  <c r="Y341" i="2"/>
  <c r="Z341" i="2" s="1"/>
  <c r="U341" i="2"/>
  <c r="V341" i="2" s="1"/>
  <c r="Q341" i="2"/>
  <c r="R341" i="2" s="1"/>
  <c r="D341" i="2"/>
  <c r="BE340" i="2"/>
  <c r="BF340" i="2" s="1"/>
  <c r="BA340" i="2"/>
  <c r="BB340" i="2" s="1"/>
  <c r="AW340" i="2"/>
  <c r="AX340" i="2" s="1"/>
  <c r="AS340" i="2"/>
  <c r="AT340" i="2" s="1"/>
  <c r="AC340" i="2"/>
  <c r="AD340" i="2" s="1"/>
  <c r="Y340" i="2"/>
  <c r="Z340" i="2" s="1"/>
  <c r="U340" i="2"/>
  <c r="V340" i="2" s="1"/>
  <c r="Q340" i="2"/>
  <c r="R340" i="2" s="1"/>
  <c r="D340" i="2"/>
  <c r="BE339" i="2"/>
  <c r="BF339" i="2" s="1"/>
  <c r="BA339" i="2"/>
  <c r="BB339" i="2" s="1"/>
  <c r="AW339" i="2"/>
  <c r="AX339" i="2" s="1"/>
  <c r="AS339" i="2"/>
  <c r="AT339" i="2" s="1"/>
  <c r="AC339" i="2"/>
  <c r="AD339" i="2" s="1"/>
  <c r="Y339" i="2"/>
  <c r="Z339" i="2" s="1"/>
  <c r="U339" i="2"/>
  <c r="V339" i="2" s="1"/>
  <c r="Q339" i="2"/>
  <c r="R339" i="2" s="1"/>
  <c r="D339" i="2"/>
  <c r="BE338" i="2"/>
  <c r="BF338" i="2" s="1"/>
  <c r="BA338" i="2"/>
  <c r="BB338" i="2" s="1"/>
  <c r="AW338" i="2"/>
  <c r="AX338" i="2" s="1"/>
  <c r="AS338" i="2"/>
  <c r="AT338" i="2" s="1"/>
  <c r="AC338" i="2"/>
  <c r="AD338" i="2" s="1"/>
  <c r="Y338" i="2"/>
  <c r="Z338" i="2" s="1"/>
  <c r="U338" i="2"/>
  <c r="V338" i="2" s="1"/>
  <c r="Q338" i="2"/>
  <c r="R338" i="2" s="1"/>
  <c r="D338" i="2"/>
  <c r="BE337" i="2"/>
  <c r="BF337" i="2" s="1"/>
  <c r="BA337" i="2"/>
  <c r="BB337" i="2" s="1"/>
  <c r="AW337" i="2"/>
  <c r="AX337" i="2" s="1"/>
  <c r="AS337" i="2"/>
  <c r="AT337" i="2" s="1"/>
  <c r="AC337" i="2"/>
  <c r="AD337" i="2" s="1"/>
  <c r="Y337" i="2"/>
  <c r="Z337" i="2" s="1"/>
  <c r="U337" i="2"/>
  <c r="V337" i="2" s="1"/>
  <c r="Q337" i="2"/>
  <c r="R337" i="2" s="1"/>
  <c r="D337" i="2"/>
  <c r="BE336" i="2"/>
  <c r="BF336" i="2" s="1"/>
  <c r="BA336" i="2"/>
  <c r="BB336" i="2" s="1"/>
  <c r="AW336" i="2"/>
  <c r="AX336" i="2" s="1"/>
  <c r="AS336" i="2"/>
  <c r="AT336" i="2" s="1"/>
  <c r="AC336" i="2"/>
  <c r="AD336" i="2" s="1"/>
  <c r="Y336" i="2"/>
  <c r="Z336" i="2" s="1"/>
  <c r="U336" i="2"/>
  <c r="V336" i="2" s="1"/>
  <c r="Q336" i="2"/>
  <c r="R336" i="2" s="1"/>
  <c r="D336" i="2"/>
  <c r="BE335" i="2"/>
  <c r="BF335" i="2" s="1"/>
  <c r="BA335" i="2"/>
  <c r="BB335" i="2" s="1"/>
  <c r="AW335" i="2"/>
  <c r="AX335" i="2" s="1"/>
  <c r="AS335" i="2"/>
  <c r="AT335" i="2" s="1"/>
  <c r="AC335" i="2"/>
  <c r="AD335" i="2" s="1"/>
  <c r="Y335" i="2"/>
  <c r="Z335" i="2" s="1"/>
  <c r="U335" i="2"/>
  <c r="V335" i="2" s="1"/>
  <c r="Q335" i="2"/>
  <c r="R335" i="2" s="1"/>
  <c r="D335" i="2"/>
  <c r="BE334" i="2"/>
  <c r="BF334" i="2" s="1"/>
  <c r="BA334" i="2"/>
  <c r="BB334" i="2" s="1"/>
  <c r="AW334" i="2"/>
  <c r="AX334" i="2" s="1"/>
  <c r="AS334" i="2"/>
  <c r="AT334" i="2" s="1"/>
  <c r="AC334" i="2"/>
  <c r="AD334" i="2" s="1"/>
  <c r="Y334" i="2"/>
  <c r="Z334" i="2" s="1"/>
  <c r="U334" i="2"/>
  <c r="V334" i="2" s="1"/>
  <c r="Q334" i="2"/>
  <c r="R334" i="2" s="1"/>
  <c r="D334" i="2"/>
  <c r="BE333" i="2"/>
  <c r="BF333" i="2" s="1"/>
  <c r="BA333" i="2"/>
  <c r="BB333" i="2" s="1"/>
  <c r="AW333" i="2"/>
  <c r="AX333" i="2" s="1"/>
  <c r="AS333" i="2"/>
  <c r="AT333" i="2" s="1"/>
  <c r="AC333" i="2"/>
  <c r="AD333" i="2" s="1"/>
  <c r="Y333" i="2"/>
  <c r="Z333" i="2" s="1"/>
  <c r="U333" i="2"/>
  <c r="V333" i="2" s="1"/>
  <c r="Q333" i="2"/>
  <c r="R333" i="2" s="1"/>
  <c r="D333" i="2"/>
  <c r="BE332" i="2"/>
  <c r="BF332" i="2" s="1"/>
  <c r="BA332" i="2"/>
  <c r="BB332" i="2" s="1"/>
  <c r="AW332" i="2"/>
  <c r="AX332" i="2" s="1"/>
  <c r="AS332" i="2"/>
  <c r="AT332" i="2" s="1"/>
  <c r="AC332" i="2"/>
  <c r="AD332" i="2" s="1"/>
  <c r="Y332" i="2"/>
  <c r="Z332" i="2" s="1"/>
  <c r="U332" i="2"/>
  <c r="V332" i="2" s="1"/>
  <c r="Q332" i="2"/>
  <c r="R332" i="2" s="1"/>
  <c r="D332" i="2"/>
  <c r="BE331" i="2"/>
  <c r="BF331" i="2" s="1"/>
  <c r="BA331" i="2"/>
  <c r="BB331" i="2" s="1"/>
  <c r="AW331" i="2"/>
  <c r="AX331" i="2" s="1"/>
  <c r="AS331" i="2"/>
  <c r="AT331" i="2" s="1"/>
  <c r="AC331" i="2"/>
  <c r="AD331" i="2" s="1"/>
  <c r="Y331" i="2"/>
  <c r="Z331" i="2" s="1"/>
  <c r="U331" i="2"/>
  <c r="V331" i="2" s="1"/>
  <c r="Q331" i="2"/>
  <c r="R331" i="2" s="1"/>
  <c r="D331" i="2"/>
  <c r="BE330" i="2"/>
  <c r="BF330" i="2" s="1"/>
  <c r="BA330" i="2"/>
  <c r="BB330" i="2" s="1"/>
  <c r="AW330" i="2"/>
  <c r="AX330" i="2" s="1"/>
  <c r="AS330" i="2"/>
  <c r="AT330" i="2" s="1"/>
  <c r="AC330" i="2"/>
  <c r="AD330" i="2" s="1"/>
  <c r="Y330" i="2"/>
  <c r="Z330" i="2" s="1"/>
  <c r="U330" i="2"/>
  <c r="V330" i="2" s="1"/>
  <c r="Q330" i="2"/>
  <c r="R330" i="2" s="1"/>
  <c r="D330" i="2"/>
  <c r="BE329" i="2"/>
  <c r="BF329" i="2" s="1"/>
  <c r="BA329" i="2"/>
  <c r="BB329" i="2" s="1"/>
  <c r="AW329" i="2"/>
  <c r="AX329" i="2" s="1"/>
  <c r="AS329" i="2"/>
  <c r="AT329" i="2" s="1"/>
  <c r="AC329" i="2"/>
  <c r="AD329" i="2" s="1"/>
  <c r="Y329" i="2"/>
  <c r="Z329" i="2" s="1"/>
  <c r="U329" i="2"/>
  <c r="V329" i="2" s="1"/>
  <c r="Q329" i="2"/>
  <c r="R329" i="2" s="1"/>
  <c r="D329" i="2"/>
  <c r="BE328" i="2"/>
  <c r="BF328" i="2" s="1"/>
  <c r="BA328" i="2"/>
  <c r="BB328" i="2" s="1"/>
  <c r="AW328" i="2"/>
  <c r="AX328" i="2" s="1"/>
  <c r="AS328" i="2"/>
  <c r="AT328" i="2" s="1"/>
  <c r="AC328" i="2"/>
  <c r="AD328" i="2" s="1"/>
  <c r="Y328" i="2"/>
  <c r="Z328" i="2" s="1"/>
  <c r="U328" i="2"/>
  <c r="V328" i="2" s="1"/>
  <c r="Q328" i="2"/>
  <c r="R328" i="2" s="1"/>
  <c r="D328" i="2"/>
  <c r="BE327" i="2"/>
  <c r="BF327" i="2" s="1"/>
  <c r="BA327" i="2"/>
  <c r="BB327" i="2" s="1"/>
  <c r="AW327" i="2"/>
  <c r="AX327" i="2" s="1"/>
  <c r="AS327" i="2"/>
  <c r="AT327" i="2" s="1"/>
  <c r="AC327" i="2"/>
  <c r="AD327" i="2" s="1"/>
  <c r="Y327" i="2"/>
  <c r="Z327" i="2" s="1"/>
  <c r="U327" i="2"/>
  <c r="V327" i="2" s="1"/>
  <c r="Q327" i="2"/>
  <c r="R327" i="2" s="1"/>
  <c r="D327" i="2"/>
  <c r="BE326" i="2"/>
  <c r="BF326" i="2" s="1"/>
  <c r="BA326" i="2"/>
  <c r="BB326" i="2" s="1"/>
  <c r="AW326" i="2"/>
  <c r="AX326" i="2" s="1"/>
  <c r="AS326" i="2"/>
  <c r="AT326" i="2" s="1"/>
  <c r="AC326" i="2"/>
  <c r="AD326" i="2" s="1"/>
  <c r="Y326" i="2"/>
  <c r="Z326" i="2" s="1"/>
  <c r="U326" i="2"/>
  <c r="V326" i="2" s="1"/>
  <c r="Q326" i="2"/>
  <c r="R326" i="2" s="1"/>
  <c r="D326" i="2"/>
  <c r="BE325" i="2"/>
  <c r="BF325" i="2" s="1"/>
  <c r="BA325" i="2"/>
  <c r="BB325" i="2" s="1"/>
  <c r="AW325" i="2"/>
  <c r="AX325" i="2" s="1"/>
  <c r="AS325" i="2"/>
  <c r="AT325" i="2" s="1"/>
  <c r="AC325" i="2"/>
  <c r="AD325" i="2" s="1"/>
  <c r="Y325" i="2"/>
  <c r="Z325" i="2" s="1"/>
  <c r="U325" i="2"/>
  <c r="V325" i="2" s="1"/>
  <c r="Q325" i="2"/>
  <c r="R325" i="2" s="1"/>
  <c r="D325" i="2"/>
  <c r="BE324" i="2"/>
  <c r="BF324" i="2" s="1"/>
  <c r="BA324" i="2"/>
  <c r="BB324" i="2" s="1"/>
  <c r="AW324" i="2"/>
  <c r="AX324" i="2" s="1"/>
  <c r="AS324" i="2"/>
  <c r="AT324" i="2" s="1"/>
  <c r="AC324" i="2"/>
  <c r="AD324" i="2" s="1"/>
  <c r="Y324" i="2"/>
  <c r="Z324" i="2" s="1"/>
  <c r="U324" i="2"/>
  <c r="V324" i="2" s="1"/>
  <c r="Q324" i="2"/>
  <c r="R324" i="2" s="1"/>
  <c r="D324" i="2"/>
  <c r="BE323" i="2"/>
  <c r="BF323" i="2" s="1"/>
  <c r="BA323" i="2"/>
  <c r="BB323" i="2" s="1"/>
  <c r="AW323" i="2"/>
  <c r="AX323" i="2" s="1"/>
  <c r="AS323" i="2"/>
  <c r="AT323" i="2" s="1"/>
  <c r="AC323" i="2"/>
  <c r="AD323" i="2" s="1"/>
  <c r="Y323" i="2"/>
  <c r="Z323" i="2" s="1"/>
  <c r="U323" i="2"/>
  <c r="V323" i="2" s="1"/>
  <c r="Q323" i="2"/>
  <c r="R323" i="2" s="1"/>
  <c r="D323" i="2"/>
  <c r="BE322" i="2"/>
  <c r="BF322" i="2" s="1"/>
  <c r="BA322" i="2"/>
  <c r="BB322" i="2" s="1"/>
  <c r="AW322" i="2"/>
  <c r="AX322" i="2" s="1"/>
  <c r="AS322" i="2"/>
  <c r="AT322" i="2" s="1"/>
  <c r="AC322" i="2"/>
  <c r="AD322" i="2" s="1"/>
  <c r="Y322" i="2"/>
  <c r="Z322" i="2" s="1"/>
  <c r="U322" i="2"/>
  <c r="V322" i="2" s="1"/>
  <c r="Q322" i="2"/>
  <c r="R322" i="2" s="1"/>
  <c r="D322" i="2"/>
  <c r="BE321" i="2"/>
  <c r="BF321" i="2" s="1"/>
  <c r="BA321" i="2"/>
  <c r="BB321" i="2" s="1"/>
  <c r="AW321" i="2"/>
  <c r="AX321" i="2" s="1"/>
  <c r="AS321" i="2"/>
  <c r="AT321" i="2" s="1"/>
  <c r="AC321" i="2"/>
  <c r="AD321" i="2" s="1"/>
  <c r="Y321" i="2"/>
  <c r="Z321" i="2" s="1"/>
  <c r="U321" i="2"/>
  <c r="V321" i="2" s="1"/>
  <c r="Q321" i="2"/>
  <c r="R321" i="2" s="1"/>
  <c r="D321" i="2"/>
  <c r="BE320" i="2"/>
  <c r="BF320" i="2" s="1"/>
  <c r="BA320" i="2"/>
  <c r="BB320" i="2" s="1"/>
  <c r="AW320" i="2"/>
  <c r="AX320" i="2" s="1"/>
  <c r="AS320" i="2"/>
  <c r="AT320" i="2" s="1"/>
  <c r="AC320" i="2"/>
  <c r="AD320" i="2" s="1"/>
  <c r="Y320" i="2"/>
  <c r="Z320" i="2" s="1"/>
  <c r="U320" i="2"/>
  <c r="V320" i="2" s="1"/>
  <c r="Q320" i="2"/>
  <c r="R320" i="2" s="1"/>
  <c r="D320" i="2"/>
  <c r="BE319" i="2"/>
  <c r="BF319" i="2" s="1"/>
  <c r="BA319" i="2"/>
  <c r="BB319" i="2" s="1"/>
  <c r="AW319" i="2"/>
  <c r="AX319" i="2" s="1"/>
  <c r="AS319" i="2"/>
  <c r="AT319" i="2" s="1"/>
  <c r="AC319" i="2"/>
  <c r="AD319" i="2" s="1"/>
  <c r="Y319" i="2"/>
  <c r="Z319" i="2" s="1"/>
  <c r="U319" i="2"/>
  <c r="V319" i="2" s="1"/>
  <c r="Q319" i="2"/>
  <c r="R319" i="2" s="1"/>
  <c r="D319" i="2"/>
  <c r="BE318" i="2"/>
  <c r="BF318" i="2" s="1"/>
  <c r="BA318" i="2"/>
  <c r="BB318" i="2" s="1"/>
  <c r="AW318" i="2"/>
  <c r="AX318" i="2" s="1"/>
  <c r="AS318" i="2"/>
  <c r="AT318" i="2" s="1"/>
  <c r="AC318" i="2"/>
  <c r="AD318" i="2" s="1"/>
  <c r="Y318" i="2"/>
  <c r="Z318" i="2" s="1"/>
  <c r="U318" i="2"/>
  <c r="V318" i="2" s="1"/>
  <c r="Q318" i="2"/>
  <c r="R318" i="2" s="1"/>
  <c r="D318" i="2"/>
  <c r="BE317" i="2"/>
  <c r="BF317" i="2" s="1"/>
  <c r="BA317" i="2"/>
  <c r="BB317" i="2" s="1"/>
  <c r="AW317" i="2"/>
  <c r="AX317" i="2" s="1"/>
  <c r="AS317" i="2"/>
  <c r="AT317" i="2" s="1"/>
  <c r="AC317" i="2"/>
  <c r="AD317" i="2" s="1"/>
  <c r="Y317" i="2"/>
  <c r="Z317" i="2" s="1"/>
  <c r="U317" i="2"/>
  <c r="V317" i="2" s="1"/>
  <c r="Q317" i="2"/>
  <c r="R317" i="2" s="1"/>
  <c r="D317" i="2"/>
  <c r="BE316" i="2"/>
  <c r="BF316" i="2" s="1"/>
  <c r="BA316" i="2"/>
  <c r="BB316" i="2" s="1"/>
  <c r="AW316" i="2"/>
  <c r="AX316" i="2" s="1"/>
  <c r="AS316" i="2"/>
  <c r="AT316" i="2" s="1"/>
  <c r="AC316" i="2"/>
  <c r="AD316" i="2" s="1"/>
  <c r="Y316" i="2"/>
  <c r="Z316" i="2" s="1"/>
  <c r="U316" i="2"/>
  <c r="V316" i="2" s="1"/>
  <c r="Q316" i="2"/>
  <c r="R316" i="2" s="1"/>
  <c r="D316" i="2"/>
  <c r="BE315" i="2"/>
  <c r="BF315" i="2" s="1"/>
  <c r="BA315" i="2"/>
  <c r="BB315" i="2" s="1"/>
  <c r="AW315" i="2"/>
  <c r="AX315" i="2" s="1"/>
  <c r="AS315" i="2"/>
  <c r="AT315" i="2" s="1"/>
  <c r="AC315" i="2"/>
  <c r="AD315" i="2" s="1"/>
  <c r="Y315" i="2"/>
  <c r="Z315" i="2" s="1"/>
  <c r="U315" i="2"/>
  <c r="V315" i="2" s="1"/>
  <c r="Q315" i="2"/>
  <c r="R315" i="2" s="1"/>
  <c r="D315" i="2"/>
  <c r="BE314" i="2"/>
  <c r="BF314" i="2" s="1"/>
  <c r="BA314" i="2"/>
  <c r="BB314" i="2" s="1"/>
  <c r="AW314" i="2"/>
  <c r="AX314" i="2" s="1"/>
  <c r="AS314" i="2"/>
  <c r="AT314" i="2" s="1"/>
  <c r="AC314" i="2"/>
  <c r="AD314" i="2" s="1"/>
  <c r="Y314" i="2"/>
  <c r="Z314" i="2" s="1"/>
  <c r="U314" i="2"/>
  <c r="V314" i="2" s="1"/>
  <c r="Q314" i="2"/>
  <c r="R314" i="2" s="1"/>
  <c r="D314" i="2"/>
  <c r="BE313" i="2"/>
  <c r="BF313" i="2" s="1"/>
  <c r="BA313" i="2"/>
  <c r="BB313" i="2" s="1"/>
  <c r="AW313" i="2"/>
  <c r="AX313" i="2" s="1"/>
  <c r="AS313" i="2"/>
  <c r="AT313" i="2" s="1"/>
  <c r="AC313" i="2"/>
  <c r="AD313" i="2" s="1"/>
  <c r="Y313" i="2"/>
  <c r="Z313" i="2" s="1"/>
  <c r="U313" i="2"/>
  <c r="V313" i="2" s="1"/>
  <c r="Q313" i="2"/>
  <c r="R313" i="2" s="1"/>
  <c r="D313" i="2"/>
  <c r="BE312" i="2"/>
  <c r="BF312" i="2" s="1"/>
  <c r="BA312" i="2"/>
  <c r="BB312" i="2" s="1"/>
  <c r="AW312" i="2"/>
  <c r="AX312" i="2" s="1"/>
  <c r="AS312" i="2"/>
  <c r="AT312" i="2" s="1"/>
  <c r="AC312" i="2"/>
  <c r="AD312" i="2" s="1"/>
  <c r="Y312" i="2"/>
  <c r="Z312" i="2" s="1"/>
  <c r="U312" i="2"/>
  <c r="V312" i="2" s="1"/>
  <c r="Q312" i="2"/>
  <c r="R312" i="2" s="1"/>
  <c r="D312" i="2"/>
  <c r="BE311" i="2"/>
  <c r="BF311" i="2" s="1"/>
  <c r="BA311" i="2"/>
  <c r="BB311" i="2" s="1"/>
  <c r="AW311" i="2"/>
  <c r="AX311" i="2" s="1"/>
  <c r="AS311" i="2"/>
  <c r="AT311" i="2" s="1"/>
  <c r="AC311" i="2"/>
  <c r="AD311" i="2" s="1"/>
  <c r="Y311" i="2"/>
  <c r="Z311" i="2" s="1"/>
  <c r="U311" i="2"/>
  <c r="V311" i="2" s="1"/>
  <c r="Q311" i="2"/>
  <c r="R311" i="2" s="1"/>
  <c r="D311" i="2"/>
  <c r="BE310" i="2"/>
  <c r="BF310" i="2" s="1"/>
  <c r="BA310" i="2"/>
  <c r="BB310" i="2" s="1"/>
  <c r="AW310" i="2"/>
  <c r="AX310" i="2" s="1"/>
  <c r="AS310" i="2"/>
  <c r="AT310" i="2" s="1"/>
  <c r="AC310" i="2"/>
  <c r="AD310" i="2" s="1"/>
  <c r="Y310" i="2"/>
  <c r="Z310" i="2" s="1"/>
  <c r="U310" i="2"/>
  <c r="V310" i="2" s="1"/>
  <c r="Q310" i="2"/>
  <c r="R310" i="2" s="1"/>
  <c r="D310" i="2"/>
  <c r="BE309" i="2"/>
  <c r="BF309" i="2" s="1"/>
  <c r="BA309" i="2"/>
  <c r="BB309" i="2" s="1"/>
  <c r="AW309" i="2"/>
  <c r="AX309" i="2" s="1"/>
  <c r="AS309" i="2"/>
  <c r="AT309" i="2" s="1"/>
  <c r="AC309" i="2"/>
  <c r="AD309" i="2" s="1"/>
  <c r="Y309" i="2"/>
  <c r="Z309" i="2" s="1"/>
  <c r="U309" i="2"/>
  <c r="V309" i="2" s="1"/>
  <c r="Q309" i="2"/>
  <c r="R309" i="2" s="1"/>
  <c r="D309" i="2"/>
  <c r="BE308" i="2"/>
  <c r="BF308" i="2" s="1"/>
  <c r="BA308" i="2"/>
  <c r="BB308" i="2" s="1"/>
  <c r="AW308" i="2"/>
  <c r="AX308" i="2" s="1"/>
  <c r="AS308" i="2"/>
  <c r="AT308" i="2" s="1"/>
  <c r="AC308" i="2"/>
  <c r="AD308" i="2" s="1"/>
  <c r="Y308" i="2"/>
  <c r="Z308" i="2" s="1"/>
  <c r="U308" i="2"/>
  <c r="V308" i="2" s="1"/>
  <c r="Q308" i="2"/>
  <c r="R308" i="2" s="1"/>
  <c r="D308" i="2"/>
  <c r="BE307" i="2"/>
  <c r="BF307" i="2" s="1"/>
  <c r="BA307" i="2"/>
  <c r="BB307" i="2" s="1"/>
  <c r="AW307" i="2"/>
  <c r="AX307" i="2" s="1"/>
  <c r="AS307" i="2"/>
  <c r="AT307" i="2" s="1"/>
  <c r="AC307" i="2"/>
  <c r="AD307" i="2" s="1"/>
  <c r="Y307" i="2"/>
  <c r="Z307" i="2" s="1"/>
  <c r="U307" i="2"/>
  <c r="V307" i="2" s="1"/>
  <c r="Q307" i="2"/>
  <c r="R307" i="2" s="1"/>
  <c r="D307" i="2"/>
  <c r="BE306" i="2"/>
  <c r="BF306" i="2" s="1"/>
  <c r="BA306" i="2"/>
  <c r="BB306" i="2" s="1"/>
  <c r="AW306" i="2"/>
  <c r="AX306" i="2" s="1"/>
  <c r="AS306" i="2"/>
  <c r="AT306" i="2" s="1"/>
  <c r="AC306" i="2"/>
  <c r="AD306" i="2" s="1"/>
  <c r="Y306" i="2"/>
  <c r="Z306" i="2" s="1"/>
  <c r="U306" i="2"/>
  <c r="V306" i="2" s="1"/>
  <c r="Q306" i="2"/>
  <c r="R306" i="2" s="1"/>
  <c r="D306" i="2"/>
  <c r="BE305" i="2"/>
  <c r="BF305" i="2" s="1"/>
  <c r="BA305" i="2"/>
  <c r="BB305" i="2" s="1"/>
  <c r="AW305" i="2"/>
  <c r="AX305" i="2" s="1"/>
  <c r="AS305" i="2"/>
  <c r="AT305" i="2" s="1"/>
  <c r="AC305" i="2"/>
  <c r="AD305" i="2" s="1"/>
  <c r="Y305" i="2"/>
  <c r="Z305" i="2" s="1"/>
  <c r="U305" i="2"/>
  <c r="V305" i="2" s="1"/>
  <c r="Q305" i="2"/>
  <c r="R305" i="2" s="1"/>
  <c r="D305" i="2"/>
  <c r="BE304" i="2"/>
  <c r="BF304" i="2" s="1"/>
  <c r="BA304" i="2"/>
  <c r="BB304" i="2" s="1"/>
  <c r="AW304" i="2"/>
  <c r="AX304" i="2" s="1"/>
  <c r="AS304" i="2"/>
  <c r="AT304" i="2" s="1"/>
  <c r="AC304" i="2"/>
  <c r="AD304" i="2" s="1"/>
  <c r="Y304" i="2"/>
  <c r="Z304" i="2" s="1"/>
  <c r="U304" i="2"/>
  <c r="V304" i="2" s="1"/>
  <c r="Q304" i="2"/>
  <c r="R304" i="2" s="1"/>
  <c r="D304" i="2"/>
  <c r="BE303" i="2"/>
  <c r="BF303" i="2" s="1"/>
  <c r="BA303" i="2"/>
  <c r="BB303" i="2" s="1"/>
  <c r="AW303" i="2"/>
  <c r="AX303" i="2" s="1"/>
  <c r="AS303" i="2"/>
  <c r="AT303" i="2" s="1"/>
  <c r="AC303" i="2"/>
  <c r="AD303" i="2" s="1"/>
  <c r="Y303" i="2"/>
  <c r="Z303" i="2" s="1"/>
  <c r="U303" i="2"/>
  <c r="V303" i="2" s="1"/>
  <c r="Q303" i="2"/>
  <c r="R303" i="2" s="1"/>
  <c r="D303" i="2"/>
  <c r="BE302" i="2"/>
  <c r="BF302" i="2" s="1"/>
  <c r="BA302" i="2"/>
  <c r="BB302" i="2" s="1"/>
  <c r="AW302" i="2"/>
  <c r="AX302" i="2" s="1"/>
  <c r="AS302" i="2"/>
  <c r="AT302" i="2" s="1"/>
  <c r="AC302" i="2"/>
  <c r="AD302" i="2" s="1"/>
  <c r="Y302" i="2"/>
  <c r="Z302" i="2" s="1"/>
  <c r="U302" i="2"/>
  <c r="V302" i="2" s="1"/>
  <c r="Q302" i="2"/>
  <c r="R302" i="2" s="1"/>
  <c r="D302" i="2"/>
  <c r="BE301" i="2"/>
  <c r="BF301" i="2" s="1"/>
  <c r="BA301" i="2"/>
  <c r="BB301" i="2" s="1"/>
  <c r="AW301" i="2"/>
  <c r="AX301" i="2" s="1"/>
  <c r="AS301" i="2"/>
  <c r="AT301" i="2" s="1"/>
  <c r="AC301" i="2"/>
  <c r="AD301" i="2" s="1"/>
  <c r="Y301" i="2"/>
  <c r="Z301" i="2" s="1"/>
  <c r="U301" i="2"/>
  <c r="V301" i="2" s="1"/>
  <c r="Q301" i="2"/>
  <c r="R301" i="2" s="1"/>
  <c r="D301" i="2"/>
  <c r="BE300" i="2"/>
  <c r="BF300" i="2" s="1"/>
  <c r="BA300" i="2"/>
  <c r="BB300" i="2" s="1"/>
  <c r="AW300" i="2"/>
  <c r="AX300" i="2" s="1"/>
  <c r="AS300" i="2"/>
  <c r="AT300" i="2" s="1"/>
  <c r="AC300" i="2"/>
  <c r="AD300" i="2" s="1"/>
  <c r="Y300" i="2"/>
  <c r="Z300" i="2" s="1"/>
  <c r="U300" i="2"/>
  <c r="V300" i="2" s="1"/>
  <c r="Q300" i="2"/>
  <c r="R300" i="2" s="1"/>
  <c r="J300" i="2"/>
  <c r="D300" i="2"/>
  <c r="BE299" i="2"/>
  <c r="BF299" i="2" s="1"/>
  <c r="BA299" i="2"/>
  <c r="BB299" i="2" s="1"/>
  <c r="AW299" i="2"/>
  <c r="AX299" i="2" s="1"/>
  <c r="AS299" i="2"/>
  <c r="AT299" i="2" s="1"/>
  <c r="AC299" i="2"/>
  <c r="AD299" i="2" s="1"/>
  <c r="Y299" i="2"/>
  <c r="Z299" i="2" s="1"/>
  <c r="U299" i="2"/>
  <c r="V299" i="2" s="1"/>
  <c r="Q299" i="2"/>
  <c r="R299" i="2" s="1"/>
  <c r="D299" i="2"/>
  <c r="BE298" i="2"/>
  <c r="BF298" i="2" s="1"/>
  <c r="BA298" i="2"/>
  <c r="BB298" i="2" s="1"/>
  <c r="AW298" i="2"/>
  <c r="AX298" i="2" s="1"/>
  <c r="AS298" i="2"/>
  <c r="AT298" i="2" s="1"/>
  <c r="AC298" i="2"/>
  <c r="AD298" i="2" s="1"/>
  <c r="Y298" i="2"/>
  <c r="Z298" i="2" s="1"/>
  <c r="U298" i="2"/>
  <c r="V298" i="2" s="1"/>
  <c r="Q298" i="2"/>
  <c r="R298" i="2" s="1"/>
  <c r="D298" i="2"/>
  <c r="BE297" i="2"/>
  <c r="BF297" i="2" s="1"/>
  <c r="BA297" i="2"/>
  <c r="BB297" i="2" s="1"/>
  <c r="AW297" i="2"/>
  <c r="AX297" i="2" s="1"/>
  <c r="AS297" i="2"/>
  <c r="AT297" i="2" s="1"/>
  <c r="AC297" i="2"/>
  <c r="AD297" i="2" s="1"/>
  <c r="Y297" i="2"/>
  <c r="Z297" i="2" s="1"/>
  <c r="U297" i="2"/>
  <c r="V297" i="2" s="1"/>
  <c r="Q297" i="2"/>
  <c r="R297" i="2" s="1"/>
  <c r="D297" i="2"/>
  <c r="BE296" i="2"/>
  <c r="BF296" i="2" s="1"/>
  <c r="BA296" i="2"/>
  <c r="BB296" i="2" s="1"/>
  <c r="AW296" i="2"/>
  <c r="AX296" i="2" s="1"/>
  <c r="AS296" i="2"/>
  <c r="AT296" i="2" s="1"/>
  <c r="AC296" i="2"/>
  <c r="AD296" i="2" s="1"/>
  <c r="Y296" i="2"/>
  <c r="Z296" i="2" s="1"/>
  <c r="U296" i="2"/>
  <c r="V296" i="2" s="1"/>
  <c r="Q296" i="2"/>
  <c r="R296" i="2" s="1"/>
  <c r="J296" i="2"/>
  <c r="D296" i="2"/>
  <c r="BE295" i="2"/>
  <c r="BF295" i="2" s="1"/>
  <c r="BA295" i="2"/>
  <c r="BB295" i="2" s="1"/>
  <c r="AW295" i="2"/>
  <c r="AX295" i="2" s="1"/>
  <c r="AS295" i="2"/>
  <c r="AT295" i="2" s="1"/>
  <c r="AC295" i="2"/>
  <c r="AD295" i="2" s="1"/>
  <c r="Y295" i="2"/>
  <c r="Z295" i="2" s="1"/>
  <c r="U295" i="2"/>
  <c r="V295" i="2" s="1"/>
  <c r="Q295" i="2"/>
  <c r="R295" i="2" s="1"/>
  <c r="D295" i="2"/>
  <c r="BE294" i="2"/>
  <c r="BF294" i="2" s="1"/>
  <c r="BA294" i="2"/>
  <c r="BB294" i="2" s="1"/>
  <c r="AW294" i="2"/>
  <c r="AX294" i="2" s="1"/>
  <c r="AS294" i="2"/>
  <c r="AT294" i="2" s="1"/>
  <c r="AC294" i="2"/>
  <c r="AD294" i="2" s="1"/>
  <c r="Y294" i="2"/>
  <c r="Z294" i="2" s="1"/>
  <c r="U294" i="2"/>
  <c r="V294" i="2" s="1"/>
  <c r="Q294" i="2"/>
  <c r="R294" i="2" s="1"/>
  <c r="D294" i="2"/>
  <c r="BE293" i="2"/>
  <c r="BF293" i="2" s="1"/>
  <c r="BA293" i="2"/>
  <c r="BB293" i="2" s="1"/>
  <c r="AW293" i="2"/>
  <c r="AX293" i="2" s="1"/>
  <c r="AS293" i="2"/>
  <c r="AT293" i="2" s="1"/>
  <c r="AC293" i="2"/>
  <c r="AD293" i="2" s="1"/>
  <c r="Y293" i="2"/>
  <c r="Z293" i="2" s="1"/>
  <c r="U293" i="2"/>
  <c r="V293" i="2" s="1"/>
  <c r="Q293" i="2"/>
  <c r="R293" i="2" s="1"/>
  <c r="D293" i="2"/>
  <c r="BE292" i="2"/>
  <c r="BF292" i="2" s="1"/>
  <c r="BA292" i="2"/>
  <c r="BB292" i="2" s="1"/>
  <c r="AW292" i="2"/>
  <c r="AX292" i="2" s="1"/>
  <c r="AS292" i="2"/>
  <c r="AT292" i="2" s="1"/>
  <c r="AC292" i="2"/>
  <c r="AD292" i="2" s="1"/>
  <c r="Y292" i="2"/>
  <c r="Z292" i="2" s="1"/>
  <c r="U292" i="2"/>
  <c r="V292" i="2" s="1"/>
  <c r="Q292" i="2"/>
  <c r="R292" i="2" s="1"/>
  <c r="J292" i="2"/>
  <c r="D292" i="2"/>
  <c r="BE291" i="2"/>
  <c r="BF291" i="2" s="1"/>
  <c r="BA291" i="2"/>
  <c r="BB291" i="2" s="1"/>
  <c r="AW291" i="2"/>
  <c r="AX291" i="2" s="1"/>
  <c r="AS291" i="2"/>
  <c r="AT291" i="2" s="1"/>
  <c r="AC291" i="2"/>
  <c r="AD291" i="2" s="1"/>
  <c r="Y291" i="2"/>
  <c r="Z291" i="2" s="1"/>
  <c r="U291" i="2"/>
  <c r="V291" i="2" s="1"/>
  <c r="Q291" i="2"/>
  <c r="R291" i="2" s="1"/>
  <c r="D291" i="2"/>
  <c r="BE290" i="2"/>
  <c r="BF290" i="2" s="1"/>
  <c r="BA290" i="2"/>
  <c r="BB290" i="2" s="1"/>
  <c r="AW290" i="2"/>
  <c r="AX290" i="2" s="1"/>
  <c r="AS290" i="2"/>
  <c r="AT290" i="2" s="1"/>
  <c r="AC290" i="2"/>
  <c r="AD290" i="2" s="1"/>
  <c r="Y290" i="2"/>
  <c r="Z290" i="2" s="1"/>
  <c r="U290" i="2"/>
  <c r="V290" i="2" s="1"/>
  <c r="Q290" i="2"/>
  <c r="R290" i="2" s="1"/>
  <c r="D290" i="2"/>
  <c r="BE289" i="2"/>
  <c r="BF289" i="2" s="1"/>
  <c r="BA289" i="2"/>
  <c r="BB289" i="2" s="1"/>
  <c r="AW289" i="2"/>
  <c r="AX289" i="2" s="1"/>
  <c r="AS289" i="2"/>
  <c r="AT289" i="2" s="1"/>
  <c r="AC289" i="2"/>
  <c r="AD289" i="2" s="1"/>
  <c r="Y289" i="2"/>
  <c r="Z289" i="2" s="1"/>
  <c r="U289" i="2"/>
  <c r="V289" i="2" s="1"/>
  <c r="Q289" i="2"/>
  <c r="R289" i="2" s="1"/>
  <c r="D289" i="2"/>
  <c r="BE288" i="2"/>
  <c r="BF288" i="2" s="1"/>
  <c r="BA288" i="2"/>
  <c r="BB288" i="2" s="1"/>
  <c r="AW288" i="2"/>
  <c r="AX288" i="2" s="1"/>
  <c r="AS288" i="2"/>
  <c r="AT288" i="2" s="1"/>
  <c r="AC288" i="2"/>
  <c r="AD288" i="2" s="1"/>
  <c r="Y288" i="2"/>
  <c r="Z288" i="2" s="1"/>
  <c r="U288" i="2"/>
  <c r="V288" i="2" s="1"/>
  <c r="Q288" i="2"/>
  <c r="R288" i="2" s="1"/>
  <c r="D288" i="2"/>
  <c r="BE287" i="2"/>
  <c r="BF287" i="2" s="1"/>
  <c r="BA287" i="2"/>
  <c r="BB287" i="2" s="1"/>
  <c r="AW287" i="2"/>
  <c r="AX287" i="2" s="1"/>
  <c r="AS287" i="2"/>
  <c r="AT287" i="2" s="1"/>
  <c r="AC287" i="2"/>
  <c r="AD287" i="2" s="1"/>
  <c r="Y287" i="2"/>
  <c r="Z287" i="2" s="1"/>
  <c r="U287" i="2"/>
  <c r="V287" i="2" s="1"/>
  <c r="Q287" i="2"/>
  <c r="R287" i="2" s="1"/>
  <c r="D287" i="2"/>
  <c r="D286" i="2"/>
  <c r="D285" i="2"/>
  <c r="D284" i="2"/>
  <c r="BE283" i="2"/>
  <c r="BF283" i="2" s="1"/>
  <c r="BA283" i="2"/>
  <c r="BB283" i="2" s="1"/>
  <c r="AW283" i="2"/>
  <c r="AX283" i="2" s="1"/>
  <c r="AS283" i="2"/>
  <c r="AT283" i="2" s="1"/>
  <c r="AC283" i="2"/>
  <c r="AD283" i="2" s="1"/>
  <c r="Y283" i="2"/>
  <c r="Z283" i="2" s="1"/>
  <c r="U283" i="2"/>
  <c r="V283" i="2" s="1"/>
  <c r="Q283" i="2"/>
  <c r="R283" i="2" s="1"/>
  <c r="D283" i="2"/>
  <c r="BE282" i="2"/>
  <c r="BF282" i="2" s="1"/>
  <c r="BA282" i="2"/>
  <c r="BB282" i="2" s="1"/>
  <c r="AW282" i="2"/>
  <c r="AX282" i="2" s="1"/>
  <c r="AS282" i="2"/>
  <c r="AT282" i="2" s="1"/>
  <c r="AC282" i="2"/>
  <c r="AD282" i="2" s="1"/>
  <c r="Y282" i="2"/>
  <c r="Z282" i="2" s="1"/>
  <c r="U282" i="2"/>
  <c r="V282" i="2" s="1"/>
  <c r="Q282" i="2"/>
  <c r="R282" i="2" s="1"/>
  <c r="D282" i="2"/>
  <c r="BE281" i="2"/>
  <c r="BF281" i="2" s="1"/>
  <c r="BA281" i="2"/>
  <c r="BB281" i="2" s="1"/>
  <c r="AW281" i="2"/>
  <c r="AX281" i="2" s="1"/>
  <c r="AS281" i="2"/>
  <c r="AT281" i="2" s="1"/>
  <c r="AC281" i="2"/>
  <c r="AD281" i="2" s="1"/>
  <c r="Y281" i="2"/>
  <c r="Z281" i="2" s="1"/>
  <c r="U281" i="2"/>
  <c r="V281" i="2" s="1"/>
  <c r="Q281" i="2"/>
  <c r="R281" i="2" s="1"/>
  <c r="D281" i="2"/>
  <c r="BE280" i="2"/>
  <c r="BF280" i="2" s="1"/>
  <c r="BA280" i="2"/>
  <c r="BB280" i="2" s="1"/>
  <c r="AW280" i="2"/>
  <c r="AX280" i="2" s="1"/>
  <c r="AS280" i="2"/>
  <c r="AT280" i="2" s="1"/>
  <c r="AC280" i="2"/>
  <c r="AD280" i="2" s="1"/>
  <c r="Y280" i="2"/>
  <c r="Z280" i="2" s="1"/>
  <c r="U280" i="2"/>
  <c r="V280" i="2" s="1"/>
  <c r="Q280" i="2"/>
  <c r="R280" i="2" s="1"/>
  <c r="D280" i="2"/>
  <c r="BE279" i="2"/>
  <c r="BF279" i="2" s="1"/>
  <c r="BA279" i="2"/>
  <c r="BB279" i="2" s="1"/>
  <c r="AW279" i="2"/>
  <c r="AX279" i="2" s="1"/>
  <c r="AS279" i="2"/>
  <c r="AT279" i="2" s="1"/>
  <c r="AC279" i="2"/>
  <c r="AD279" i="2" s="1"/>
  <c r="Y279" i="2"/>
  <c r="Z279" i="2" s="1"/>
  <c r="U279" i="2"/>
  <c r="V279" i="2" s="1"/>
  <c r="Q279" i="2"/>
  <c r="R279" i="2" s="1"/>
  <c r="D279" i="2"/>
  <c r="BE278" i="2"/>
  <c r="BF278" i="2" s="1"/>
  <c r="BA278" i="2"/>
  <c r="BB278" i="2" s="1"/>
  <c r="AW278" i="2"/>
  <c r="AX278" i="2" s="1"/>
  <c r="AS278" i="2"/>
  <c r="AT278" i="2" s="1"/>
  <c r="AC278" i="2"/>
  <c r="AD278" i="2" s="1"/>
  <c r="Y278" i="2"/>
  <c r="Z278" i="2" s="1"/>
  <c r="U278" i="2"/>
  <c r="V278" i="2" s="1"/>
  <c r="Q278" i="2"/>
  <c r="R278" i="2" s="1"/>
  <c r="D278" i="2"/>
  <c r="BE277" i="2"/>
  <c r="BF277" i="2" s="1"/>
  <c r="BA277" i="2"/>
  <c r="BB277" i="2" s="1"/>
  <c r="AW277" i="2"/>
  <c r="AX277" i="2" s="1"/>
  <c r="AS277" i="2"/>
  <c r="AT277" i="2" s="1"/>
  <c r="AC277" i="2"/>
  <c r="AD277" i="2" s="1"/>
  <c r="Y277" i="2"/>
  <c r="Z277" i="2" s="1"/>
  <c r="U277" i="2"/>
  <c r="V277" i="2" s="1"/>
  <c r="Q277" i="2"/>
  <c r="R277" i="2" s="1"/>
  <c r="D277" i="2"/>
  <c r="BE276" i="2"/>
  <c r="BF276" i="2" s="1"/>
  <c r="BA276" i="2"/>
  <c r="BB276" i="2" s="1"/>
  <c r="AW276" i="2"/>
  <c r="AX276" i="2" s="1"/>
  <c r="AS276" i="2"/>
  <c r="AT276" i="2" s="1"/>
  <c r="AC276" i="2"/>
  <c r="AD276" i="2" s="1"/>
  <c r="Y276" i="2"/>
  <c r="Z276" i="2" s="1"/>
  <c r="U276" i="2"/>
  <c r="V276" i="2" s="1"/>
  <c r="Q276" i="2"/>
  <c r="R276" i="2" s="1"/>
  <c r="D276" i="2"/>
  <c r="BE275" i="2"/>
  <c r="BF275" i="2" s="1"/>
  <c r="BA275" i="2"/>
  <c r="BB275" i="2" s="1"/>
  <c r="AW275" i="2"/>
  <c r="AX275" i="2" s="1"/>
  <c r="AS275" i="2"/>
  <c r="AT275" i="2" s="1"/>
  <c r="AC275" i="2"/>
  <c r="AD275" i="2" s="1"/>
  <c r="Y275" i="2"/>
  <c r="Z275" i="2" s="1"/>
  <c r="U275" i="2"/>
  <c r="V275" i="2" s="1"/>
  <c r="Q275" i="2"/>
  <c r="R275" i="2" s="1"/>
  <c r="D275" i="2"/>
  <c r="BE274" i="2"/>
  <c r="BF274" i="2" s="1"/>
  <c r="BA274" i="2"/>
  <c r="BB274" i="2" s="1"/>
  <c r="AW274" i="2"/>
  <c r="AX274" i="2" s="1"/>
  <c r="AS274" i="2"/>
  <c r="AT274" i="2" s="1"/>
  <c r="AC274" i="2"/>
  <c r="AD274" i="2" s="1"/>
  <c r="Y274" i="2"/>
  <c r="Z274" i="2" s="1"/>
  <c r="U274" i="2"/>
  <c r="V274" i="2" s="1"/>
  <c r="Q274" i="2"/>
  <c r="R274" i="2" s="1"/>
  <c r="D274" i="2"/>
  <c r="BE273" i="2"/>
  <c r="BF273" i="2" s="1"/>
  <c r="BA273" i="2"/>
  <c r="BB273" i="2" s="1"/>
  <c r="AW273" i="2"/>
  <c r="AX273" i="2" s="1"/>
  <c r="AS273" i="2"/>
  <c r="AT273" i="2" s="1"/>
  <c r="AC273" i="2"/>
  <c r="AD273" i="2" s="1"/>
  <c r="Y273" i="2"/>
  <c r="Z273" i="2" s="1"/>
  <c r="U273" i="2"/>
  <c r="V273" i="2" s="1"/>
  <c r="Q273" i="2"/>
  <c r="R273" i="2" s="1"/>
  <c r="D273" i="2"/>
  <c r="BE272" i="2"/>
  <c r="BF272" i="2" s="1"/>
  <c r="BA272" i="2"/>
  <c r="BB272" i="2" s="1"/>
  <c r="AW272" i="2"/>
  <c r="AX272" i="2" s="1"/>
  <c r="AS272" i="2"/>
  <c r="AT272" i="2" s="1"/>
  <c r="AC272" i="2"/>
  <c r="AD272" i="2" s="1"/>
  <c r="Y272" i="2"/>
  <c r="Z272" i="2" s="1"/>
  <c r="U272" i="2"/>
  <c r="V272" i="2" s="1"/>
  <c r="Q272" i="2"/>
  <c r="R272" i="2" s="1"/>
  <c r="D272" i="2"/>
  <c r="BE271" i="2"/>
  <c r="BF271" i="2" s="1"/>
  <c r="BA271" i="2"/>
  <c r="BB271" i="2" s="1"/>
  <c r="AW271" i="2"/>
  <c r="AX271" i="2" s="1"/>
  <c r="AS271" i="2"/>
  <c r="AT271" i="2" s="1"/>
  <c r="AC271" i="2"/>
  <c r="AD271" i="2" s="1"/>
  <c r="Y271" i="2"/>
  <c r="Z271" i="2" s="1"/>
  <c r="U271" i="2"/>
  <c r="V271" i="2" s="1"/>
  <c r="Q271" i="2"/>
  <c r="R271" i="2" s="1"/>
  <c r="D271" i="2"/>
  <c r="BE270" i="2"/>
  <c r="BF270" i="2" s="1"/>
  <c r="BA270" i="2"/>
  <c r="BB270" i="2" s="1"/>
  <c r="AW270" i="2"/>
  <c r="AX270" i="2" s="1"/>
  <c r="AS270" i="2"/>
  <c r="AT270" i="2" s="1"/>
  <c r="AC270" i="2"/>
  <c r="AD270" i="2" s="1"/>
  <c r="Y270" i="2"/>
  <c r="Z270" i="2" s="1"/>
  <c r="U270" i="2"/>
  <c r="V270" i="2" s="1"/>
  <c r="Q270" i="2"/>
  <c r="R270" i="2" s="1"/>
  <c r="D270" i="2"/>
  <c r="BE269" i="2"/>
  <c r="BF269" i="2" s="1"/>
  <c r="BA269" i="2"/>
  <c r="BB269" i="2" s="1"/>
  <c r="AW269" i="2"/>
  <c r="AX269" i="2" s="1"/>
  <c r="AS269" i="2"/>
  <c r="AT269" i="2" s="1"/>
  <c r="AC269" i="2"/>
  <c r="AD269" i="2" s="1"/>
  <c r="Y269" i="2"/>
  <c r="Z269" i="2" s="1"/>
  <c r="U269" i="2"/>
  <c r="V269" i="2" s="1"/>
  <c r="Q269" i="2"/>
  <c r="R269" i="2" s="1"/>
  <c r="D269" i="2"/>
  <c r="BE268" i="2"/>
  <c r="BF268" i="2" s="1"/>
  <c r="BA268" i="2"/>
  <c r="BB268" i="2" s="1"/>
  <c r="AW268" i="2"/>
  <c r="AX268" i="2" s="1"/>
  <c r="AS268" i="2"/>
  <c r="AT268" i="2" s="1"/>
  <c r="AC268" i="2"/>
  <c r="AD268" i="2" s="1"/>
  <c r="Y268" i="2"/>
  <c r="Z268" i="2" s="1"/>
  <c r="U268" i="2"/>
  <c r="V268" i="2" s="1"/>
  <c r="Q268" i="2"/>
  <c r="R268" i="2" s="1"/>
  <c r="D268" i="2"/>
  <c r="BE267" i="2"/>
  <c r="BF267" i="2" s="1"/>
  <c r="BA267" i="2"/>
  <c r="BB267" i="2" s="1"/>
  <c r="AW267" i="2"/>
  <c r="AX267" i="2" s="1"/>
  <c r="AS267" i="2"/>
  <c r="AT267" i="2" s="1"/>
  <c r="AC267" i="2"/>
  <c r="AD267" i="2" s="1"/>
  <c r="Y267" i="2"/>
  <c r="Z267" i="2" s="1"/>
  <c r="U267" i="2"/>
  <c r="V267" i="2" s="1"/>
  <c r="Q267" i="2"/>
  <c r="R267" i="2" s="1"/>
  <c r="D267" i="2"/>
  <c r="BE266" i="2"/>
  <c r="BF266" i="2" s="1"/>
  <c r="BA266" i="2"/>
  <c r="BB266" i="2" s="1"/>
  <c r="AW266" i="2"/>
  <c r="AX266" i="2" s="1"/>
  <c r="AS266" i="2"/>
  <c r="AT266" i="2" s="1"/>
  <c r="AC266" i="2"/>
  <c r="AD266" i="2" s="1"/>
  <c r="Y266" i="2"/>
  <c r="Z266" i="2" s="1"/>
  <c r="U266" i="2"/>
  <c r="V266" i="2" s="1"/>
  <c r="Q266" i="2"/>
  <c r="R266" i="2" s="1"/>
  <c r="D266" i="2"/>
  <c r="BE265" i="2"/>
  <c r="BF265" i="2" s="1"/>
  <c r="BA265" i="2"/>
  <c r="BB265" i="2" s="1"/>
  <c r="AW265" i="2"/>
  <c r="AX265" i="2" s="1"/>
  <c r="AS265" i="2"/>
  <c r="AT265" i="2" s="1"/>
  <c r="AC265" i="2"/>
  <c r="AD265" i="2" s="1"/>
  <c r="Y265" i="2"/>
  <c r="Z265" i="2" s="1"/>
  <c r="U265" i="2"/>
  <c r="V265" i="2" s="1"/>
  <c r="Q265" i="2"/>
  <c r="R265" i="2" s="1"/>
  <c r="D265" i="2"/>
  <c r="BE264" i="2"/>
  <c r="BF264" i="2" s="1"/>
  <c r="BA264" i="2"/>
  <c r="BB264" i="2" s="1"/>
  <c r="AW264" i="2"/>
  <c r="AX264" i="2" s="1"/>
  <c r="AS264" i="2"/>
  <c r="AT264" i="2" s="1"/>
  <c r="AC264" i="2"/>
  <c r="AD264" i="2" s="1"/>
  <c r="Y264" i="2"/>
  <c r="Z264" i="2" s="1"/>
  <c r="U264" i="2"/>
  <c r="V264" i="2" s="1"/>
  <c r="Q264" i="2"/>
  <c r="R264" i="2" s="1"/>
  <c r="D264" i="2"/>
  <c r="BE263" i="2"/>
  <c r="BF263" i="2" s="1"/>
  <c r="BA263" i="2"/>
  <c r="BB263" i="2" s="1"/>
  <c r="AW263" i="2"/>
  <c r="AX263" i="2" s="1"/>
  <c r="AS263" i="2"/>
  <c r="AT263" i="2" s="1"/>
  <c r="AC263" i="2"/>
  <c r="AD263" i="2" s="1"/>
  <c r="Y263" i="2"/>
  <c r="Z263" i="2" s="1"/>
  <c r="U263" i="2"/>
  <c r="V263" i="2" s="1"/>
  <c r="Q263" i="2"/>
  <c r="R263" i="2" s="1"/>
  <c r="D263" i="2"/>
  <c r="BE262" i="2"/>
  <c r="BF262" i="2" s="1"/>
  <c r="BA262" i="2"/>
  <c r="BB262" i="2" s="1"/>
  <c r="AW262" i="2"/>
  <c r="AX262" i="2" s="1"/>
  <c r="AS262" i="2"/>
  <c r="AT262" i="2" s="1"/>
  <c r="AC262" i="2"/>
  <c r="AD262" i="2" s="1"/>
  <c r="Y262" i="2"/>
  <c r="Z262" i="2" s="1"/>
  <c r="U262" i="2"/>
  <c r="V262" i="2" s="1"/>
  <c r="Q262" i="2"/>
  <c r="R262" i="2" s="1"/>
  <c r="D262" i="2"/>
  <c r="BE261" i="2"/>
  <c r="BF261" i="2" s="1"/>
  <c r="BA261" i="2"/>
  <c r="BB261" i="2" s="1"/>
  <c r="AW261" i="2"/>
  <c r="AX261" i="2" s="1"/>
  <c r="AS261" i="2"/>
  <c r="AT261" i="2" s="1"/>
  <c r="AC261" i="2"/>
  <c r="AD261" i="2" s="1"/>
  <c r="Y261" i="2"/>
  <c r="Z261" i="2" s="1"/>
  <c r="U261" i="2"/>
  <c r="V261" i="2" s="1"/>
  <c r="Q261" i="2"/>
  <c r="R261" i="2" s="1"/>
  <c r="D261" i="2"/>
  <c r="BE260" i="2"/>
  <c r="BF260" i="2" s="1"/>
  <c r="BA260" i="2"/>
  <c r="BB260" i="2" s="1"/>
  <c r="AW260" i="2"/>
  <c r="AX260" i="2" s="1"/>
  <c r="AS260" i="2"/>
  <c r="AT260" i="2" s="1"/>
  <c r="AC260" i="2"/>
  <c r="AD260" i="2" s="1"/>
  <c r="Y260" i="2"/>
  <c r="Z260" i="2" s="1"/>
  <c r="U260" i="2"/>
  <c r="V260" i="2" s="1"/>
  <c r="Q260" i="2"/>
  <c r="R260" i="2" s="1"/>
  <c r="D260" i="2"/>
  <c r="BE259" i="2"/>
  <c r="BF259" i="2" s="1"/>
  <c r="BA259" i="2"/>
  <c r="BB259" i="2" s="1"/>
  <c r="AW259" i="2"/>
  <c r="AX259" i="2" s="1"/>
  <c r="AS259" i="2"/>
  <c r="AT259" i="2" s="1"/>
  <c r="AC259" i="2"/>
  <c r="AD259" i="2" s="1"/>
  <c r="Y259" i="2"/>
  <c r="Z259" i="2" s="1"/>
  <c r="U259" i="2"/>
  <c r="V259" i="2" s="1"/>
  <c r="Q259" i="2"/>
  <c r="R259" i="2" s="1"/>
  <c r="D259" i="2"/>
  <c r="BE258" i="2"/>
  <c r="BF258" i="2" s="1"/>
  <c r="BA258" i="2"/>
  <c r="BB258" i="2" s="1"/>
  <c r="AW258" i="2"/>
  <c r="AX258" i="2" s="1"/>
  <c r="AS258" i="2"/>
  <c r="AT258" i="2" s="1"/>
  <c r="AC258" i="2"/>
  <c r="AD258" i="2" s="1"/>
  <c r="Y258" i="2"/>
  <c r="Z258" i="2" s="1"/>
  <c r="U258" i="2"/>
  <c r="V258" i="2" s="1"/>
  <c r="Q258" i="2"/>
  <c r="R258" i="2" s="1"/>
  <c r="D258" i="2"/>
  <c r="BE257" i="2"/>
  <c r="BF257" i="2" s="1"/>
  <c r="BA257" i="2"/>
  <c r="BB257" i="2" s="1"/>
  <c r="AW257" i="2"/>
  <c r="AX257" i="2" s="1"/>
  <c r="AS257" i="2"/>
  <c r="AT257" i="2" s="1"/>
  <c r="AC257" i="2"/>
  <c r="AD257" i="2" s="1"/>
  <c r="Y257" i="2"/>
  <c r="Z257" i="2" s="1"/>
  <c r="U257" i="2"/>
  <c r="V257" i="2" s="1"/>
  <c r="Q257" i="2"/>
  <c r="R257" i="2" s="1"/>
  <c r="D257" i="2"/>
  <c r="BE256" i="2"/>
  <c r="BF256" i="2" s="1"/>
  <c r="BA256" i="2"/>
  <c r="BB256" i="2" s="1"/>
  <c r="AW256" i="2"/>
  <c r="AX256" i="2" s="1"/>
  <c r="AS256" i="2"/>
  <c r="AT256" i="2" s="1"/>
  <c r="AC256" i="2"/>
  <c r="AD256" i="2" s="1"/>
  <c r="Y256" i="2"/>
  <c r="Z256" i="2" s="1"/>
  <c r="U256" i="2"/>
  <c r="V256" i="2" s="1"/>
  <c r="Q256" i="2"/>
  <c r="R256" i="2" s="1"/>
  <c r="D256" i="2"/>
  <c r="BE255" i="2"/>
  <c r="BF255" i="2" s="1"/>
  <c r="BA255" i="2"/>
  <c r="BB255" i="2" s="1"/>
  <c r="AW255" i="2"/>
  <c r="AX255" i="2" s="1"/>
  <c r="AS255" i="2"/>
  <c r="AT255" i="2" s="1"/>
  <c r="AC255" i="2"/>
  <c r="AD255" i="2" s="1"/>
  <c r="Y255" i="2"/>
  <c r="Z255" i="2" s="1"/>
  <c r="U255" i="2"/>
  <c r="V255" i="2" s="1"/>
  <c r="Q255" i="2"/>
  <c r="R255" i="2" s="1"/>
  <c r="D255" i="2"/>
  <c r="BE254" i="2"/>
  <c r="BF254" i="2" s="1"/>
  <c r="BA254" i="2"/>
  <c r="BB254" i="2" s="1"/>
  <c r="AW254" i="2"/>
  <c r="AX254" i="2" s="1"/>
  <c r="AS254" i="2"/>
  <c r="AT254" i="2" s="1"/>
  <c r="AC254" i="2"/>
  <c r="AD254" i="2" s="1"/>
  <c r="Y254" i="2"/>
  <c r="Z254" i="2" s="1"/>
  <c r="U254" i="2"/>
  <c r="V254" i="2" s="1"/>
  <c r="Q254" i="2"/>
  <c r="R254" i="2" s="1"/>
  <c r="D254" i="2"/>
  <c r="BE253" i="2"/>
  <c r="BF253" i="2" s="1"/>
  <c r="BA253" i="2"/>
  <c r="BB253" i="2" s="1"/>
  <c r="AW253" i="2"/>
  <c r="AX253" i="2" s="1"/>
  <c r="AS253" i="2"/>
  <c r="AT253" i="2" s="1"/>
  <c r="AC253" i="2"/>
  <c r="AD253" i="2" s="1"/>
  <c r="Y253" i="2"/>
  <c r="Z253" i="2" s="1"/>
  <c r="U253" i="2"/>
  <c r="V253" i="2" s="1"/>
  <c r="Q253" i="2"/>
  <c r="R253" i="2" s="1"/>
  <c r="D253" i="2"/>
  <c r="BE252" i="2"/>
  <c r="BF252" i="2" s="1"/>
  <c r="BA252" i="2"/>
  <c r="BB252" i="2" s="1"/>
  <c r="AW252" i="2"/>
  <c r="AX252" i="2" s="1"/>
  <c r="AS252" i="2"/>
  <c r="AT252" i="2" s="1"/>
  <c r="AC252" i="2"/>
  <c r="AD252" i="2" s="1"/>
  <c r="Y252" i="2"/>
  <c r="Z252" i="2" s="1"/>
  <c r="U252" i="2"/>
  <c r="V252" i="2" s="1"/>
  <c r="Q252" i="2"/>
  <c r="R252" i="2" s="1"/>
  <c r="D252" i="2"/>
  <c r="BE251" i="2"/>
  <c r="BF251" i="2" s="1"/>
  <c r="BA251" i="2"/>
  <c r="BB251" i="2" s="1"/>
  <c r="AW251" i="2"/>
  <c r="AX251" i="2" s="1"/>
  <c r="AS251" i="2"/>
  <c r="AT251" i="2" s="1"/>
  <c r="AC251" i="2"/>
  <c r="AD251" i="2" s="1"/>
  <c r="Y251" i="2"/>
  <c r="Z251" i="2" s="1"/>
  <c r="U251" i="2"/>
  <c r="V251" i="2" s="1"/>
  <c r="Q251" i="2"/>
  <c r="R251" i="2" s="1"/>
  <c r="D251" i="2"/>
  <c r="BE250" i="2"/>
  <c r="BF250" i="2" s="1"/>
  <c r="BA250" i="2"/>
  <c r="BB250" i="2" s="1"/>
  <c r="AW250" i="2"/>
  <c r="AX250" i="2" s="1"/>
  <c r="AS250" i="2"/>
  <c r="AT250" i="2" s="1"/>
  <c r="AC250" i="2"/>
  <c r="AD250" i="2" s="1"/>
  <c r="Y250" i="2"/>
  <c r="Z250" i="2" s="1"/>
  <c r="U250" i="2"/>
  <c r="V250" i="2" s="1"/>
  <c r="Q250" i="2"/>
  <c r="R250" i="2" s="1"/>
  <c r="D250" i="2"/>
  <c r="BE249" i="2"/>
  <c r="BF249" i="2" s="1"/>
  <c r="BA249" i="2"/>
  <c r="BB249" i="2" s="1"/>
  <c r="AW249" i="2"/>
  <c r="AX249" i="2" s="1"/>
  <c r="AS249" i="2"/>
  <c r="AT249" i="2" s="1"/>
  <c r="AC249" i="2"/>
  <c r="AD249" i="2" s="1"/>
  <c r="Y249" i="2"/>
  <c r="Z249" i="2" s="1"/>
  <c r="U249" i="2"/>
  <c r="V249" i="2" s="1"/>
  <c r="Q249" i="2"/>
  <c r="R249" i="2" s="1"/>
  <c r="D249" i="2"/>
  <c r="BE248" i="2"/>
  <c r="BF248" i="2" s="1"/>
  <c r="BA248" i="2"/>
  <c r="BB248" i="2" s="1"/>
  <c r="AW248" i="2"/>
  <c r="AX248" i="2" s="1"/>
  <c r="AS248" i="2"/>
  <c r="AT248" i="2" s="1"/>
  <c r="AC248" i="2"/>
  <c r="AD248" i="2" s="1"/>
  <c r="Y248" i="2"/>
  <c r="Z248" i="2" s="1"/>
  <c r="U248" i="2"/>
  <c r="V248" i="2" s="1"/>
  <c r="Q248" i="2"/>
  <c r="R248" i="2" s="1"/>
  <c r="D248" i="2"/>
  <c r="BE247" i="2"/>
  <c r="BF247" i="2" s="1"/>
  <c r="BA247" i="2"/>
  <c r="BB247" i="2" s="1"/>
  <c r="AW247" i="2"/>
  <c r="AX247" i="2" s="1"/>
  <c r="AS247" i="2"/>
  <c r="AT247" i="2" s="1"/>
  <c r="AC247" i="2"/>
  <c r="AD247" i="2" s="1"/>
  <c r="Y247" i="2"/>
  <c r="Z247" i="2" s="1"/>
  <c r="U247" i="2"/>
  <c r="V247" i="2" s="1"/>
  <c r="Q247" i="2"/>
  <c r="R247" i="2" s="1"/>
  <c r="D247" i="2"/>
  <c r="BE246" i="2"/>
  <c r="BF246" i="2" s="1"/>
  <c r="BA246" i="2"/>
  <c r="BB246" i="2" s="1"/>
  <c r="AW246" i="2"/>
  <c r="AX246" i="2" s="1"/>
  <c r="AS246" i="2"/>
  <c r="AT246" i="2" s="1"/>
  <c r="AC246" i="2"/>
  <c r="AD246" i="2" s="1"/>
  <c r="Y246" i="2"/>
  <c r="Z246" i="2" s="1"/>
  <c r="U246" i="2"/>
  <c r="V246" i="2" s="1"/>
  <c r="Q246" i="2"/>
  <c r="R246" i="2" s="1"/>
  <c r="J246" i="2"/>
  <c r="D246" i="2"/>
  <c r="BE245" i="2"/>
  <c r="BF245" i="2" s="1"/>
  <c r="BA245" i="2"/>
  <c r="BB245" i="2" s="1"/>
  <c r="AW245" i="2"/>
  <c r="AX245" i="2" s="1"/>
  <c r="AS245" i="2"/>
  <c r="AT245" i="2" s="1"/>
  <c r="AC245" i="2"/>
  <c r="AD245" i="2" s="1"/>
  <c r="Y245" i="2"/>
  <c r="Z245" i="2" s="1"/>
  <c r="U245" i="2"/>
  <c r="V245" i="2" s="1"/>
  <c r="Q245" i="2"/>
  <c r="R245" i="2" s="1"/>
  <c r="D245" i="2"/>
  <c r="BE244" i="2"/>
  <c r="BF244" i="2" s="1"/>
  <c r="BA244" i="2"/>
  <c r="BB244" i="2" s="1"/>
  <c r="AW244" i="2"/>
  <c r="AX244" i="2" s="1"/>
  <c r="AS244" i="2"/>
  <c r="AT244" i="2" s="1"/>
  <c r="AC244" i="2"/>
  <c r="AD244" i="2" s="1"/>
  <c r="Y244" i="2"/>
  <c r="Z244" i="2" s="1"/>
  <c r="U244" i="2"/>
  <c r="V244" i="2" s="1"/>
  <c r="Q244" i="2"/>
  <c r="R244" i="2" s="1"/>
  <c r="D244" i="2"/>
  <c r="BE243" i="2"/>
  <c r="BF243" i="2" s="1"/>
  <c r="BA243" i="2"/>
  <c r="BB243" i="2" s="1"/>
  <c r="AW243" i="2"/>
  <c r="AX243" i="2" s="1"/>
  <c r="AS243" i="2"/>
  <c r="AT243" i="2" s="1"/>
  <c r="AC243" i="2"/>
  <c r="AD243" i="2" s="1"/>
  <c r="Y243" i="2"/>
  <c r="Z243" i="2" s="1"/>
  <c r="U243" i="2"/>
  <c r="V243" i="2" s="1"/>
  <c r="Q243" i="2"/>
  <c r="R243" i="2" s="1"/>
  <c r="D243" i="2"/>
  <c r="BE242" i="2"/>
  <c r="BF242" i="2" s="1"/>
  <c r="BA242" i="2"/>
  <c r="BB242" i="2" s="1"/>
  <c r="AW242" i="2"/>
  <c r="AX242" i="2" s="1"/>
  <c r="AS242" i="2"/>
  <c r="AT242" i="2" s="1"/>
  <c r="AC242" i="2"/>
  <c r="AD242" i="2" s="1"/>
  <c r="Y242" i="2"/>
  <c r="Z242" i="2" s="1"/>
  <c r="U242" i="2"/>
  <c r="V242" i="2" s="1"/>
  <c r="Q242" i="2"/>
  <c r="R242" i="2" s="1"/>
  <c r="D242" i="2"/>
  <c r="BE241" i="2"/>
  <c r="BF241" i="2" s="1"/>
  <c r="BA241" i="2"/>
  <c r="BB241" i="2" s="1"/>
  <c r="AW241" i="2"/>
  <c r="AX241" i="2" s="1"/>
  <c r="AS241" i="2"/>
  <c r="AT241" i="2" s="1"/>
  <c r="AC241" i="2"/>
  <c r="AD241" i="2" s="1"/>
  <c r="Y241" i="2"/>
  <c r="Z241" i="2" s="1"/>
  <c r="U241" i="2"/>
  <c r="V241" i="2" s="1"/>
  <c r="Q241" i="2"/>
  <c r="R241" i="2" s="1"/>
  <c r="D241" i="2"/>
  <c r="BE240" i="2"/>
  <c r="BF240" i="2" s="1"/>
  <c r="BA240" i="2"/>
  <c r="BB240" i="2" s="1"/>
  <c r="AW240" i="2"/>
  <c r="AX240" i="2" s="1"/>
  <c r="AS240" i="2"/>
  <c r="AT240" i="2" s="1"/>
  <c r="AC240" i="2"/>
  <c r="AD240" i="2" s="1"/>
  <c r="Y240" i="2"/>
  <c r="Z240" i="2" s="1"/>
  <c r="U240" i="2"/>
  <c r="V240" i="2" s="1"/>
  <c r="Q240" i="2"/>
  <c r="R240" i="2" s="1"/>
  <c r="D240" i="2"/>
  <c r="BE239" i="2"/>
  <c r="BF239" i="2" s="1"/>
  <c r="BA239" i="2"/>
  <c r="BB239" i="2" s="1"/>
  <c r="AW239" i="2"/>
  <c r="AX239" i="2" s="1"/>
  <c r="AS239" i="2"/>
  <c r="AT239" i="2" s="1"/>
  <c r="AC239" i="2"/>
  <c r="AD239" i="2" s="1"/>
  <c r="Y239" i="2"/>
  <c r="Z239" i="2" s="1"/>
  <c r="U239" i="2"/>
  <c r="V239" i="2" s="1"/>
  <c r="Q239" i="2"/>
  <c r="R239" i="2" s="1"/>
  <c r="D239" i="2"/>
  <c r="BE238" i="2"/>
  <c r="BF238" i="2" s="1"/>
  <c r="BA238" i="2"/>
  <c r="BB238" i="2" s="1"/>
  <c r="AW238" i="2"/>
  <c r="AX238" i="2" s="1"/>
  <c r="AS238" i="2"/>
  <c r="AT238" i="2" s="1"/>
  <c r="AC238" i="2"/>
  <c r="AD238" i="2" s="1"/>
  <c r="Y238" i="2"/>
  <c r="Z238" i="2" s="1"/>
  <c r="U238" i="2"/>
  <c r="V238" i="2" s="1"/>
  <c r="Q238" i="2"/>
  <c r="R238" i="2" s="1"/>
  <c r="D238" i="2"/>
  <c r="BE237" i="2"/>
  <c r="BF237" i="2" s="1"/>
  <c r="BA237" i="2"/>
  <c r="BB237" i="2" s="1"/>
  <c r="AW237" i="2"/>
  <c r="AX237" i="2" s="1"/>
  <c r="AS237" i="2"/>
  <c r="AT237" i="2" s="1"/>
  <c r="AC237" i="2"/>
  <c r="AD237" i="2" s="1"/>
  <c r="Y237" i="2"/>
  <c r="Z237" i="2" s="1"/>
  <c r="U237" i="2"/>
  <c r="V237" i="2" s="1"/>
  <c r="Q237" i="2"/>
  <c r="R237" i="2" s="1"/>
  <c r="D237" i="2"/>
  <c r="BE236" i="2"/>
  <c r="BF236" i="2" s="1"/>
  <c r="BA236" i="2"/>
  <c r="BB236" i="2" s="1"/>
  <c r="AW236" i="2"/>
  <c r="AX236" i="2" s="1"/>
  <c r="AS236" i="2"/>
  <c r="AT236" i="2" s="1"/>
  <c r="AC236" i="2"/>
  <c r="AD236" i="2" s="1"/>
  <c r="Y236" i="2"/>
  <c r="Z236" i="2" s="1"/>
  <c r="U236" i="2"/>
  <c r="V236" i="2" s="1"/>
  <c r="Q236" i="2"/>
  <c r="R236" i="2" s="1"/>
  <c r="D236" i="2"/>
  <c r="BE235" i="2"/>
  <c r="BF235" i="2" s="1"/>
  <c r="BA235" i="2"/>
  <c r="BB235" i="2" s="1"/>
  <c r="AW235" i="2"/>
  <c r="AX235" i="2" s="1"/>
  <c r="AS235" i="2"/>
  <c r="AT235" i="2" s="1"/>
  <c r="AC235" i="2"/>
  <c r="AD235" i="2" s="1"/>
  <c r="Y235" i="2"/>
  <c r="Z235" i="2" s="1"/>
  <c r="U235" i="2"/>
  <c r="V235" i="2" s="1"/>
  <c r="Q235" i="2"/>
  <c r="R235" i="2" s="1"/>
  <c r="D235" i="2"/>
  <c r="BE234" i="2"/>
  <c r="BF234" i="2" s="1"/>
  <c r="BA234" i="2"/>
  <c r="BB234" i="2" s="1"/>
  <c r="AW234" i="2"/>
  <c r="AX234" i="2" s="1"/>
  <c r="AS234" i="2"/>
  <c r="AT234" i="2" s="1"/>
  <c r="AC234" i="2"/>
  <c r="AD234" i="2" s="1"/>
  <c r="Y234" i="2"/>
  <c r="Z234" i="2" s="1"/>
  <c r="U234" i="2"/>
  <c r="V234" i="2" s="1"/>
  <c r="Q234" i="2"/>
  <c r="R234" i="2" s="1"/>
  <c r="D234" i="2"/>
  <c r="BE233" i="2"/>
  <c r="BF233" i="2" s="1"/>
  <c r="BA233" i="2"/>
  <c r="BB233" i="2" s="1"/>
  <c r="AW233" i="2"/>
  <c r="AX233" i="2" s="1"/>
  <c r="AS233" i="2"/>
  <c r="AT233" i="2" s="1"/>
  <c r="AC233" i="2"/>
  <c r="AD233" i="2" s="1"/>
  <c r="Y233" i="2"/>
  <c r="Z233" i="2" s="1"/>
  <c r="U233" i="2"/>
  <c r="V233" i="2" s="1"/>
  <c r="Q233" i="2"/>
  <c r="R233" i="2" s="1"/>
  <c r="D233" i="2"/>
  <c r="BE232" i="2"/>
  <c r="BF232" i="2" s="1"/>
  <c r="BA232" i="2"/>
  <c r="BB232" i="2" s="1"/>
  <c r="AW232" i="2"/>
  <c r="AX232" i="2" s="1"/>
  <c r="AS232" i="2"/>
  <c r="AT232" i="2" s="1"/>
  <c r="AC232" i="2"/>
  <c r="AD232" i="2" s="1"/>
  <c r="Y232" i="2"/>
  <c r="Z232" i="2" s="1"/>
  <c r="U232" i="2"/>
  <c r="V232" i="2" s="1"/>
  <c r="Q232" i="2"/>
  <c r="R232" i="2" s="1"/>
  <c r="J232" i="2"/>
  <c r="D232" i="2"/>
  <c r="BE231" i="2"/>
  <c r="BF231" i="2" s="1"/>
  <c r="BA231" i="2"/>
  <c r="BB231" i="2" s="1"/>
  <c r="AW231" i="2"/>
  <c r="AX231" i="2" s="1"/>
  <c r="AS231" i="2"/>
  <c r="AT231" i="2" s="1"/>
  <c r="AC231" i="2"/>
  <c r="AD231" i="2" s="1"/>
  <c r="Y231" i="2"/>
  <c r="Z231" i="2" s="1"/>
  <c r="U231" i="2"/>
  <c r="V231" i="2" s="1"/>
  <c r="Q231" i="2"/>
  <c r="R231" i="2" s="1"/>
  <c r="D231" i="2"/>
  <c r="BE230" i="2"/>
  <c r="BF230" i="2" s="1"/>
  <c r="BA230" i="2"/>
  <c r="BB230" i="2" s="1"/>
  <c r="AW230" i="2"/>
  <c r="AX230" i="2" s="1"/>
  <c r="AS230" i="2"/>
  <c r="AT230" i="2" s="1"/>
  <c r="AC230" i="2"/>
  <c r="AD230" i="2" s="1"/>
  <c r="Y230" i="2"/>
  <c r="Z230" i="2" s="1"/>
  <c r="U230" i="2"/>
  <c r="V230" i="2" s="1"/>
  <c r="Q230" i="2"/>
  <c r="R230" i="2" s="1"/>
  <c r="D230" i="2"/>
  <c r="BE229" i="2"/>
  <c r="BF229" i="2" s="1"/>
  <c r="BA229" i="2"/>
  <c r="BB229" i="2" s="1"/>
  <c r="AW229" i="2"/>
  <c r="AX229" i="2" s="1"/>
  <c r="AS229" i="2"/>
  <c r="AT229" i="2" s="1"/>
  <c r="AC229" i="2"/>
  <c r="AD229" i="2" s="1"/>
  <c r="Y229" i="2"/>
  <c r="Z229" i="2" s="1"/>
  <c r="U229" i="2"/>
  <c r="V229" i="2" s="1"/>
  <c r="Q229" i="2"/>
  <c r="R229" i="2" s="1"/>
  <c r="D229" i="2"/>
  <c r="BE228" i="2"/>
  <c r="BF228" i="2" s="1"/>
  <c r="BA228" i="2"/>
  <c r="BB228" i="2" s="1"/>
  <c r="AW228" i="2"/>
  <c r="AX228" i="2" s="1"/>
  <c r="AS228" i="2"/>
  <c r="AT228" i="2" s="1"/>
  <c r="AC228" i="2"/>
  <c r="AD228" i="2" s="1"/>
  <c r="Y228" i="2"/>
  <c r="Z228" i="2" s="1"/>
  <c r="U228" i="2"/>
  <c r="V228" i="2" s="1"/>
  <c r="Q228" i="2"/>
  <c r="R228" i="2" s="1"/>
  <c r="J228" i="2"/>
  <c r="D228" i="2"/>
  <c r="BE227" i="2"/>
  <c r="BF227" i="2" s="1"/>
  <c r="BA227" i="2"/>
  <c r="BB227" i="2" s="1"/>
  <c r="AW227" i="2"/>
  <c r="AX227" i="2" s="1"/>
  <c r="AS227" i="2"/>
  <c r="AT227" i="2" s="1"/>
  <c r="AC227" i="2"/>
  <c r="AD227" i="2" s="1"/>
  <c r="Y227" i="2"/>
  <c r="Z227" i="2" s="1"/>
  <c r="U227" i="2"/>
  <c r="V227" i="2" s="1"/>
  <c r="Q227" i="2"/>
  <c r="R227" i="2" s="1"/>
  <c r="D227" i="2"/>
  <c r="BE226" i="2"/>
  <c r="BF226" i="2" s="1"/>
  <c r="BA226" i="2"/>
  <c r="BB226" i="2" s="1"/>
  <c r="AW226" i="2"/>
  <c r="AX226" i="2" s="1"/>
  <c r="AS226" i="2"/>
  <c r="AT226" i="2" s="1"/>
  <c r="AC226" i="2"/>
  <c r="AD226" i="2" s="1"/>
  <c r="Y226" i="2"/>
  <c r="Z226" i="2" s="1"/>
  <c r="U226" i="2"/>
  <c r="V226" i="2" s="1"/>
  <c r="Q226" i="2"/>
  <c r="R226" i="2" s="1"/>
  <c r="D226" i="2"/>
  <c r="BE225" i="2"/>
  <c r="BF225" i="2" s="1"/>
  <c r="BA225" i="2"/>
  <c r="BB225" i="2" s="1"/>
  <c r="AW225" i="2"/>
  <c r="AX225" i="2" s="1"/>
  <c r="AS225" i="2"/>
  <c r="AT225" i="2" s="1"/>
  <c r="AC225" i="2"/>
  <c r="AD225" i="2" s="1"/>
  <c r="Y225" i="2"/>
  <c r="Z225" i="2" s="1"/>
  <c r="U225" i="2"/>
  <c r="V225" i="2" s="1"/>
  <c r="Q225" i="2"/>
  <c r="R225" i="2" s="1"/>
  <c r="D225" i="2"/>
  <c r="BE224" i="2"/>
  <c r="BF224" i="2" s="1"/>
  <c r="BA224" i="2"/>
  <c r="BB224" i="2" s="1"/>
  <c r="AW224" i="2"/>
  <c r="AX224" i="2" s="1"/>
  <c r="AS224" i="2"/>
  <c r="AT224" i="2" s="1"/>
  <c r="AC224" i="2"/>
  <c r="AD224" i="2" s="1"/>
  <c r="Y224" i="2"/>
  <c r="Z224" i="2" s="1"/>
  <c r="U224" i="2"/>
  <c r="V224" i="2" s="1"/>
  <c r="Q224" i="2"/>
  <c r="R224" i="2" s="1"/>
  <c r="J224" i="2"/>
  <c r="D224" i="2"/>
  <c r="BE223" i="2"/>
  <c r="BF223" i="2" s="1"/>
  <c r="BA223" i="2"/>
  <c r="BB223" i="2" s="1"/>
  <c r="AW223" i="2"/>
  <c r="AX223" i="2" s="1"/>
  <c r="AS223" i="2"/>
  <c r="AT223" i="2" s="1"/>
  <c r="AC223" i="2"/>
  <c r="AD223" i="2" s="1"/>
  <c r="Y223" i="2"/>
  <c r="Z223" i="2" s="1"/>
  <c r="U223" i="2"/>
  <c r="V223" i="2" s="1"/>
  <c r="Q223" i="2"/>
  <c r="R223" i="2" s="1"/>
  <c r="D223" i="2"/>
  <c r="BE222" i="2"/>
  <c r="BF222" i="2" s="1"/>
  <c r="BA222" i="2"/>
  <c r="BB222" i="2" s="1"/>
  <c r="AW222" i="2"/>
  <c r="AX222" i="2" s="1"/>
  <c r="AS222" i="2"/>
  <c r="AT222" i="2" s="1"/>
  <c r="AC222" i="2"/>
  <c r="AD222" i="2" s="1"/>
  <c r="Y222" i="2"/>
  <c r="Z222" i="2" s="1"/>
  <c r="U222" i="2"/>
  <c r="V222" i="2" s="1"/>
  <c r="Q222" i="2"/>
  <c r="R222" i="2" s="1"/>
  <c r="J222" i="2"/>
  <c r="D222" i="2"/>
  <c r="BE221" i="2"/>
  <c r="BF221" i="2" s="1"/>
  <c r="BA221" i="2"/>
  <c r="BB221" i="2" s="1"/>
  <c r="AW221" i="2"/>
  <c r="AX221" i="2" s="1"/>
  <c r="AS221" i="2"/>
  <c r="AT221" i="2" s="1"/>
  <c r="AC221" i="2"/>
  <c r="AD221" i="2" s="1"/>
  <c r="Y221" i="2"/>
  <c r="Z221" i="2" s="1"/>
  <c r="U221" i="2"/>
  <c r="V221" i="2" s="1"/>
  <c r="Q221" i="2"/>
  <c r="R221" i="2" s="1"/>
  <c r="J221" i="2"/>
  <c r="D221" i="2"/>
  <c r="BE220" i="2"/>
  <c r="BF220" i="2" s="1"/>
  <c r="BA220" i="2"/>
  <c r="BB220" i="2" s="1"/>
  <c r="AW220" i="2"/>
  <c r="AX220" i="2" s="1"/>
  <c r="AS220" i="2"/>
  <c r="AT220" i="2" s="1"/>
  <c r="AC220" i="2"/>
  <c r="AD220" i="2" s="1"/>
  <c r="Y220" i="2"/>
  <c r="Z220" i="2" s="1"/>
  <c r="U220" i="2"/>
  <c r="V220" i="2" s="1"/>
  <c r="Q220" i="2"/>
  <c r="R220" i="2" s="1"/>
  <c r="D220" i="2"/>
  <c r="BE219" i="2"/>
  <c r="BF219" i="2" s="1"/>
  <c r="BA219" i="2"/>
  <c r="BB219" i="2" s="1"/>
  <c r="AW219" i="2"/>
  <c r="AX219" i="2" s="1"/>
  <c r="AS219" i="2"/>
  <c r="AT219" i="2" s="1"/>
  <c r="AC219" i="2"/>
  <c r="AD219" i="2" s="1"/>
  <c r="Y219" i="2"/>
  <c r="Z219" i="2" s="1"/>
  <c r="U219" i="2"/>
  <c r="V219" i="2" s="1"/>
  <c r="Q219" i="2"/>
  <c r="R219" i="2" s="1"/>
  <c r="D219" i="2"/>
  <c r="BE218" i="2"/>
  <c r="BF218" i="2" s="1"/>
  <c r="BA218" i="2"/>
  <c r="BB218" i="2" s="1"/>
  <c r="AW218" i="2"/>
  <c r="AX218" i="2" s="1"/>
  <c r="AS218" i="2"/>
  <c r="AT218" i="2" s="1"/>
  <c r="AC218" i="2"/>
  <c r="AD218" i="2" s="1"/>
  <c r="Y218" i="2"/>
  <c r="Z218" i="2" s="1"/>
  <c r="U218" i="2"/>
  <c r="V218" i="2" s="1"/>
  <c r="Q218" i="2"/>
  <c r="R218" i="2" s="1"/>
  <c r="D218" i="2"/>
  <c r="BE217" i="2"/>
  <c r="BF217" i="2" s="1"/>
  <c r="BA217" i="2"/>
  <c r="BB217" i="2" s="1"/>
  <c r="AW217" i="2"/>
  <c r="AX217" i="2" s="1"/>
  <c r="AS217" i="2"/>
  <c r="AT217" i="2" s="1"/>
  <c r="AC217" i="2"/>
  <c r="AD217" i="2" s="1"/>
  <c r="Y217" i="2"/>
  <c r="Z217" i="2" s="1"/>
  <c r="U217" i="2"/>
  <c r="V217" i="2" s="1"/>
  <c r="Q217" i="2"/>
  <c r="R217" i="2" s="1"/>
  <c r="D217" i="2"/>
  <c r="BE216" i="2"/>
  <c r="BF216" i="2" s="1"/>
  <c r="BA216" i="2"/>
  <c r="BB216" i="2" s="1"/>
  <c r="AW216" i="2"/>
  <c r="AX216" i="2" s="1"/>
  <c r="AS216" i="2"/>
  <c r="AT216" i="2" s="1"/>
  <c r="AC216" i="2"/>
  <c r="AD216" i="2" s="1"/>
  <c r="Y216" i="2"/>
  <c r="Z216" i="2" s="1"/>
  <c r="U216" i="2"/>
  <c r="V216" i="2" s="1"/>
  <c r="Q216" i="2"/>
  <c r="R216" i="2" s="1"/>
  <c r="J216" i="2"/>
  <c r="D216" i="2"/>
  <c r="BE215" i="2"/>
  <c r="BF215" i="2" s="1"/>
  <c r="BA215" i="2"/>
  <c r="BB215" i="2" s="1"/>
  <c r="AW215" i="2"/>
  <c r="AX215" i="2" s="1"/>
  <c r="AS215" i="2"/>
  <c r="AT215" i="2" s="1"/>
  <c r="AC215" i="2"/>
  <c r="AD215" i="2" s="1"/>
  <c r="Y215" i="2"/>
  <c r="Z215" i="2" s="1"/>
  <c r="U215" i="2"/>
  <c r="V215" i="2" s="1"/>
  <c r="Q215" i="2"/>
  <c r="R215" i="2" s="1"/>
  <c r="D215" i="2"/>
  <c r="BE214" i="2"/>
  <c r="BF214" i="2" s="1"/>
  <c r="BA214" i="2"/>
  <c r="BB214" i="2" s="1"/>
  <c r="AW214" i="2"/>
  <c r="AX214" i="2" s="1"/>
  <c r="AS214" i="2"/>
  <c r="AT214" i="2" s="1"/>
  <c r="AC214" i="2"/>
  <c r="AD214" i="2" s="1"/>
  <c r="Y214" i="2"/>
  <c r="Z214" i="2" s="1"/>
  <c r="U214" i="2"/>
  <c r="V214" i="2" s="1"/>
  <c r="Q214" i="2"/>
  <c r="R214" i="2" s="1"/>
  <c r="D214" i="2"/>
  <c r="BE213" i="2"/>
  <c r="BF213" i="2" s="1"/>
  <c r="BA213" i="2"/>
  <c r="BB213" i="2" s="1"/>
  <c r="AW213" i="2"/>
  <c r="AX213" i="2" s="1"/>
  <c r="AS213" i="2"/>
  <c r="AT213" i="2" s="1"/>
  <c r="AC213" i="2"/>
  <c r="AD213" i="2" s="1"/>
  <c r="Y213" i="2"/>
  <c r="Z213" i="2" s="1"/>
  <c r="U213" i="2"/>
  <c r="V213" i="2" s="1"/>
  <c r="Q213" i="2"/>
  <c r="R213" i="2" s="1"/>
  <c r="D213" i="2"/>
  <c r="BE212" i="2"/>
  <c r="BF212" i="2" s="1"/>
  <c r="BA212" i="2"/>
  <c r="BB212" i="2" s="1"/>
  <c r="AW212" i="2"/>
  <c r="AX212" i="2" s="1"/>
  <c r="AS212" i="2"/>
  <c r="AT212" i="2" s="1"/>
  <c r="AC212" i="2"/>
  <c r="AD212" i="2" s="1"/>
  <c r="Y212" i="2"/>
  <c r="Z212" i="2" s="1"/>
  <c r="U212" i="2"/>
  <c r="V212" i="2" s="1"/>
  <c r="Q212" i="2"/>
  <c r="R212" i="2" s="1"/>
  <c r="D212" i="2"/>
  <c r="BE211" i="2"/>
  <c r="BF211" i="2" s="1"/>
  <c r="BA211" i="2"/>
  <c r="BB211" i="2" s="1"/>
  <c r="AW211" i="2"/>
  <c r="AX211" i="2" s="1"/>
  <c r="AS211" i="2"/>
  <c r="AT211" i="2" s="1"/>
  <c r="AC211" i="2"/>
  <c r="AD211" i="2" s="1"/>
  <c r="Y211" i="2"/>
  <c r="Z211" i="2" s="1"/>
  <c r="U211" i="2"/>
  <c r="V211" i="2" s="1"/>
  <c r="Q211" i="2"/>
  <c r="R211" i="2" s="1"/>
  <c r="D211" i="2"/>
  <c r="BE210" i="2"/>
  <c r="BF210" i="2" s="1"/>
  <c r="BA210" i="2"/>
  <c r="BB210" i="2" s="1"/>
  <c r="AW210" i="2"/>
  <c r="AX210" i="2" s="1"/>
  <c r="AS210" i="2"/>
  <c r="AT210" i="2" s="1"/>
  <c r="AC210" i="2"/>
  <c r="AD210" i="2" s="1"/>
  <c r="Y210" i="2"/>
  <c r="Z210" i="2" s="1"/>
  <c r="U210" i="2"/>
  <c r="V210" i="2" s="1"/>
  <c r="Q210" i="2"/>
  <c r="R210" i="2" s="1"/>
  <c r="J210" i="2"/>
  <c r="D210" i="2"/>
  <c r="BE209" i="2"/>
  <c r="BF209" i="2" s="1"/>
  <c r="BA209" i="2"/>
  <c r="BB209" i="2" s="1"/>
  <c r="AW209" i="2"/>
  <c r="AX209" i="2" s="1"/>
  <c r="AS209" i="2"/>
  <c r="AT209" i="2" s="1"/>
  <c r="AC209" i="2"/>
  <c r="AD209" i="2" s="1"/>
  <c r="Y209" i="2"/>
  <c r="Z209" i="2" s="1"/>
  <c r="U209" i="2"/>
  <c r="V209" i="2" s="1"/>
  <c r="Q209" i="2"/>
  <c r="R209" i="2" s="1"/>
  <c r="D209" i="2"/>
  <c r="BE208" i="2"/>
  <c r="BF208" i="2" s="1"/>
  <c r="BA208" i="2"/>
  <c r="BB208" i="2" s="1"/>
  <c r="AW208" i="2"/>
  <c r="AX208" i="2" s="1"/>
  <c r="AS208" i="2"/>
  <c r="AT208" i="2" s="1"/>
  <c r="AC208" i="2"/>
  <c r="AD208" i="2" s="1"/>
  <c r="Y208" i="2"/>
  <c r="Z208" i="2" s="1"/>
  <c r="U208" i="2"/>
  <c r="V208" i="2" s="1"/>
  <c r="Q208" i="2"/>
  <c r="R208" i="2" s="1"/>
  <c r="D208" i="2"/>
  <c r="BE207" i="2"/>
  <c r="BF207" i="2" s="1"/>
  <c r="BA207" i="2"/>
  <c r="BB207" i="2" s="1"/>
  <c r="AW207" i="2"/>
  <c r="AX207" i="2" s="1"/>
  <c r="AS207" i="2"/>
  <c r="AT207" i="2" s="1"/>
  <c r="AC207" i="2"/>
  <c r="AD207" i="2" s="1"/>
  <c r="Y207" i="2"/>
  <c r="Z207" i="2" s="1"/>
  <c r="U207" i="2"/>
  <c r="V207" i="2" s="1"/>
  <c r="Q207" i="2"/>
  <c r="R207" i="2" s="1"/>
  <c r="J207" i="2"/>
  <c r="D207" i="2"/>
  <c r="BE206" i="2"/>
  <c r="BF206" i="2" s="1"/>
  <c r="BA206" i="2"/>
  <c r="BB206" i="2" s="1"/>
  <c r="AW206" i="2"/>
  <c r="AX206" i="2" s="1"/>
  <c r="AS206" i="2"/>
  <c r="AT206" i="2" s="1"/>
  <c r="AC206" i="2"/>
  <c r="AD206" i="2" s="1"/>
  <c r="Y206" i="2"/>
  <c r="Z206" i="2" s="1"/>
  <c r="U206" i="2"/>
  <c r="V206" i="2" s="1"/>
  <c r="Q206" i="2"/>
  <c r="R206" i="2" s="1"/>
  <c r="D206" i="2"/>
  <c r="BE205" i="2"/>
  <c r="BF205" i="2" s="1"/>
  <c r="BA205" i="2"/>
  <c r="BB205" i="2" s="1"/>
  <c r="AW205" i="2"/>
  <c r="AX205" i="2" s="1"/>
  <c r="AS205" i="2"/>
  <c r="AT205" i="2" s="1"/>
  <c r="AC205" i="2"/>
  <c r="AD205" i="2" s="1"/>
  <c r="Y205" i="2"/>
  <c r="Z205" i="2" s="1"/>
  <c r="U205" i="2"/>
  <c r="V205" i="2" s="1"/>
  <c r="Q205" i="2"/>
  <c r="R205" i="2" s="1"/>
  <c r="D205" i="2"/>
  <c r="BE204" i="2"/>
  <c r="BF204" i="2" s="1"/>
  <c r="BA204" i="2"/>
  <c r="BB204" i="2" s="1"/>
  <c r="AW204" i="2"/>
  <c r="AX204" i="2" s="1"/>
  <c r="AS204" i="2"/>
  <c r="AT204" i="2" s="1"/>
  <c r="AC204" i="2"/>
  <c r="AD204" i="2" s="1"/>
  <c r="Y204" i="2"/>
  <c r="Z204" i="2" s="1"/>
  <c r="U204" i="2"/>
  <c r="V204" i="2" s="1"/>
  <c r="Q204" i="2"/>
  <c r="R204" i="2" s="1"/>
  <c r="D204" i="2"/>
  <c r="BE203" i="2"/>
  <c r="BF203" i="2" s="1"/>
  <c r="BA203" i="2"/>
  <c r="BB203" i="2" s="1"/>
  <c r="AW203" i="2"/>
  <c r="AX203" i="2" s="1"/>
  <c r="AS203" i="2"/>
  <c r="AT203" i="2" s="1"/>
  <c r="AC203" i="2"/>
  <c r="AD203" i="2" s="1"/>
  <c r="Y203" i="2"/>
  <c r="Z203" i="2" s="1"/>
  <c r="U203" i="2"/>
  <c r="V203" i="2" s="1"/>
  <c r="Q203" i="2"/>
  <c r="R203" i="2" s="1"/>
  <c r="D203" i="2"/>
  <c r="BE202" i="2"/>
  <c r="BF202" i="2" s="1"/>
  <c r="BA202" i="2"/>
  <c r="BB202" i="2" s="1"/>
  <c r="AW202" i="2"/>
  <c r="AX202" i="2" s="1"/>
  <c r="AS202" i="2"/>
  <c r="AT202" i="2" s="1"/>
  <c r="AC202" i="2"/>
  <c r="AD202" i="2" s="1"/>
  <c r="Y202" i="2"/>
  <c r="Z202" i="2" s="1"/>
  <c r="U202" i="2"/>
  <c r="V202" i="2" s="1"/>
  <c r="Q202" i="2"/>
  <c r="R202" i="2" s="1"/>
  <c r="D202" i="2"/>
  <c r="BE201" i="2"/>
  <c r="BF201" i="2" s="1"/>
  <c r="BA201" i="2"/>
  <c r="BB201" i="2" s="1"/>
  <c r="AW201" i="2"/>
  <c r="AX201" i="2" s="1"/>
  <c r="AS201" i="2"/>
  <c r="AT201" i="2" s="1"/>
  <c r="AC201" i="2"/>
  <c r="AD201" i="2" s="1"/>
  <c r="Y201" i="2"/>
  <c r="Z201" i="2" s="1"/>
  <c r="U201" i="2"/>
  <c r="V201" i="2" s="1"/>
  <c r="Q201" i="2"/>
  <c r="R201" i="2" s="1"/>
  <c r="D201" i="2"/>
  <c r="BE200" i="2"/>
  <c r="BF200" i="2" s="1"/>
  <c r="BA200" i="2"/>
  <c r="BB200" i="2" s="1"/>
  <c r="AW200" i="2"/>
  <c r="AX200" i="2" s="1"/>
  <c r="AS200" i="2"/>
  <c r="AT200" i="2" s="1"/>
  <c r="AC200" i="2"/>
  <c r="AD200" i="2" s="1"/>
  <c r="Y200" i="2"/>
  <c r="Z200" i="2" s="1"/>
  <c r="U200" i="2"/>
  <c r="V200" i="2" s="1"/>
  <c r="Q200" i="2"/>
  <c r="R200" i="2" s="1"/>
  <c r="D200" i="2"/>
  <c r="BE199" i="2"/>
  <c r="BF199" i="2" s="1"/>
  <c r="BA199" i="2"/>
  <c r="BB199" i="2" s="1"/>
  <c r="AW199" i="2"/>
  <c r="AX199" i="2" s="1"/>
  <c r="AS199" i="2"/>
  <c r="AT199" i="2" s="1"/>
  <c r="AC199" i="2"/>
  <c r="AD199" i="2" s="1"/>
  <c r="Y199" i="2"/>
  <c r="Z199" i="2" s="1"/>
  <c r="U199" i="2"/>
  <c r="V199" i="2" s="1"/>
  <c r="Q199" i="2"/>
  <c r="R199" i="2" s="1"/>
  <c r="D199" i="2"/>
  <c r="BE198" i="2"/>
  <c r="BF198" i="2" s="1"/>
  <c r="BA198" i="2"/>
  <c r="BB198" i="2" s="1"/>
  <c r="AW198" i="2"/>
  <c r="AX198" i="2" s="1"/>
  <c r="AS198" i="2"/>
  <c r="AT198" i="2" s="1"/>
  <c r="AC198" i="2"/>
  <c r="AD198" i="2" s="1"/>
  <c r="Y198" i="2"/>
  <c r="Z198" i="2" s="1"/>
  <c r="U198" i="2"/>
  <c r="V198" i="2" s="1"/>
  <c r="Q198" i="2"/>
  <c r="R198" i="2" s="1"/>
  <c r="D198" i="2"/>
  <c r="BE197" i="2"/>
  <c r="BF197" i="2" s="1"/>
  <c r="BA197" i="2"/>
  <c r="BB197" i="2" s="1"/>
  <c r="AW197" i="2"/>
  <c r="AX197" i="2" s="1"/>
  <c r="AS197" i="2"/>
  <c r="AT197" i="2" s="1"/>
  <c r="AC197" i="2"/>
  <c r="AD197" i="2" s="1"/>
  <c r="Y197" i="2"/>
  <c r="Z197" i="2" s="1"/>
  <c r="U197" i="2"/>
  <c r="V197" i="2" s="1"/>
  <c r="Q197" i="2"/>
  <c r="R197" i="2" s="1"/>
  <c r="D197" i="2"/>
  <c r="BE196" i="2"/>
  <c r="BF196" i="2" s="1"/>
  <c r="BA196" i="2"/>
  <c r="BB196" i="2" s="1"/>
  <c r="AW196" i="2"/>
  <c r="AX196" i="2" s="1"/>
  <c r="AS196" i="2"/>
  <c r="AT196" i="2" s="1"/>
  <c r="AC196" i="2"/>
  <c r="AD196" i="2" s="1"/>
  <c r="Y196" i="2"/>
  <c r="Z196" i="2" s="1"/>
  <c r="U196" i="2"/>
  <c r="V196" i="2" s="1"/>
  <c r="Q196" i="2"/>
  <c r="R196" i="2" s="1"/>
  <c r="D196" i="2"/>
  <c r="BE195" i="2"/>
  <c r="BF195" i="2" s="1"/>
  <c r="BA195" i="2"/>
  <c r="BB195" i="2" s="1"/>
  <c r="AW195" i="2"/>
  <c r="AX195" i="2" s="1"/>
  <c r="AS195" i="2"/>
  <c r="AT195" i="2" s="1"/>
  <c r="AC195" i="2"/>
  <c r="AD195" i="2" s="1"/>
  <c r="Y195" i="2"/>
  <c r="Z195" i="2" s="1"/>
  <c r="U195" i="2"/>
  <c r="V195" i="2" s="1"/>
  <c r="Q195" i="2"/>
  <c r="R195" i="2" s="1"/>
  <c r="D195" i="2"/>
  <c r="BE194" i="2"/>
  <c r="BF194" i="2" s="1"/>
  <c r="BA194" i="2"/>
  <c r="BB194" i="2" s="1"/>
  <c r="AW194" i="2"/>
  <c r="AX194" i="2" s="1"/>
  <c r="AS194" i="2"/>
  <c r="AT194" i="2" s="1"/>
  <c r="AC194" i="2"/>
  <c r="AD194" i="2" s="1"/>
  <c r="Y194" i="2"/>
  <c r="Z194" i="2" s="1"/>
  <c r="U194" i="2"/>
  <c r="V194" i="2" s="1"/>
  <c r="Q194" i="2"/>
  <c r="R194" i="2" s="1"/>
  <c r="D194" i="2"/>
  <c r="BE193" i="2"/>
  <c r="BF193" i="2" s="1"/>
  <c r="BA193" i="2"/>
  <c r="BB193" i="2" s="1"/>
  <c r="AW193" i="2"/>
  <c r="AX193" i="2" s="1"/>
  <c r="AS193" i="2"/>
  <c r="AT193" i="2" s="1"/>
  <c r="AC193" i="2"/>
  <c r="AD193" i="2" s="1"/>
  <c r="Y193" i="2"/>
  <c r="Z193" i="2" s="1"/>
  <c r="U193" i="2"/>
  <c r="V193" i="2" s="1"/>
  <c r="Q193" i="2"/>
  <c r="R193" i="2" s="1"/>
  <c r="D193" i="2"/>
  <c r="BE192" i="2"/>
  <c r="BF192" i="2" s="1"/>
  <c r="BA192" i="2"/>
  <c r="BB192" i="2" s="1"/>
  <c r="AW192" i="2"/>
  <c r="AX192" i="2" s="1"/>
  <c r="AS192" i="2"/>
  <c r="AT192" i="2" s="1"/>
  <c r="AC192" i="2"/>
  <c r="AD192" i="2" s="1"/>
  <c r="Y192" i="2"/>
  <c r="Z192" i="2" s="1"/>
  <c r="U192" i="2"/>
  <c r="V192" i="2" s="1"/>
  <c r="Q192" i="2"/>
  <c r="R192" i="2" s="1"/>
  <c r="D192" i="2"/>
  <c r="BE191" i="2"/>
  <c r="BF191" i="2" s="1"/>
  <c r="BA191" i="2"/>
  <c r="BB191" i="2" s="1"/>
  <c r="AW191" i="2"/>
  <c r="AX191" i="2" s="1"/>
  <c r="AS191" i="2"/>
  <c r="AT191" i="2" s="1"/>
  <c r="AC191" i="2"/>
  <c r="AD191" i="2" s="1"/>
  <c r="Y191" i="2"/>
  <c r="Z191" i="2" s="1"/>
  <c r="U191" i="2"/>
  <c r="V191" i="2" s="1"/>
  <c r="Q191" i="2"/>
  <c r="R191" i="2" s="1"/>
  <c r="D191" i="2"/>
  <c r="BE190" i="2"/>
  <c r="BF190" i="2" s="1"/>
  <c r="BA190" i="2"/>
  <c r="BB190" i="2" s="1"/>
  <c r="AW190" i="2"/>
  <c r="AX190" i="2" s="1"/>
  <c r="AS190" i="2"/>
  <c r="AT190" i="2" s="1"/>
  <c r="AC190" i="2"/>
  <c r="AD190" i="2" s="1"/>
  <c r="Y190" i="2"/>
  <c r="Z190" i="2" s="1"/>
  <c r="U190" i="2"/>
  <c r="V190" i="2" s="1"/>
  <c r="Q190" i="2"/>
  <c r="R190" i="2" s="1"/>
  <c r="D190" i="2"/>
  <c r="BE189" i="2"/>
  <c r="BF189" i="2" s="1"/>
  <c r="BA189" i="2"/>
  <c r="BB189" i="2" s="1"/>
  <c r="AW189" i="2"/>
  <c r="AX189" i="2" s="1"/>
  <c r="AS189" i="2"/>
  <c r="AT189" i="2" s="1"/>
  <c r="AC189" i="2"/>
  <c r="AD189" i="2" s="1"/>
  <c r="Y189" i="2"/>
  <c r="Z189" i="2" s="1"/>
  <c r="U189" i="2"/>
  <c r="V189" i="2" s="1"/>
  <c r="Q189" i="2"/>
  <c r="R189" i="2" s="1"/>
  <c r="D189" i="2"/>
  <c r="BE188" i="2"/>
  <c r="BF188" i="2" s="1"/>
  <c r="BA188" i="2"/>
  <c r="BB188" i="2" s="1"/>
  <c r="AW188" i="2"/>
  <c r="AX188" i="2" s="1"/>
  <c r="AS188" i="2"/>
  <c r="AT188" i="2" s="1"/>
  <c r="AC188" i="2"/>
  <c r="AD188" i="2" s="1"/>
  <c r="Y188" i="2"/>
  <c r="Z188" i="2" s="1"/>
  <c r="U188" i="2"/>
  <c r="V188" i="2" s="1"/>
  <c r="Q188" i="2"/>
  <c r="R188" i="2" s="1"/>
  <c r="D188" i="2"/>
  <c r="BE187" i="2"/>
  <c r="BF187" i="2" s="1"/>
  <c r="BA187" i="2"/>
  <c r="BB187" i="2" s="1"/>
  <c r="AW187" i="2"/>
  <c r="AX187" i="2" s="1"/>
  <c r="AS187" i="2"/>
  <c r="AT187" i="2" s="1"/>
  <c r="AC187" i="2"/>
  <c r="AD187" i="2" s="1"/>
  <c r="Y187" i="2"/>
  <c r="Z187" i="2" s="1"/>
  <c r="U187" i="2"/>
  <c r="V187" i="2" s="1"/>
  <c r="Q187" i="2"/>
  <c r="R187" i="2" s="1"/>
  <c r="D187" i="2"/>
  <c r="BE186" i="2"/>
  <c r="BF186" i="2" s="1"/>
  <c r="BA186" i="2"/>
  <c r="BB186" i="2" s="1"/>
  <c r="AW186" i="2"/>
  <c r="AX186" i="2" s="1"/>
  <c r="AS186" i="2"/>
  <c r="AT186" i="2" s="1"/>
  <c r="AC186" i="2"/>
  <c r="AD186" i="2" s="1"/>
  <c r="Y186" i="2"/>
  <c r="Z186" i="2" s="1"/>
  <c r="U186" i="2"/>
  <c r="V186" i="2" s="1"/>
  <c r="Q186" i="2"/>
  <c r="R186" i="2" s="1"/>
  <c r="J186" i="2"/>
  <c r="D186" i="2"/>
  <c r="BE185" i="2"/>
  <c r="BF185" i="2" s="1"/>
  <c r="BA185" i="2"/>
  <c r="BB185" i="2" s="1"/>
  <c r="AW185" i="2"/>
  <c r="AX185" i="2" s="1"/>
  <c r="AS185" i="2"/>
  <c r="AT185" i="2" s="1"/>
  <c r="AC185" i="2"/>
  <c r="AD185" i="2" s="1"/>
  <c r="Y185" i="2"/>
  <c r="Z185" i="2" s="1"/>
  <c r="U185" i="2"/>
  <c r="V185" i="2" s="1"/>
  <c r="Q185" i="2"/>
  <c r="R185" i="2" s="1"/>
  <c r="D185" i="2"/>
  <c r="BE184" i="2"/>
  <c r="BF184" i="2" s="1"/>
  <c r="BA184" i="2"/>
  <c r="BB184" i="2" s="1"/>
  <c r="AW184" i="2"/>
  <c r="AX184" i="2" s="1"/>
  <c r="AS184" i="2"/>
  <c r="AT184" i="2" s="1"/>
  <c r="AC184" i="2"/>
  <c r="AD184" i="2" s="1"/>
  <c r="Y184" i="2"/>
  <c r="Z184" i="2" s="1"/>
  <c r="U184" i="2"/>
  <c r="V184" i="2" s="1"/>
  <c r="Q184" i="2"/>
  <c r="R184" i="2" s="1"/>
  <c r="D184" i="2"/>
  <c r="BE183" i="2"/>
  <c r="BF183" i="2" s="1"/>
  <c r="BA183" i="2"/>
  <c r="BB183" i="2" s="1"/>
  <c r="AW183" i="2"/>
  <c r="AX183" i="2" s="1"/>
  <c r="AS183" i="2"/>
  <c r="AT183" i="2" s="1"/>
  <c r="AC183" i="2"/>
  <c r="AD183" i="2" s="1"/>
  <c r="Y183" i="2"/>
  <c r="Z183" i="2" s="1"/>
  <c r="U183" i="2"/>
  <c r="V183" i="2" s="1"/>
  <c r="Q183" i="2"/>
  <c r="R183" i="2" s="1"/>
  <c r="J183" i="2"/>
  <c r="D183" i="2"/>
  <c r="BE182" i="2"/>
  <c r="BF182" i="2" s="1"/>
  <c r="BA182" i="2"/>
  <c r="BB182" i="2" s="1"/>
  <c r="AW182" i="2"/>
  <c r="AX182" i="2" s="1"/>
  <c r="AS182" i="2"/>
  <c r="AT182" i="2" s="1"/>
  <c r="AC182" i="2"/>
  <c r="AD182" i="2" s="1"/>
  <c r="Y182" i="2"/>
  <c r="Z182" i="2" s="1"/>
  <c r="U182" i="2"/>
  <c r="V182" i="2" s="1"/>
  <c r="Q182" i="2"/>
  <c r="R182" i="2" s="1"/>
  <c r="J182" i="2"/>
  <c r="D182" i="2"/>
  <c r="BE181" i="2"/>
  <c r="BF181" i="2" s="1"/>
  <c r="BA181" i="2"/>
  <c r="BB181" i="2" s="1"/>
  <c r="AW181" i="2"/>
  <c r="AX181" i="2" s="1"/>
  <c r="AS181" i="2"/>
  <c r="AT181" i="2" s="1"/>
  <c r="AC181" i="2"/>
  <c r="AD181" i="2" s="1"/>
  <c r="Y181" i="2"/>
  <c r="Z181" i="2" s="1"/>
  <c r="U181" i="2"/>
  <c r="V181" i="2" s="1"/>
  <c r="Q181" i="2"/>
  <c r="R181" i="2" s="1"/>
  <c r="D181" i="2"/>
  <c r="BE180" i="2"/>
  <c r="BF180" i="2" s="1"/>
  <c r="BA180" i="2"/>
  <c r="BB180" i="2" s="1"/>
  <c r="AW180" i="2"/>
  <c r="AX180" i="2" s="1"/>
  <c r="AS180" i="2"/>
  <c r="AT180" i="2" s="1"/>
  <c r="AC180" i="2"/>
  <c r="AD180" i="2" s="1"/>
  <c r="Y180" i="2"/>
  <c r="Z180" i="2" s="1"/>
  <c r="U180" i="2"/>
  <c r="V180" i="2" s="1"/>
  <c r="Q180" i="2"/>
  <c r="R180" i="2" s="1"/>
  <c r="D180" i="2"/>
  <c r="BE179" i="2"/>
  <c r="BF179" i="2" s="1"/>
  <c r="BA179" i="2"/>
  <c r="BB179" i="2" s="1"/>
  <c r="AW179" i="2"/>
  <c r="AX179" i="2" s="1"/>
  <c r="AS179" i="2"/>
  <c r="AT179" i="2" s="1"/>
  <c r="AC179" i="2"/>
  <c r="AD179" i="2" s="1"/>
  <c r="Y179" i="2"/>
  <c r="Z179" i="2" s="1"/>
  <c r="U179" i="2"/>
  <c r="V179" i="2" s="1"/>
  <c r="Q179" i="2"/>
  <c r="R179" i="2" s="1"/>
  <c r="J179" i="2"/>
  <c r="D179" i="2"/>
  <c r="BE178" i="2"/>
  <c r="BF178" i="2" s="1"/>
  <c r="BA178" i="2"/>
  <c r="BB178" i="2" s="1"/>
  <c r="AW178" i="2"/>
  <c r="AX178" i="2" s="1"/>
  <c r="AS178" i="2"/>
  <c r="AT178" i="2" s="1"/>
  <c r="AC178" i="2"/>
  <c r="AD178" i="2" s="1"/>
  <c r="Y178" i="2"/>
  <c r="Z178" i="2" s="1"/>
  <c r="U178" i="2"/>
  <c r="V178" i="2" s="1"/>
  <c r="Q178" i="2"/>
  <c r="R178" i="2" s="1"/>
  <c r="D178" i="2"/>
  <c r="BE177" i="2"/>
  <c r="BF177" i="2" s="1"/>
  <c r="BA177" i="2"/>
  <c r="BB177" i="2" s="1"/>
  <c r="AW177" i="2"/>
  <c r="AX177" i="2" s="1"/>
  <c r="AS177" i="2"/>
  <c r="AT177" i="2" s="1"/>
  <c r="AC177" i="2"/>
  <c r="AD177" i="2" s="1"/>
  <c r="Y177" i="2"/>
  <c r="Z177" i="2" s="1"/>
  <c r="U177" i="2"/>
  <c r="V177" i="2" s="1"/>
  <c r="Q177" i="2"/>
  <c r="R177" i="2" s="1"/>
  <c r="D177" i="2"/>
  <c r="BE176" i="2"/>
  <c r="BF176" i="2" s="1"/>
  <c r="BA176" i="2"/>
  <c r="BB176" i="2" s="1"/>
  <c r="AW176" i="2"/>
  <c r="AX176" i="2" s="1"/>
  <c r="AS176" i="2"/>
  <c r="AT176" i="2" s="1"/>
  <c r="AC176" i="2"/>
  <c r="AD176" i="2" s="1"/>
  <c r="Y176" i="2"/>
  <c r="Z176" i="2" s="1"/>
  <c r="U176" i="2"/>
  <c r="V176" i="2" s="1"/>
  <c r="Q176" i="2"/>
  <c r="R176" i="2" s="1"/>
  <c r="D176" i="2"/>
  <c r="BE175" i="2"/>
  <c r="BF175" i="2" s="1"/>
  <c r="BA175" i="2"/>
  <c r="BB175" i="2" s="1"/>
  <c r="AW175" i="2"/>
  <c r="AX175" i="2" s="1"/>
  <c r="AS175" i="2"/>
  <c r="AT175" i="2" s="1"/>
  <c r="AC175" i="2"/>
  <c r="AD175" i="2" s="1"/>
  <c r="Y175" i="2"/>
  <c r="Z175" i="2" s="1"/>
  <c r="U175" i="2"/>
  <c r="V175" i="2" s="1"/>
  <c r="Q175" i="2"/>
  <c r="R175" i="2" s="1"/>
  <c r="J175" i="2"/>
  <c r="D175" i="2"/>
  <c r="BE174" i="2"/>
  <c r="BF174" i="2" s="1"/>
  <c r="BA174" i="2"/>
  <c r="BB174" i="2" s="1"/>
  <c r="AW174" i="2"/>
  <c r="AX174" i="2" s="1"/>
  <c r="AS174" i="2"/>
  <c r="AT174" i="2" s="1"/>
  <c r="AC174" i="2"/>
  <c r="AD174" i="2" s="1"/>
  <c r="Y174" i="2"/>
  <c r="Z174" i="2" s="1"/>
  <c r="U174" i="2"/>
  <c r="V174" i="2" s="1"/>
  <c r="Q174" i="2"/>
  <c r="R174" i="2" s="1"/>
  <c r="D174" i="2"/>
  <c r="BE173" i="2"/>
  <c r="BF173" i="2" s="1"/>
  <c r="BA173" i="2"/>
  <c r="BB173" i="2" s="1"/>
  <c r="AW173" i="2"/>
  <c r="AX173" i="2" s="1"/>
  <c r="AS173" i="2"/>
  <c r="AT173" i="2" s="1"/>
  <c r="AC173" i="2"/>
  <c r="AD173" i="2" s="1"/>
  <c r="Y173" i="2"/>
  <c r="Z173" i="2" s="1"/>
  <c r="U173" i="2"/>
  <c r="V173" i="2" s="1"/>
  <c r="Q173" i="2"/>
  <c r="R173" i="2" s="1"/>
  <c r="D173" i="2"/>
  <c r="BE172" i="2"/>
  <c r="BF172" i="2" s="1"/>
  <c r="BA172" i="2"/>
  <c r="BB172" i="2" s="1"/>
  <c r="AW172" i="2"/>
  <c r="AX172" i="2" s="1"/>
  <c r="AS172" i="2"/>
  <c r="AT172" i="2" s="1"/>
  <c r="AC172" i="2"/>
  <c r="AD172" i="2" s="1"/>
  <c r="Y172" i="2"/>
  <c r="Z172" i="2" s="1"/>
  <c r="U172" i="2"/>
  <c r="V172" i="2" s="1"/>
  <c r="Q172" i="2"/>
  <c r="R172" i="2" s="1"/>
  <c r="D172" i="2"/>
  <c r="BE171" i="2"/>
  <c r="BF171" i="2" s="1"/>
  <c r="BA171" i="2"/>
  <c r="BB171" i="2" s="1"/>
  <c r="AW171" i="2"/>
  <c r="AX171" i="2" s="1"/>
  <c r="AS171" i="2"/>
  <c r="AT171" i="2" s="1"/>
  <c r="AC171" i="2"/>
  <c r="AD171" i="2" s="1"/>
  <c r="Y171" i="2"/>
  <c r="Z171" i="2" s="1"/>
  <c r="U171" i="2"/>
  <c r="V171" i="2" s="1"/>
  <c r="Q171" i="2"/>
  <c r="R171" i="2" s="1"/>
  <c r="D171" i="2"/>
  <c r="BE170" i="2"/>
  <c r="BF170" i="2" s="1"/>
  <c r="BA170" i="2"/>
  <c r="BB170" i="2" s="1"/>
  <c r="AW170" i="2"/>
  <c r="AX170" i="2" s="1"/>
  <c r="AS170" i="2"/>
  <c r="AT170" i="2" s="1"/>
  <c r="AC170" i="2"/>
  <c r="AD170" i="2" s="1"/>
  <c r="Y170" i="2"/>
  <c r="Z170" i="2" s="1"/>
  <c r="U170" i="2"/>
  <c r="V170" i="2" s="1"/>
  <c r="Q170" i="2"/>
  <c r="R170" i="2" s="1"/>
  <c r="D170" i="2"/>
  <c r="BE169" i="2"/>
  <c r="BF169" i="2" s="1"/>
  <c r="BA169" i="2"/>
  <c r="BB169" i="2" s="1"/>
  <c r="AW169" i="2"/>
  <c r="AX169" i="2" s="1"/>
  <c r="AS169" i="2"/>
  <c r="AT169" i="2" s="1"/>
  <c r="AC169" i="2"/>
  <c r="AD169" i="2" s="1"/>
  <c r="Y169" i="2"/>
  <c r="Z169" i="2" s="1"/>
  <c r="U169" i="2"/>
  <c r="V169" i="2" s="1"/>
  <c r="Q169" i="2"/>
  <c r="R169" i="2" s="1"/>
  <c r="J169" i="2"/>
  <c r="D169" i="2"/>
  <c r="BE168" i="2"/>
  <c r="BF168" i="2" s="1"/>
  <c r="BA168" i="2"/>
  <c r="BB168" i="2" s="1"/>
  <c r="AW168" i="2"/>
  <c r="AX168" i="2" s="1"/>
  <c r="AS168" i="2"/>
  <c r="AT168" i="2" s="1"/>
  <c r="AC168" i="2"/>
  <c r="AD168" i="2" s="1"/>
  <c r="Y168" i="2"/>
  <c r="Z168" i="2" s="1"/>
  <c r="U168" i="2"/>
  <c r="V168" i="2" s="1"/>
  <c r="Q168" i="2"/>
  <c r="R168" i="2" s="1"/>
  <c r="D168" i="2"/>
  <c r="BE167" i="2"/>
  <c r="BF167" i="2" s="1"/>
  <c r="BA167" i="2"/>
  <c r="BB167" i="2" s="1"/>
  <c r="AW167" i="2"/>
  <c r="AX167" i="2" s="1"/>
  <c r="AS167" i="2"/>
  <c r="AT167" i="2" s="1"/>
  <c r="AC167" i="2"/>
  <c r="AD167" i="2" s="1"/>
  <c r="Y167" i="2"/>
  <c r="Z167" i="2" s="1"/>
  <c r="U167" i="2"/>
  <c r="V167" i="2" s="1"/>
  <c r="Q167" i="2"/>
  <c r="R167" i="2" s="1"/>
  <c r="D167" i="2"/>
  <c r="BA166" i="2"/>
  <c r="BB166" i="2" s="1"/>
  <c r="AW166" i="2"/>
  <c r="AX166" i="2" s="1"/>
  <c r="AS166" i="2"/>
  <c r="AT166" i="2" s="1"/>
  <c r="AC166" i="2"/>
  <c r="AD166" i="2" s="1"/>
  <c r="Y166" i="2"/>
  <c r="Z166" i="2" s="1"/>
  <c r="U166" i="2"/>
  <c r="V166" i="2" s="1"/>
  <c r="D166" i="2"/>
  <c r="BE165" i="2"/>
  <c r="BF165" i="2" s="1"/>
  <c r="BA165" i="2"/>
  <c r="BB165" i="2" s="1"/>
  <c r="AW165" i="2"/>
  <c r="AX165" i="2" s="1"/>
  <c r="AS165" i="2"/>
  <c r="AT165" i="2" s="1"/>
  <c r="AC165" i="2"/>
  <c r="AD165" i="2" s="1"/>
  <c r="Y165" i="2"/>
  <c r="Z165" i="2" s="1"/>
  <c r="U165" i="2"/>
  <c r="V165" i="2" s="1"/>
  <c r="Q165" i="2"/>
  <c r="R165" i="2" s="1"/>
  <c r="D165" i="2"/>
  <c r="BE164" i="2"/>
  <c r="BF164" i="2" s="1"/>
  <c r="BA164" i="2"/>
  <c r="BB164" i="2" s="1"/>
  <c r="AW164" i="2"/>
  <c r="AX164" i="2" s="1"/>
  <c r="AS164" i="2"/>
  <c r="AT164" i="2" s="1"/>
  <c r="AC164" i="2"/>
  <c r="AD164" i="2" s="1"/>
  <c r="Y164" i="2"/>
  <c r="Z164" i="2" s="1"/>
  <c r="U164" i="2"/>
  <c r="V164" i="2" s="1"/>
  <c r="Q164" i="2"/>
  <c r="R164" i="2" s="1"/>
  <c r="J164" i="2"/>
  <c r="D164" i="2"/>
  <c r="BE163" i="2"/>
  <c r="BF163" i="2" s="1"/>
  <c r="BA163" i="2"/>
  <c r="BB163" i="2" s="1"/>
  <c r="AW163" i="2"/>
  <c r="AX163" i="2" s="1"/>
  <c r="AS163" i="2"/>
  <c r="AT163" i="2" s="1"/>
  <c r="AC163" i="2"/>
  <c r="AD163" i="2" s="1"/>
  <c r="Y163" i="2"/>
  <c r="Z163" i="2" s="1"/>
  <c r="U163" i="2"/>
  <c r="V163" i="2" s="1"/>
  <c r="Q163" i="2"/>
  <c r="R163" i="2" s="1"/>
  <c r="D163" i="2"/>
  <c r="BE162" i="2"/>
  <c r="BF162" i="2" s="1"/>
  <c r="BA162" i="2"/>
  <c r="BB162" i="2" s="1"/>
  <c r="AW162" i="2"/>
  <c r="AX162" i="2" s="1"/>
  <c r="AS162" i="2"/>
  <c r="AT162" i="2" s="1"/>
  <c r="AC162" i="2"/>
  <c r="AD162" i="2" s="1"/>
  <c r="Y162" i="2"/>
  <c r="Z162" i="2" s="1"/>
  <c r="U162" i="2"/>
  <c r="V162" i="2" s="1"/>
  <c r="Q162" i="2"/>
  <c r="R162" i="2" s="1"/>
  <c r="D162" i="2"/>
  <c r="BE161" i="2"/>
  <c r="BF161" i="2" s="1"/>
  <c r="BA161" i="2"/>
  <c r="BB161" i="2" s="1"/>
  <c r="AW161" i="2"/>
  <c r="AX161" i="2" s="1"/>
  <c r="AS161" i="2"/>
  <c r="AT161" i="2" s="1"/>
  <c r="AC161" i="2"/>
  <c r="AD161" i="2" s="1"/>
  <c r="Y161" i="2"/>
  <c r="Z161" i="2" s="1"/>
  <c r="U161" i="2"/>
  <c r="V161" i="2" s="1"/>
  <c r="Q161" i="2"/>
  <c r="R161" i="2" s="1"/>
  <c r="D161" i="2"/>
  <c r="BE160" i="2"/>
  <c r="BF160" i="2" s="1"/>
  <c r="BA160" i="2"/>
  <c r="BB160" i="2" s="1"/>
  <c r="AW160" i="2"/>
  <c r="AX160" i="2" s="1"/>
  <c r="AS160" i="2"/>
  <c r="AT160" i="2" s="1"/>
  <c r="AC160" i="2"/>
  <c r="AD160" i="2" s="1"/>
  <c r="Y160" i="2"/>
  <c r="Z160" i="2" s="1"/>
  <c r="U160" i="2"/>
  <c r="V160" i="2" s="1"/>
  <c r="Q160" i="2"/>
  <c r="R160" i="2" s="1"/>
  <c r="D160" i="2"/>
  <c r="BE159" i="2"/>
  <c r="BF159" i="2" s="1"/>
  <c r="BA159" i="2"/>
  <c r="BB159" i="2" s="1"/>
  <c r="AW159" i="2"/>
  <c r="AX159" i="2" s="1"/>
  <c r="AS159" i="2"/>
  <c r="AT159" i="2" s="1"/>
  <c r="AC159" i="2"/>
  <c r="AD159" i="2" s="1"/>
  <c r="Y159" i="2"/>
  <c r="Z159" i="2" s="1"/>
  <c r="U159" i="2"/>
  <c r="V159" i="2" s="1"/>
  <c r="Q159" i="2"/>
  <c r="R159" i="2" s="1"/>
  <c r="D159" i="2"/>
  <c r="BE158" i="2"/>
  <c r="BF158" i="2" s="1"/>
  <c r="BA158" i="2"/>
  <c r="BB158" i="2" s="1"/>
  <c r="AW158" i="2"/>
  <c r="AX158" i="2" s="1"/>
  <c r="AS158" i="2"/>
  <c r="AT158" i="2" s="1"/>
  <c r="AC158" i="2"/>
  <c r="AD158" i="2" s="1"/>
  <c r="Y158" i="2"/>
  <c r="Z158" i="2" s="1"/>
  <c r="U158" i="2"/>
  <c r="V158" i="2" s="1"/>
  <c r="Q158" i="2"/>
  <c r="R158" i="2" s="1"/>
  <c r="D158" i="2"/>
  <c r="BE157" i="2"/>
  <c r="BF157" i="2" s="1"/>
  <c r="BA157" i="2"/>
  <c r="BB157" i="2" s="1"/>
  <c r="AW157" i="2"/>
  <c r="AX157" i="2" s="1"/>
  <c r="AS157" i="2"/>
  <c r="AT157" i="2" s="1"/>
  <c r="AC157" i="2"/>
  <c r="AD157" i="2" s="1"/>
  <c r="Y157" i="2"/>
  <c r="Z157" i="2" s="1"/>
  <c r="U157" i="2"/>
  <c r="V157" i="2" s="1"/>
  <c r="Q157" i="2"/>
  <c r="R157" i="2" s="1"/>
  <c r="D157" i="2"/>
  <c r="BE156" i="2"/>
  <c r="BF156" i="2" s="1"/>
  <c r="BA156" i="2"/>
  <c r="BB156" i="2" s="1"/>
  <c r="AW156" i="2"/>
  <c r="AX156" i="2" s="1"/>
  <c r="AS156" i="2"/>
  <c r="AT156" i="2" s="1"/>
  <c r="AC156" i="2"/>
  <c r="AD156" i="2" s="1"/>
  <c r="Y156" i="2"/>
  <c r="Z156" i="2" s="1"/>
  <c r="U156" i="2"/>
  <c r="V156" i="2" s="1"/>
  <c r="Q156" i="2"/>
  <c r="R156" i="2" s="1"/>
  <c r="D156" i="2"/>
  <c r="BE155" i="2"/>
  <c r="BF155" i="2" s="1"/>
  <c r="BA155" i="2"/>
  <c r="BB155" i="2" s="1"/>
  <c r="AW155" i="2"/>
  <c r="AX155" i="2" s="1"/>
  <c r="AS155" i="2"/>
  <c r="AT155" i="2" s="1"/>
  <c r="AC155" i="2"/>
  <c r="AD155" i="2" s="1"/>
  <c r="Y155" i="2"/>
  <c r="Z155" i="2" s="1"/>
  <c r="U155" i="2"/>
  <c r="V155" i="2" s="1"/>
  <c r="Q155" i="2"/>
  <c r="R155" i="2" s="1"/>
  <c r="D155" i="2"/>
  <c r="BE154" i="2"/>
  <c r="BF154" i="2" s="1"/>
  <c r="BA154" i="2"/>
  <c r="BB154" i="2" s="1"/>
  <c r="AW154" i="2"/>
  <c r="AX154" i="2" s="1"/>
  <c r="AS154" i="2"/>
  <c r="AT154" i="2" s="1"/>
  <c r="AC154" i="2"/>
  <c r="AD154" i="2" s="1"/>
  <c r="Y154" i="2"/>
  <c r="Z154" i="2" s="1"/>
  <c r="U154" i="2"/>
  <c r="V154" i="2" s="1"/>
  <c r="Q154" i="2"/>
  <c r="R154" i="2" s="1"/>
  <c r="D154" i="2"/>
  <c r="BE153" i="2"/>
  <c r="BF153" i="2" s="1"/>
  <c r="BA153" i="2"/>
  <c r="BB153" i="2" s="1"/>
  <c r="AW153" i="2"/>
  <c r="AX153" i="2" s="1"/>
  <c r="AS153" i="2"/>
  <c r="AT153" i="2" s="1"/>
  <c r="AC153" i="2"/>
  <c r="AD153" i="2" s="1"/>
  <c r="Y153" i="2"/>
  <c r="Z153" i="2" s="1"/>
  <c r="U153" i="2"/>
  <c r="V153" i="2" s="1"/>
  <c r="Q153" i="2"/>
  <c r="R153" i="2" s="1"/>
  <c r="D153" i="2"/>
  <c r="BE152" i="2"/>
  <c r="BF152" i="2" s="1"/>
  <c r="BA152" i="2"/>
  <c r="BB152" i="2" s="1"/>
  <c r="AW152" i="2"/>
  <c r="AX152" i="2" s="1"/>
  <c r="AS152" i="2"/>
  <c r="AT152" i="2" s="1"/>
  <c r="AC152" i="2"/>
  <c r="AD152" i="2" s="1"/>
  <c r="Y152" i="2"/>
  <c r="Z152" i="2" s="1"/>
  <c r="U152" i="2"/>
  <c r="V152" i="2" s="1"/>
  <c r="Q152" i="2"/>
  <c r="R152" i="2" s="1"/>
  <c r="J152" i="2"/>
  <c r="D152" i="2"/>
  <c r="BE151" i="2"/>
  <c r="BF151" i="2" s="1"/>
  <c r="BA151" i="2"/>
  <c r="BB151" i="2" s="1"/>
  <c r="AW151" i="2"/>
  <c r="AX151" i="2" s="1"/>
  <c r="AS151" i="2"/>
  <c r="AT151" i="2" s="1"/>
  <c r="AC151" i="2"/>
  <c r="AD151" i="2" s="1"/>
  <c r="Y151" i="2"/>
  <c r="Z151" i="2" s="1"/>
  <c r="U151" i="2"/>
  <c r="V151" i="2" s="1"/>
  <c r="Q151" i="2"/>
  <c r="R151" i="2" s="1"/>
  <c r="D151" i="2"/>
  <c r="BE150" i="2"/>
  <c r="BF150" i="2" s="1"/>
  <c r="BA150" i="2"/>
  <c r="BB150" i="2" s="1"/>
  <c r="AW150" i="2"/>
  <c r="AX150" i="2" s="1"/>
  <c r="AS150" i="2"/>
  <c r="AT150" i="2" s="1"/>
  <c r="AC150" i="2"/>
  <c r="AD150" i="2" s="1"/>
  <c r="Y150" i="2"/>
  <c r="Z150" i="2" s="1"/>
  <c r="U150" i="2"/>
  <c r="V150" i="2" s="1"/>
  <c r="Q150" i="2"/>
  <c r="R150" i="2" s="1"/>
  <c r="D150" i="2"/>
  <c r="BE149" i="2"/>
  <c r="BF149" i="2" s="1"/>
  <c r="BA149" i="2"/>
  <c r="BB149" i="2" s="1"/>
  <c r="AW149" i="2"/>
  <c r="AX149" i="2" s="1"/>
  <c r="AS149" i="2"/>
  <c r="AT149" i="2" s="1"/>
  <c r="AC149" i="2"/>
  <c r="AD149" i="2" s="1"/>
  <c r="Y149" i="2"/>
  <c r="Z149" i="2" s="1"/>
  <c r="U149" i="2"/>
  <c r="V149" i="2" s="1"/>
  <c r="Q149" i="2"/>
  <c r="R149" i="2" s="1"/>
  <c r="D149" i="2"/>
  <c r="BE148" i="2"/>
  <c r="BF148" i="2" s="1"/>
  <c r="BA148" i="2"/>
  <c r="BB148" i="2" s="1"/>
  <c r="AW148" i="2"/>
  <c r="AX148" i="2" s="1"/>
  <c r="AS148" i="2"/>
  <c r="AT148" i="2" s="1"/>
  <c r="AC148" i="2"/>
  <c r="AD148" i="2" s="1"/>
  <c r="Y148" i="2"/>
  <c r="Z148" i="2" s="1"/>
  <c r="U148" i="2"/>
  <c r="V148" i="2" s="1"/>
  <c r="Q148" i="2"/>
  <c r="R148" i="2" s="1"/>
  <c r="J148" i="2"/>
  <c r="D148" i="2"/>
  <c r="BE147" i="2"/>
  <c r="BF147" i="2" s="1"/>
  <c r="BA147" i="2"/>
  <c r="BB147" i="2" s="1"/>
  <c r="AW147" i="2"/>
  <c r="AX147" i="2" s="1"/>
  <c r="AS147" i="2"/>
  <c r="AT147" i="2" s="1"/>
  <c r="AC147" i="2"/>
  <c r="AD147" i="2" s="1"/>
  <c r="Y147" i="2"/>
  <c r="Z147" i="2" s="1"/>
  <c r="U147" i="2"/>
  <c r="V147" i="2" s="1"/>
  <c r="Q147" i="2"/>
  <c r="R147" i="2" s="1"/>
  <c r="D147" i="2"/>
  <c r="BE146" i="2"/>
  <c r="BF146" i="2" s="1"/>
  <c r="BA146" i="2"/>
  <c r="BB146" i="2" s="1"/>
  <c r="AW146" i="2"/>
  <c r="AX146" i="2" s="1"/>
  <c r="AS146" i="2"/>
  <c r="AT146" i="2" s="1"/>
  <c r="AC146" i="2"/>
  <c r="AD146" i="2" s="1"/>
  <c r="Y146" i="2"/>
  <c r="Z146" i="2" s="1"/>
  <c r="U146" i="2"/>
  <c r="V146" i="2" s="1"/>
  <c r="Q146" i="2"/>
  <c r="R146" i="2" s="1"/>
  <c r="D146" i="2"/>
  <c r="BE145" i="2"/>
  <c r="BF145" i="2" s="1"/>
  <c r="BA145" i="2"/>
  <c r="BB145" i="2" s="1"/>
  <c r="AW145" i="2"/>
  <c r="AX145" i="2" s="1"/>
  <c r="AS145" i="2"/>
  <c r="AT145" i="2" s="1"/>
  <c r="AC145" i="2"/>
  <c r="AD145" i="2" s="1"/>
  <c r="Y145" i="2"/>
  <c r="Z145" i="2" s="1"/>
  <c r="U145" i="2"/>
  <c r="V145" i="2" s="1"/>
  <c r="Q145" i="2"/>
  <c r="R145" i="2" s="1"/>
  <c r="D145" i="2"/>
  <c r="BE144" i="2"/>
  <c r="BF144" i="2" s="1"/>
  <c r="BA144" i="2"/>
  <c r="BB144" i="2" s="1"/>
  <c r="AW144" i="2"/>
  <c r="AX144" i="2" s="1"/>
  <c r="AS144" i="2"/>
  <c r="AT144" i="2" s="1"/>
  <c r="AC144" i="2"/>
  <c r="AD144" i="2" s="1"/>
  <c r="Y144" i="2"/>
  <c r="Z144" i="2" s="1"/>
  <c r="U144" i="2"/>
  <c r="V144" i="2" s="1"/>
  <c r="Q144" i="2"/>
  <c r="R144" i="2" s="1"/>
  <c r="D144" i="2"/>
  <c r="BE143" i="2"/>
  <c r="BF143" i="2" s="1"/>
  <c r="BA143" i="2"/>
  <c r="BB143" i="2" s="1"/>
  <c r="AW143" i="2"/>
  <c r="AX143" i="2" s="1"/>
  <c r="AS143" i="2"/>
  <c r="AT143" i="2" s="1"/>
  <c r="AC143" i="2"/>
  <c r="AD143" i="2" s="1"/>
  <c r="Y143" i="2"/>
  <c r="Z143" i="2" s="1"/>
  <c r="U143" i="2"/>
  <c r="V143" i="2" s="1"/>
  <c r="Q143" i="2"/>
  <c r="R143" i="2" s="1"/>
  <c r="D143" i="2"/>
  <c r="BE142" i="2"/>
  <c r="BF142" i="2" s="1"/>
  <c r="BA142" i="2"/>
  <c r="BB142" i="2" s="1"/>
  <c r="AW142" i="2"/>
  <c r="AX142" i="2" s="1"/>
  <c r="AS142" i="2"/>
  <c r="AT142" i="2" s="1"/>
  <c r="AC142" i="2"/>
  <c r="AD142" i="2" s="1"/>
  <c r="Y142" i="2"/>
  <c r="Z142" i="2" s="1"/>
  <c r="U142" i="2"/>
  <c r="V142" i="2" s="1"/>
  <c r="Q142" i="2"/>
  <c r="R142" i="2" s="1"/>
  <c r="D142" i="2"/>
  <c r="BE141" i="2"/>
  <c r="BF141" i="2" s="1"/>
  <c r="BA141" i="2"/>
  <c r="BB141" i="2" s="1"/>
  <c r="AW141" i="2"/>
  <c r="AX141" i="2" s="1"/>
  <c r="AS141" i="2"/>
  <c r="AT141" i="2" s="1"/>
  <c r="AC141" i="2"/>
  <c r="AD141" i="2" s="1"/>
  <c r="Y141" i="2"/>
  <c r="Z141" i="2" s="1"/>
  <c r="U141" i="2"/>
  <c r="V141" i="2" s="1"/>
  <c r="Q141" i="2"/>
  <c r="R141" i="2" s="1"/>
  <c r="J141" i="2"/>
  <c r="D141" i="2"/>
  <c r="BE140" i="2"/>
  <c r="BF140" i="2" s="1"/>
  <c r="BA140" i="2"/>
  <c r="BB140" i="2" s="1"/>
  <c r="AW140" i="2"/>
  <c r="AX140" i="2" s="1"/>
  <c r="AS140" i="2"/>
  <c r="AT140" i="2" s="1"/>
  <c r="AC140" i="2"/>
  <c r="AD140" i="2" s="1"/>
  <c r="Y140" i="2"/>
  <c r="Z140" i="2" s="1"/>
  <c r="U140" i="2"/>
  <c r="V140" i="2" s="1"/>
  <c r="Q140" i="2"/>
  <c r="R140" i="2" s="1"/>
  <c r="D140" i="2"/>
  <c r="BE139" i="2"/>
  <c r="BF139" i="2" s="1"/>
  <c r="BA139" i="2"/>
  <c r="BB139" i="2" s="1"/>
  <c r="AW139" i="2"/>
  <c r="AX139" i="2" s="1"/>
  <c r="AS139" i="2"/>
  <c r="AT139" i="2" s="1"/>
  <c r="AC139" i="2"/>
  <c r="AD139" i="2" s="1"/>
  <c r="Y139" i="2"/>
  <c r="Z139" i="2" s="1"/>
  <c r="U139" i="2"/>
  <c r="V139" i="2" s="1"/>
  <c r="Q139" i="2"/>
  <c r="R139" i="2" s="1"/>
  <c r="D139" i="2"/>
  <c r="BE138" i="2"/>
  <c r="BF138" i="2" s="1"/>
  <c r="BA138" i="2"/>
  <c r="BB138" i="2" s="1"/>
  <c r="AW138" i="2"/>
  <c r="AX138" i="2" s="1"/>
  <c r="AS138" i="2"/>
  <c r="AT138" i="2" s="1"/>
  <c r="AC138" i="2"/>
  <c r="AD138" i="2" s="1"/>
  <c r="Y138" i="2"/>
  <c r="Z138" i="2" s="1"/>
  <c r="U138" i="2"/>
  <c r="V138" i="2" s="1"/>
  <c r="Q138" i="2"/>
  <c r="R138" i="2" s="1"/>
  <c r="J138" i="2"/>
  <c r="D138" i="2"/>
  <c r="BE137" i="2"/>
  <c r="BF137" i="2" s="1"/>
  <c r="BA137" i="2"/>
  <c r="BB137" i="2" s="1"/>
  <c r="AW137" i="2"/>
  <c r="AX137" i="2" s="1"/>
  <c r="AS137" i="2"/>
  <c r="AT137" i="2" s="1"/>
  <c r="AC137" i="2"/>
  <c r="AD137" i="2" s="1"/>
  <c r="Y137" i="2"/>
  <c r="Z137" i="2" s="1"/>
  <c r="U137" i="2"/>
  <c r="V137" i="2" s="1"/>
  <c r="Q137" i="2"/>
  <c r="R137" i="2" s="1"/>
  <c r="D137" i="2"/>
  <c r="BE136" i="2"/>
  <c r="BF136" i="2" s="1"/>
  <c r="BA136" i="2"/>
  <c r="BB136" i="2" s="1"/>
  <c r="AW136" i="2"/>
  <c r="AX136" i="2" s="1"/>
  <c r="AS136" i="2"/>
  <c r="AT136" i="2" s="1"/>
  <c r="AC136" i="2"/>
  <c r="AD136" i="2" s="1"/>
  <c r="Y136" i="2"/>
  <c r="Z136" i="2" s="1"/>
  <c r="U136" i="2"/>
  <c r="V136" i="2" s="1"/>
  <c r="Q136" i="2"/>
  <c r="R136" i="2" s="1"/>
  <c r="D136" i="2"/>
  <c r="BE135" i="2"/>
  <c r="BF135" i="2" s="1"/>
  <c r="BA135" i="2"/>
  <c r="BB135" i="2" s="1"/>
  <c r="AW135" i="2"/>
  <c r="AX135" i="2" s="1"/>
  <c r="AS135" i="2"/>
  <c r="AT135" i="2" s="1"/>
  <c r="AC135" i="2"/>
  <c r="AD135" i="2" s="1"/>
  <c r="Y135" i="2"/>
  <c r="Z135" i="2" s="1"/>
  <c r="U135" i="2"/>
  <c r="V135" i="2" s="1"/>
  <c r="Q135" i="2"/>
  <c r="R135" i="2" s="1"/>
  <c r="D135" i="2"/>
  <c r="BE134" i="2"/>
  <c r="BF134" i="2" s="1"/>
  <c r="BA134" i="2"/>
  <c r="BB134" i="2" s="1"/>
  <c r="AW134" i="2"/>
  <c r="AX134" i="2" s="1"/>
  <c r="AS134" i="2"/>
  <c r="AT134" i="2" s="1"/>
  <c r="AC134" i="2"/>
  <c r="AD134" i="2" s="1"/>
  <c r="Y134" i="2"/>
  <c r="Z134" i="2" s="1"/>
  <c r="U134" i="2"/>
  <c r="V134" i="2" s="1"/>
  <c r="Q134" i="2"/>
  <c r="R134" i="2" s="1"/>
  <c r="D134" i="2"/>
  <c r="BE133" i="2"/>
  <c r="BF133" i="2" s="1"/>
  <c r="BA133" i="2"/>
  <c r="BB133" i="2" s="1"/>
  <c r="AW133" i="2"/>
  <c r="AX133" i="2" s="1"/>
  <c r="AS133" i="2"/>
  <c r="AT133" i="2" s="1"/>
  <c r="AC133" i="2"/>
  <c r="AD133" i="2" s="1"/>
  <c r="Y133" i="2"/>
  <c r="Z133" i="2" s="1"/>
  <c r="U133" i="2"/>
  <c r="V133" i="2" s="1"/>
  <c r="Q133" i="2"/>
  <c r="R133" i="2" s="1"/>
  <c r="D133" i="2"/>
  <c r="BE132" i="2"/>
  <c r="BF132" i="2" s="1"/>
  <c r="BA132" i="2"/>
  <c r="BB132" i="2" s="1"/>
  <c r="AW132" i="2"/>
  <c r="AX132" i="2" s="1"/>
  <c r="AS132" i="2"/>
  <c r="AT132" i="2" s="1"/>
  <c r="AC132" i="2"/>
  <c r="AD132" i="2" s="1"/>
  <c r="Y132" i="2"/>
  <c r="Z132" i="2" s="1"/>
  <c r="U132" i="2"/>
  <c r="V132" i="2" s="1"/>
  <c r="Q132" i="2"/>
  <c r="R132" i="2" s="1"/>
  <c r="D132" i="2"/>
  <c r="BE131" i="2"/>
  <c r="BF131" i="2" s="1"/>
  <c r="BA131" i="2"/>
  <c r="BB131" i="2" s="1"/>
  <c r="AW131" i="2"/>
  <c r="AX131" i="2" s="1"/>
  <c r="AS131" i="2"/>
  <c r="AT131" i="2" s="1"/>
  <c r="AC131" i="2"/>
  <c r="AD131" i="2" s="1"/>
  <c r="Y131" i="2"/>
  <c r="Z131" i="2" s="1"/>
  <c r="U131" i="2"/>
  <c r="V131" i="2" s="1"/>
  <c r="Q131" i="2"/>
  <c r="R131" i="2" s="1"/>
  <c r="D131" i="2"/>
  <c r="BE130" i="2"/>
  <c r="BF130" i="2" s="1"/>
  <c r="BA130" i="2"/>
  <c r="BB130" i="2" s="1"/>
  <c r="AW130" i="2"/>
  <c r="AX130" i="2" s="1"/>
  <c r="AS130" i="2"/>
  <c r="AT130" i="2" s="1"/>
  <c r="AC130" i="2"/>
  <c r="AD130" i="2" s="1"/>
  <c r="Y130" i="2"/>
  <c r="Z130" i="2" s="1"/>
  <c r="U130" i="2"/>
  <c r="V130" i="2" s="1"/>
  <c r="Q130" i="2"/>
  <c r="R130" i="2" s="1"/>
  <c r="D130" i="2"/>
  <c r="BE129" i="2"/>
  <c r="BF129" i="2" s="1"/>
  <c r="BA129" i="2"/>
  <c r="BB129" i="2" s="1"/>
  <c r="AW129" i="2"/>
  <c r="AX129" i="2" s="1"/>
  <c r="AS129" i="2"/>
  <c r="AT129" i="2" s="1"/>
  <c r="AC129" i="2"/>
  <c r="AD129" i="2" s="1"/>
  <c r="Y129" i="2"/>
  <c r="Z129" i="2" s="1"/>
  <c r="U129" i="2"/>
  <c r="V129" i="2" s="1"/>
  <c r="Q129" i="2"/>
  <c r="R129" i="2" s="1"/>
  <c r="D129" i="2"/>
  <c r="BE128" i="2"/>
  <c r="BF128" i="2" s="1"/>
  <c r="BA128" i="2"/>
  <c r="BB128" i="2" s="1"/>
  <c r="AW128" i="2"/>
  <c r="AX128" i="2" s="1"/>
  <c r="AS128" i="2"/>
  <c r="AT128" i="2" s="1"/>
  <c r="AC128" i="2"/>
  <c r="AD128" i="2" s="1"/>
  <c r="Y128" i="2"/>
  <c r="Z128" i="2" s="1"/>
  <c r="U128" i="2"/>
  <c r="V128" i="2" s="1"/>
  <c r="Q128" i="2"/>
  <c r="R128" i="2" s="1"/>
  <c r="D128" i="2"/>
  <c r="BE127" i="2"/>
  <c r="BF127" i="2" s="1"/>
  <c r="BA127" i="2"/>
  <c r="BB127" i="2" s="1"/>
  <c r="AW127" i="2"/>
  <c r="AX127" i="2" s="1"/>
  <c r="AS127" i="2"/>
  <c r="AT127" i="2" s="1"/>
  <c r="AC127" i="2"/>
  <c r="AD127" i="2" s="1"/>
  <c r="Y127" i="2"/>
  <c r="Z127" i="2" s="1"/>
  <c r="U127" i="2"/>
  <c r="V127" i="2" s="1"/>
  <c r="Q127" i="2"/>
  <c r="R127" i="2" s="1"/>
  <c r="D127" i="2"/>
  <c r="BE126" i="2"/>
  <c r="BF126" i="2" s="1"/>
  <c r="BA126" i="2"/>
  <c r="BB126" i="2" s="1"/>
  <c r="AW126" i="2"/>
  <c r="AX126" i="2" s="1"/>
  <c r="AS126" i="2"/>
  <c r="AT126" i="2" s="1"/>
  <c r="AC126" i="2"/>
  <c r="AD126" i="2" s="1"/>
  <c r="Y126" i="2"/>
  <c r="Z126" i="2" s="1"/>
  <c r="U126" i="2"/>
  <c r="V126" i="2" s="1"/>
  <c r="Q126" i="2"/>
  <c r="R126" i="2" s="1"/>
  <c r="D126" i="2"/>
  <c r="BE125" i="2"/>
  <c r="BF125" i="2" s="1"/>
  <c r="BA125" i="2"/>
  <c r="BB125" i="2" s="1"/>
  <c r="AW125" i="2"/>
  <c r="AX125" i="2" s="1"/>
  <c r="AS125" i="2"/>
  <c r="AT125" i="2" s="1"/>
  <c r="AC125" i="2"/>
  <c r="AD125" i="2" s="1"/>
  <c r="Y125" i="2"/>
  <c r="Z125" i="2" s="1"/>
  <c r="U125" i="2"/>
  <c r="V125" i="2" s="1"/>
  <c r="Q125" i="2"/>
  <c r="R125" i="2" s="1"/>
  <c r="D125" i="2"/>
  <c r="BE124" i="2"/>
  <c r="BF124" i="2" s="1"/>
  <c r="BA124" i="2"/>
  <c r="BB124" i="2" s="1"/>
  <c r="AW124" i="2"/>
  <c r="AX124" i="2" s="1"/>
  <c r="AS124" i="2"/>
  <c r="AT124" i="2" s="1"/>
  <c r="AC124" i="2"/>
  <c r="AD124" i="2" s="1"/>
  <c r="Y124" i="2"/>
  <c r="Z124" i="2" s="1"/>
  <c r="U124" i="2"/>
  <c r="V124" i="2" s="1"/>
  <c r="Q124" i="2"/>
  <c r="R124" i="2" s="1"/>
  <c r="D124" i="2"/>
  <c r="BE123" i="2"/>
  <c r="BF123" i="2" s="1"/>
  <c r="BA123" i="2"/>
  <c r="BB123" i="2" s="1"/>
  <c r="AW123" i="2"/>
  <c r="AX123" i="2" s="1"/>
  <c r="AS123" i="2"/>
  <c r="AT123" i="2" s="1"/>
  <c r="AC123" i="2"/>
  <c r="AD123" i="2" s="1"/>
  <c r="Y123" i="2"/>
  <c r="Z123" i="2" s="1"/>
  <c r="U123" i="2"/>
  <c r="V123" i="2" s="1"/>
  <c r="Q123" i="2"/>
  <c r="R123" i="2" s="1"/>
  <c r="D123" i="2"/>
  <c r="BE122" i="2"/>
  <c r="BF122" i="2" s="1"/>
  <c r="BA122" i="2"/>
  <c r="BB122" i="2" s="1"/>
  <c r="AW122" i="2"/>
  <c r="AX122" i="2" s="1"/>
  <c r="AS122" i="2"/>
  <c r="AT122" i="2" s="1"/>
  <c r="AC122" i="2"/>
  <c r="AD122" i="2" s="1"/>
  <c r="Y122" i="2"/>
  <c r="Z122" i="2" s="1"/>
  <c r="U122" i="2"/>
  <c r="V122" i="2" s="1"/>
  <c r="Q122" i="2"/>
  <c r="R122" i="2" s="1"/>
  <c r="D122" i="2"/>
  <c r="BE121" i="2"/>
  <c r="BF121" i="2" s="1"/>
  <c r="BA121" i="2"/>
  <c r="BB121" i="2" s="1"/>
  <c r="AW121" i="2"/>
  <c r="AX121" i="2" s="1"/>
  <c r="AS121" i="2"/>
  <c r="AT121" i="2" s="1"/>
  <c r="AC121" i="2"/>
  <c r="AD121" i="2" s="1"/>
  <c r="Y121" i="2"/>
  <c r="Z121" i="2" s="1"/>
  <c r="U121" i="2"/>
  <c r="V121" i="2" s="1"/>
  <c r="Q121" i="2"/>
  <c r="R121" i="2" s="1"/>
  <c r="D121" i="2"/>
  <c r="BE120" i="2"/>
  <c r="BF120" i="2" s="1"/>
  <c r="BA120" i="2"/>
  <c r="BB120" i="2" s="1"/>
  <c r="AW120" i="2"/>
  <c r="AX120" i="2" s="1"/>
  <c r="AS120" i="2"/>
  <c r="AT120" i="2" s="1"/>
  <c r="AC120" i="2"/>
  <c r="AD120" i="2" s="1"/>
  <c r="Y120" i="2"/>
  <c r="Z120" i="2" s="1"/>
  <c r="U120" i="2"/>
  <c r="V120" i="2" s="1"/>
  <c r="Q120" i="2"/>
  <c r="R120" i="2" s="1"/>
  <c r="D120" i="2"/>
  <c r="BE119" i="2"/>
  <c r="BF119" i="2" s="1"/>
  <c r="BA119" i="2"/>
  <c r="BB119" i="2" s="1"/>
  <c r="AW119" i="2"/>
  <c r="AX119" i="2" s="1"/>
  <c r="AS119" i="2"/>
  <c r="AT119" i="2" s="1"/>
  <c r="AC119" i="2"/>
  <c r="AD119" i="2" s="1"/>
  <c r="Y119" i="2"/>
  <c r="Z119" i="2" s="1"/>
  <c r="U119" i="2"/>
  <c r="V119" i="2" s="1"/>
  <c r="Q119" i="2"/>
  <c r="R119" i="2" s="1"/>
  <c r="D119" i="2"/>
  <c r="BE118" i="2"/>
  <c r="BF118" i="2" s="1"/>
  <c r="BA118" i="2"/>
  <c r="BB118" i="2" s="1"/>
  <c r="AW118" i="2"/>
  <c r="AX118" i="2" s="1"/>
  <c r="AS118" i="2"/>
  <c r="AT118" i="2" s="1"/>
  <c r="AC118" i="2"/>
  <c r="AD118" i="2" s="1"/>
  <c r="Y118" i="2"/>
  <c r="Z118" i="2" s="1"/>
  <c r="U118" i="2"/>
  <c r="V118" i="2" s="1"/>
  <c r="Q118" i="2"/>
  <c r="R118" i="2" s="1"/>
  <c r="D118" i="2"/>
  <c r="BE117" i="2"/>
  <c r="BF117" i="2" s="1"/>
  <c r="BA117" i="2"/>
  <c r="BB117" i="2" s="1"/>
  <c r="AW117" i="2"/>
  <c r="AX117" i="2" s="1"/>
  <c r="AS117" i="2"/>
  <c r="AT117" i="2" s="1"/>
  <c r="AC117" i="2"/>
  <c r="AD117" i="2" s="1"/>
  <c r="Y117" i="2"/>
  <c r="Z117" i="2" s="1"/>
  <c r="U117" i="2"/>
  <c r="V117" i="2" s="1"/>
  <c r="Q117" i="2"/>
  <c r="R117" i="2" s="1"/>
  <c r="D117" i="2"/>
  <c r="BE116" i="2"/>
  <c r="BF116" i="2" s="1"/>
  <c r="BA116" i="2"/>
  <c r="BB116" i="2" s="1"/>
  <c r="AW116" i="2"/>
  <c r="AX116" i="2" s="1"/>
  <c r="AS116" i="2"/>
  <c r="AT116" i="2" s="1"/>
  <c r="AC116" i="2"/>
  <c r="AD116" i="2" s="1"/>
  <c r="Y116" i="2"/>
  <c r="Z116" i="2" s="1"/>
  <c r="U116" i="2"/>
  <c r="V116" i="2" s="1"/>
  <c r="Q116" i="2"/>
  <c r="R116" i="2" s="1"/>
  <c r="D116" i="2"/>
  <c r="BE115" i="2"/>
  <c r="BF115" i="2" s="1"/>
  <c r="BA115" i="2"/>
  <c r="BB115" i="2" s="1"/>
  <c r="AW115" i="2"/>
  <c r="AX115" i="2" s="1"/>
  <c r="AS115" i="2"/>
  <c r="AT115" i="2" s="1"/>
  <c r="AC115" i="2"/>
  <c r="AD115" i="2" s="1"/>
  <c r="Y115" i="2"/>
  <c r="Z115" i="2" s="1"/>
  <c r="U115" i="2"/>
  <c r="V115" i="2" s="1"/>
  <c r="Q115" i="2"/>
  <c r="R115" i="2" s="1"/>
  <c r="D115" i="2"/>
  <c r="BE114" i="2"/>
  <c r="BF114" i="2" s="1"/>
  <c r="BA114" i="2"/>
  <c r="BB114" i="2" s="1"/>
  <c r="AW114" i="2"/>
  <c r="AX114" i="2" s="1"/>
  <c r="AS114" i="2"/>
  <c r="AT114" i="2" s="1"/>
  <c r="AC114" i="2"/>
  <c r="AD114" i="2" s="1"/>
  <c r="Y114" i="2"/>
  <c r="Z114" i="2" s="1"/>
  <c r="U114" i="2"/>
  <c r="V114" i="2" s="1"/>
  <c r="Q114" i="2"/>
  <c r="R114" i="2" s="1"/>
  <c r="D114" i="2"/>
  <c r="BE113" i="2"/>
  <c r="BF113" i="2" s="1"/>
  <c r="BA113" i="2"/>
  <c r="BB113" i="2" s="1"/>
  <c r="AW113" i="2"/>
  <c r="AX113" i="2" s="1"/>
  <c r="AS113" i="2"/>
  <c r="AT113" i="2" s="1"/>
  <c r="AC113" i="2"/>
  <c r="AD113" i="2" s="1"/>
  <c r="Y113" i="2"/>
  <c r="Z113" i="2" s="1"/>
  <c r="U113" i="2"/>
  <c r="V113" i="2" s="1"/>
  <c r="Q113" i="2"/>
  <c r="R113" i="2" s="1"/>
  <c r="D113" i="2"/>
  <c r="BE112" i="2"/>
  <c r="BF112" i="2" s="1"/>
  <c r="BA112" i="2"/>
  <c r="BB112" i="2" s="1"/>
  <c r="AW112" i="2"/>
  <c r="AX112" i="2" s="1"/>
  <c r="AS112" i="2"/>
  <c r="AT112" i="2" s="1"/>
  <c r="AC112" i="2"/>
  <c r="AD112" i="2" s="1"/>
  <c r="Y112" i="2"/>
  <c r="Z112" i="2" s="1"/>
  <c r="U112" i="2"/>
  <c r="V112" i="2" s="1"/>
  <c r="Q112" i="2"/>
  <c r="R112" i="2" s="1"/>
  <c r="D112" i="2"/>
  <c r="BE111" i="2"/>
  <c r="BF111" i="2" s="1"/>
  <c r="BA111" i="2"/>
  <c r="BB111" i="2" s="1"/>
  <c r="AW111" i="2"/>
  <c r="AX111" i="2" s="1"/>
  <c r="AS111" i="2"/>
  <c r="AT111" i="2" s="1"/>
  <c r="AC111" i="2"/>
  <c r="AD111" i="2" s="1"/>
  <c r="Y111" i="2"/>
  <c r="Z111" i="2" s="1"/>
  <c r="U111" i="2"/>
  <c r="V111" i="2" s="1"/>
  <c r="Q111" i="2"/>
  <c r="R111" i="2" s="1"/>
  <c r="D111" i="2"/>
  <c r="BE110" i="2"/>
  <c r="BF110" i="2" s="1"/>
  <c r="BA110" i="2"/>
  <c r="BB110" i="2" s="1"/>
  <c r="AW110" i="2"/>
  <c r="AX110" i="2" s="1"/>
  <c r="AS110" i="2"/>
  <c r="AT110" i="2" s="1"/>
  <c r="AC110" i="2"/>
  <c r="AD110" i="2" s="1"/>
  <c r="Y110" i="2"/>
  <c r="Z110" i="2" s="1"/>
  <c r="U110" i="2"/>
  <c r="V110" i="2" s="1"/>
  <c r="Q110" i="2"/>
  <c r="R110" i="2" s="1"/>
  <c r="D110" i="2"/>
  <c r="BE109" i="2"/>
  <c r="BF109" i="2" s="1"/>
  <c r="BA109" i="2"/>
  <c r="BB109" i="2" s="1"/>
  <c r="AW109" i="2"/>
  <c r="AX109" i="2" s="1"/>
  <c r="AS109" i="2"/>
  <c r="AT109" i="2" s="1"/>
  <c r="AC109" i="2"/>
  <c r="AD109" i="2" s="1"/>
  <c r="Y109" i="2"/>
  <c r="Z109" i="2" s="1"/>
  <c r="U109" i="2"/>
  <c r="V109" i="2" s="1"/>
  <c r="Q109" i="2"/>
  <c r="R109" i="2" s="1"/>
  <c r="D109" i="2"/>
  <c r="BE108" i="2"/>
  <c r="BF108" i="2" s="1"/>
  <c r="BA108" i="2"/>
  <c r="BB108" i="2" s="1"/>
  <c r="AW108" i="2"/>
  <c r="AX108" i="2" s="1"/>
  <c r="AS108" i="2"/>
  <c r="AT108" i="2" s="1"/>
  <c r="AC108" i="2"/>
  <c r="AD108" i="2" s="1"/>
  <c r="Y108" i="2"/>
  <c r="Z108" i="2" s="1"/>
  <c r="U108" i="2"/>
  <c r="V108" i="2" s="1"/>
  <c r="Q108" i="2"/>
  <c r="R108" i="2" s="1"/>
  <c r="D108" i="2"/>
  <c r="BE107" i="2"/>
  <c r="BF107" i="2" s="1"/>
  <c r="BA107" i="2"/>
  <c r="BB107" i="2" s="1"/>
  <c r="AW107" i="2"/>
  <c r="AX107" i="2" s="1"/>
  <c r="AS107" i="2"/>
  <c r="AT107" i="2" s="1"/>
  <c r="AC107" i="2"/>
  <c r="AD107" i="2" s="1"/>
  <c r="Y107" i="2"/>
  <c r="Z107" i="2" s="1"/>
  <c r="U107" i="2"/>
  <c r="V107" i="2" s="1"/>
  <c r="Q107" i="2"/>
  <c r="R107" i="2" s="1"/>
  <c r="D107" i="2"/>
  <c r="BE106" i="2"/>
  <c r="BF106" i="2" s="1"/>
  <c r="BA106" i="2"/>
  <c r="BB106" i="2" s="1"/>
  <c r="AW106" i="2"/>
  <c r="AX106" i="2" s="1"/>
  <c r="AS106" i="2"/>
  <c r="AT106" i="2" s="1"/>
  <c r="AC106" i="2"/>
  <c r="AD106" i="2" s="1"/>
  <c r="Y106" i="2"/>
  <c r="Z106" i="2" s="1"/>
  <c r="U106" i="2"/>
  <c r="V106" i="2" s="1"/>
  <c r="Q106" i="2"/>
  <c r="R106" i="2" s="1"/>
  <c r="D106" i="2"/>
  <c r="BE105" i="2"/>
  <c r="BF105" i="2" s="1"/>
  <c r="BA105" i="2"/>
  <c r="BB105" i="2" s="1"/>
  <c r="AW105" i="2"/>
  <c r="AX105" i="2" s="1"/>
  <c r="AS105" i="2"/>
  <c r="AT105" i="2" s="1"/>
  <c r="AC105" i="2"/>
  <c r="AD105" i="2" s="1"/>
  <c r="Y105" i="2"/>
  <c r="Z105" i="2" s="1"/>
  <c r="U105" i="2"/>
  <c r="V105" i="2" s="1"/>
  <c r="Q105" i="2"/>
  <c r="R105" i="2" s="1"/>
  <c r="J105" i="2"/>
  <c r="D105" i="2"/>
  <c r="BE104" i="2"/>
  <c r="BF104" i="2" s="1"/>
  <c r="BA104" i="2"/>
  <c r="BB104" i="2" s="1"/>
  <c r="AW104" i="2"/>
  <c r="AX104" i="2" s="1"/>
  <c r="AS104" i="2"/>
  <c r="AT104" i="2" s="1"/>
  <c r="AC104" i="2"/>
  <c r="AD104" i="2" s="1"/>
  <c r="Y104" i="2"/>
  <c r="Z104" i="2" s="1"/>
  <c r="U104" i="2"/>
  <c r="V104" i="2" s="1"/>
  <c r="Q104" i="2"/>
  <c r="R104" i="2" s="1"/>
  <c r="D104" i="2"/>
  <c r="BE103" i="2"/>
  <c r="BF103" i="2" s="1"/>
  <c r="BA103" i="2"/>
  <c r="BB103" i="2" s="1"/>
  <c r="AW103" i="2"/>
  <c r="AX103" i="2" s="1"/>
  <c r="AS103" i="2"/>
  <c r="AT103" i="2" s="1"/>
  <c r="AC103" i="2"/>
  <c r="AD103" i="2" s="1"/>
  <c r="Y103" i="2"/>
  <c r="Z103" i="2" s="1"/>
  <c r="U103" i="2"/>
  <c r="V103" i="2" s="1"/>
  <c r="Q103" i="2"/>
  <c r="R103" i="2" s="1"/>
  <c r="D103" i="2"/>
  <c r="BE102" i="2"/>
  <c r="BF102" i="2" s="1"/>
  <c r="BA102" i="2"/>
  <c r="BB102" i="2" s="1"/>
  <c r="AW102" i="2"/>
  <c r="AX102" i="2" s="1"/>
  <c r="AS102" i="2"/>
  <c r="AT102" i="2" s="1"/>
  <c r="AC102" i="2"/>
  <c r="AD102" i="2" s="1"/>
  <c r="Y102" i="2"/>
  <c r="Z102" i="2" s="1"/>
  <c r="U102" i="2"/>
  <c r="V102" i="2" s="1"/>
  <c r="Q102" i="2"/>
  <c r="R102" i="2" s="1"/>
  <c r="D102" i="2"/>
  <c r="BE101" i="2"/>
  <c r="BF101" i="2" s="1"/>
  <c r="BA101" i="2"/>
  <c r="BB101" i="2" s="1"/>
  <c r="AW101" i="2"/>
  <c r="AX101" i="2" s="1"/>
  <c r="AS101" i="2"/>
  <c r="AT101" i="2" s="1"/>
  <c r="AC101" i="2"/>
  <c r="AD101" i="2" s="1"/>
  <c r="Y101" i="2"/>
  <c r="Z101" i="2" s="1"/>
  <c r="U101" i="2"/>
  <c r="V101" i="2" s="1"/>
  <c r="Q101" i="2"/>
  <c r="R101" i="2" s="1"/>
  <c r="J101" i="2"/>
  <c r="D101" i="2"/>
  <c r="BE100" i="2"/>
  <c r="BF100" i="2" s="1"/>
  <c r="BA100" i="2"/>
  <c r="BB100" i="2" s="1"/>
  <c r="AW100" i="2"/>
  <c r="AX100" i="2" s="1"/>
  <c r="AS100" i="2"/>
  <c r="AT100" i="2" s="1"/>
  <c r="AC100" i="2"/>
  <c r="AD100" i="2" s="1"/>
  <c r="Y100" i="2"/>
  <c r="Z100" i="2" s="1"/>
  <c r="U100" i="2"/>
  <c r="V100" i="2" s="1"/>
  <c r="Q100" i="2"/>
  <c r="R100" i="2" s="1"/>
  <c r="D100" i="2"/>
  <c r="BE99" i="2"/>
  <c r="BF99" i="2" s="1"/>
  <c r="BA99" i="2"/>
  <c r="BB99" i="2" s="1"/>
  <c r="AW99" i="2"/>
  <c r="AX99" i="2" s="1"/>
  <c r="AS99" i="2"/>
  <c r="AT99" i="2" s="1"/>
  <c r="AC99" i="2"/>
  <c r="AD99" i="2" s="1"/>
  <c r="Y99" i="2"/>
  <c r="Z99" i="2" s="1"/>
  <c r="U99" i="2"/>
  <c r="V99" i="2" s="1"/>
  <c r="Q99" i="2"/>
  <c r="R99" i="2" s="1"/>
  <c r="D99" i="2"/>
  <c r="BE98" i="2"/>
  <c r="BF98" i="2" s="1"/>
  <c r="BA98" i="2"/>
  <c r="BB98" i="2" s="1"/>
  <c r="AW98" i="2"/>
  <c r="AX98" i="2" s="1"/>
  <c r="AS98" i="2"/>
  <c r="AT98" i="2" s="1"/>
  <c r="AC98" i="2"/>
  <c r="AD98" i="2" s="1"/>
  <c r="Y98" i="2"/>
  <c r="Z98" i="2" s="1"/>
  <c r="U98" i="2"/>
  <c r="V98" i="2" s="1"/>
  <c r="Q98" i="2"/>
  <c r="R98" i="2" s="1"/>
  <c r="D98" i="2"/>
  <c r="BE97" i="2"/>
  <c r="BF97" i="2" s="1"/>
  <c r="BA97" i="2"/>
  <c r="BB97" i="2" s="1"/>
  <c r="AW97" i="2"/>
  <c r="AX97" i="2" s="1"/>
  <c r="AS97" i="2"/>
  <c r="AT97" i="2" s="1"/>
  <c r="AC97" i="2"/>
  <c r="AD97" i="2" s="1"/>
  <c r="Y97" i="2"/>
  <c r="Z97" i="2" s="1"/>
  <c r="U97" i="2"/>
  <c r="V97" i="2" s="1"/>
  <c r="Q97" i="2"/>
  <c r="R97" i="2" s="1"/>
  <c r="D97" i="2"/>
  <c r="BE96" i="2"/>
  <c r="BF96" i="2" s="1"/>
  <c r="BA96" i="2"/>
  <c r="BB96" i="2" s="1"/>
  <c r="AW96" i="2"/>
  <c r="AX96" i="2" s="1"/>
  <c r="AS96" i="2"/>
  <c r="AT96" i="2" s="1"/>
  <c r="AC96" i="2"/>
  <c r="AD96" i="2" s="1"/>
  <c r="Y96" i="2"/>
  <c r="Z96" i="2" s="1"/>
  <c r="U96" i="2"/>
  <c r="V96" i="2" s="1"/>
  <c r="Q96" i="2"/>
  <c r="R96" i="2" s="1"/>
  <c r="D96" i="2"/>
  <c r="BE95" i="2"/>
  <c r="BF95" i="2" s="1"/>
  <c r="BA95" i="2"/>
  <c r="BB95" i="2" s="1"/>
  <c r="AW95" i="2"/>
  <c r="AX95" i="2" s="1"/>
  <c r="AS95" i="2"/>
  <c r="AT95" i="2" s="1"/>
  <c r="AC95" i="2"/>
  <c r="AD95" i="2" s="1"/>
  <c r="Y95" i="2"/>
  <c r="Z95" i="2" s="1"/>
  <c r="U95" i="2"/>
  <c r="V95" i="2" s="1"/>
  <c r="Q95" i="2"/>
  <c r="R95" i="2" s="1"/>
  <c r="J95" i="2"/>
  <c r="D95" i="2"/>
  <c r="BE94" i="2"/>
  <c r="BF94" i="2" s="1"/>
  <c r="BA94" i="2"/>
  <c r="BB94" i="2" s="1"/>
  <c r="AW94" i="2"/>
  <c r="AX94" i="2" s="1"/>
  <c r="AS94" i="2"/>
  <c r="AT94" i="2" s="1"/>
  <c r="AC94" i="2"/>
  <c r="AD94" i="2" s="1"/>
  <c r="Y94" i="2"/>
  <c r="Z94" i="2" s="1"/>
  <c r="U94" i="2"/>
  <c r="V94" i="2" s="1"/>
  <c r="Q94" i="2"/>
  <c r="R94" i="2" s="1"/>
  <c r="D94" i="2"/>
  <c r="BE93" i="2"/>
  <c r="BF93" i="2" s="1"/>
  <c r="BA93" i="2"/>
  <c r="BB93" i="2" s="1"/>
  <c r="AW93" i="2"/>
  <c r="AX93" i="2" s="1"/>
  <c r="AS93" i="2"/>
  <c r="AT93" i="2" s="1"/>
  <c r="AC93" i="2"/>
  <c r="AD93" i="2" s="1"/>
  <c r="Y93" i="2"/>
  <c r="Z93" i="2" s="1"/>
  <c r="U93" i="2"/>
  <c r="V93" i="2" s="1"/>
  <c r="Q93" i="2"/>
  <c r="R93" i="2" s="1"/>
  <c r="D93" i="2"/>
  <c r="BE92" i="2"/>
  <c r="BF92" i="2" s="1"/>
  <c r="BA92" i="2"/>
  <c r="BB92" i="2" s="1"/>
  <c r="AW92" i="2"/>
  <c r="AX92" i="2" s="1"/>
  <c r="AS92" i="2"/>
  <c r="AT92" i="2" s="1"/>
  <c r="AC92" i="2"/>
  <c r="AD92" i="2" s="1"/>
  <c r="Y92" i="2"/>
  <c r="Z92" i="2" s="1"/>
  <c r="U92" i="2"/>
  <c r="V92" i="2" s="1"/>
  <c r="Q92" i="2"/>
  <c r="R92" i="2" s="1"/>
  <c r="D92" i="2"/>
  <c r="BE91" i="2"/>
  <c r="BF91" i="2" s="1"/>
  <c r="BA91" i="2"/>
  <c r="BB91" i="2" s="1"/>
  <c r="AW91" i="2"/>
  <c r="AX91" i="2" s="1"/>
  <c r="AS91" i="2"/>
  <c r="AT91" i="2" s="1"/>
  <c r="AC91" i="2"/>
  <c r="AD91" i="2" s="1"/>
  <c r="Y91" i="2"/>
  <c r="Z91" i="2" s="1"/>
  <c r="U91" i="2"/>
  <c r="V91" i="2" s="1"/>
  <c r="Q91" i="2"/>
  <c r="R91" i="2" s="1"/>
  <c r="J91" i="2"/>
  <c r="D91" i="2"/>
  <c r="BE90" i="2"/>
  <c r="BF90" i="2" s="1"/>
  <c r="BA90" i="2"/>
  <c r="BB90" i="2" s="1"/>
  <c r="AW90" i="2"/>
  <c r="AX90" i="2" s="1"/>
  <c r="AS90" i="2"/>
  <c r="AT90" i="2" s="1"/>
  <c r="AC90" i="2"/>
  <c r="AD90" i="2" s="1"/>
  <c r="Y90" i="2"/>
  <c r="Z90" i="2" s="1"/>
  <c r="U90" i="2"/>
  <c r="V90" i="2" s="1"/>
  <c r="Q90" i="2"/>
  <c r="R90" i="2" s="1"/>
  <c r="D90" i="2"/>
  <c r="BE89" i="2"/>
  <c r="BF89" i="2" s="1"/>
  <c r="BA89" i="2"/>
  <c r="BB89" i="2" s="1"/>
  <c r="AW89" i="2"/>
  <c r="AX89" i="2" s="1"/>
  <c r="AS89" i="2"/>
  <c r="AT89" i="2" s="1"/>
  <c r="AC89" i="2"/>
  <c r="AD89" i="2" s="1"/>
  <c r="Y89" i="2"/>
  <c r="Z89" i="2" s="1"/>
  <c r="U89" i="2"/>
  <c r="V89" i="2" s="1"/>
  <c r="Q89" i="2"/>
  <c r="R89" i="2" s="1"/>
  <c r="D89" i="2"/>
  <c r="BE88" i="2"/>
  <c r="BF88" i="2" s="1"/>
  <c r="BA88" i="2"/>
  <c r="BB88" i="2" s="1"/>
  <c r="AW88" i="2"/>
  <c r="AX88" i="2" s="1"/>
  <c r="AS88" i="2"/>
  <c r="AT88" i="2" s="1"/>
  <c r="AC88" i="2"/>
  <c r="AD88" i="2" s="1"/>
  <c r="Y88" i="2"/>
  <c r="Z88" i="2" s="1"/>
  <c r="U88" i="2"/>
  <c r="V88" i="2" s="1"/>
  <c r="Q88" i="2"/>
  <c r="R88" i="2" s="1"/>
  <c r="D88" i="2"/>
  <c r="BE87" i="2"/>
  <c r="BF87" i="2" s="1"/>
  <c r="BA87" i="2"/>
  <c r="BB87" i="2" s="1"/>
  <c r="AW87" i="2"/>
  <c r="AX87" i="2" s="1"/>
  <c r="AS87" i="2"/>
  <c r="AT87" i="2" s="1"/>
  <c r="AC87" i="2"/>
  <c r="AD87" i="2" s="1"/>
  <c r="Y87" i="2"/>
  <c r="Z87" i="2" s="1"/>
  <c r="U87" i="2"/>
  <c r="V87" i="2" s="1"/>
  <c r="Q87" i="2"/>
  <c r="R87" i="2" s="1"/>
  <c r="J87" i="2"/>
  <c r="D87" i="2"/>
  <c r="BE86" i="2"/>
  <c r="BF86" i="2" s="1"/>
  <c r="BA86" i="2"/>
  <c r="BB86" i="2" s="1"/>
  <c r="AW86" i="2"/>
  <c r="AX86" i="2" s="1"/>
  <c r="AS86" i="2"/>
  <c r="AT86" i="2" s="1"/>
  <c r="AC86" i="2"/>
  <c r="AD86" i="2" s="1"/>
  <c r="Y86" i="2"/>
  <c r="Z86" i="2" s="1"/>
  <c r="U86" i="2"/>
  <c r="V86" i="2" s="1"/>
  <c r="Q86" i="2"/>
  <c r="R86" i="2" s="1"/>
  <c r="D86" i="2"/>
  <c r="BE85" i="2"/>
  <c r="BF85" i="2" s="1"/>
  <c r="BA85" i="2"/>
  <c r="BB85" i="2" s="1"/>
  <c r="AW85" i="2"/>
  <c r="AX85" i="2" s="1"/>
  <c r="AS85" i="2"/>
  <c r="AT85" i="2" s="1"/>
  <c r="AC85" i="2"/>
  <c r="AD85" i="2" s="1"/>
  <c r="Y85" i="2"/>
  <c r="Z85" i="2" s="1"/>
  <c r="U85" i="2"/>
  <c r="V85" i="2" s="1"/>
  <c r="Q85" i="2"/>
  <c r="R85" i="2" s="1"/>
  <c r="J85" i="2"/>
  <c r="D85" i="2"/>
  <c r="BE84" i="2"/>
  <c r="BF84" i="2" s="1"/>
  <c r="BA84" i="2"/>
  <c r="BB84" i="2" s="1"/>
  <c r="AW84" i="2"/>
  <c r="AX84" i="2" s="1"/>
  <c r="AS84" i="2"/>
  <c r="AT84" i="2" s="1"/>
  <c r="AC84" i="2"/>
  <c r="AD84" i="2" s="1"/>
  <c r="Y84" i="2"/>
  <c r="Z84" i="2" s="1"/>
  <c r="U84" i="2"/>
  <c r="V84" i="2" s="1"/>
  <c r="Q84" i="2"/>
  <c r="R84" i="2" s="1"/>
  <c r="D84" i="2"/>
  <c r="BE83" i="2"/>
  <c r="BF83" i="2" s="1"/>
  <c r="BA83" i="2"/>
  <c r="BB83" i="2" s="1"/>
  <c r="AW83" i="2"/>
  <c r="AX83" i="2" s="1"/>
  <c r="AS83" i="2"/>
  <c r="AT83" i="2" s="1"/>
  <c r="AC83" i="2"/>
  <c r="AD83" i="2" s="1"/>
  <c r="Y83" i="2"/>
  <c r="Z83" i="2" s="1"/>
  <c r="U83" i="2"/>
  <c r="V83" i="2" s="1"/>
  <c r="Q83" i="2"/>
  <c r="R83" i="2" s="1"/>
  <c r="J83" i="2"/>
  <c r="D83" i="2"/>
  <c r="BE82" i="2"/>
  <c r="BF82" i="2" s="1"/>
  <c r="BA82" i="2"/>
  <c r="BB82" i="2" s="1"/>
  <c r="AW82" i="2"/>
  <c r="AX82" i="2" s="1"/>
  <c r="AS82" i="2"/>
  <c r="AT82" i="2" s="1"/>
  <c r="AC82" i="2"/>
  <c r="AD82" i="2" s="1"/>
  <c r="Y82" i="2"/>
  <c r="Z82" i="2" s="1"/>
  <c r="U82" i="2"/>
  <c r="V82" i="2" s="1"/>
  <c r="Q82" i="2"/>
  <c r="R82" i="2" s="1"/>
  <c r="D82" i="2"/>
  <c r="BE81" i="2"/>
  <c r="BF81" i="2" s="1"/>
  <c r="BA81" i="2"/>
  <c r="BB81" i="2" s="1"/>
  <c r="AW81" i="2"/>
  <c r="AX81" i="2" s="1"/>
  <c r="AS81" i="2"/>
  <c r="AT81" i="2" s="1"/>
  <c r="AC81" i="2"/>
  <c r="AD81" i="2" s="1"/>
  <c r="Y81" i="2"/>
  <c r="Z81" i="2" s="1"/>
  <c r="U81" i="2"/>
  <c r="V81" i="2" s="1"/>
  <c r="Q81" i="2"/>
  <c r="R81" i="2" s="1"/>
  <c r="D81" i="2"/>
  <c r="BE80" i="2"/>
  <c r="BF80" i="2" s="1"/>
  <c r="BA80" i="2"/>
  <c r="BB80" i="2" s="1"/>
  <c r="AW80" i="2"/>
  <c r="AX80" i="2" s="1"/>
  <c r="AS80" i="2"/>
  <c r="AT80" i="2" s="1"/>
  <c r="AC80" i="2"/>
  <c r="AD80" i="2" s="1"/>
  <c r="Y80" i="2"/>
  <c r="Z80" i="2" s="1"/>
  <c r="U80" i="2"/>
  <c r="V80" i="2" s="1"/>
  <c r="Q80" i="2"/>
  <c r="R80" i="2" s="1"/>
  <c r="J80" i="2"/>
  <c r="D80" i="2"/>
  <c r="BE79" i="2"/>
  <c r="BF79" i="2" s="1"/>
  <c r="BA79" i="2"/>
  <c r="BB79" i="2" s="1"/>
  <c r="AW79" i="2"/>
  <c r="AX79" i="2" s="1"/>
  <c r="AS79" i="2"/>
  <c r="AT79" i="2" s="1"/>
  <c r="AC79" i="2"/>
  <c r="AD79" i="2" s="1"/>
  <c r="Y79" i="2"/>
  <c r="Z79" i="2" s="1"/>
  <c r="U79" i="2"/>
  <c r="V79" i="2" s="1"/>
  <c r="Q79" i="2"/>
  <c r="R79" i="2" s="1"/>
  <c r="D79" i="2"/>
  <c r="BE78" i="2"/>
  <c r="BF78" i="2" s="1"/>
  <c r="BA78" i="2"/>
  <c r="BB78" i="2" s="1"/>
  <c r="AW78" i="2"/>
  <c r="AX78" i="2" s="1"/>
  <c r="AS78" i="2"/>
  <c r="AT78" i="2" s="1"/>
  <c r="AC78" i="2"/>
  <c r="AD78" i="2" s="1"/>
  <c r="Y78" i="2"/>
  <c r="Z78" i="2" s="1"/>
  <c r="U78" i="2"/>
  <c r="V78" i="2" s="1"/>
  <c r="Q78" i="2"/>
  <c r="R78" i="2" s="1"/>
  <c r="D78" i="2"/>
  <c r="BE77" i="2"/>
  <c r="BF77" i="2" s="1"/>
  <c r="BA77" i="2"/>
  <c r="BB77" i="2" s="1"/>
  <c r="AW77" i="2"/>
  <c r="AX77" i="2" s="1"/>
  <c r="AS77" i="2"/>
  <c r="AT77" i="2" s="1"/>
  <c r="AC77" i="2"/>
  <c r="AD77" i="2" s="1"/>
  <c r="Y77" i="2"/>
  <c r="Z77" i="2" s="1"/>
  <c r="U77" i="2"/>
  <c r="V77" i="2" s="1"/>
  <c r="Q77" i="2"/>
  <c r="R77" i="2" s="1"/>
  <c r="D77" i="2"/>
  <c r="BE76" i="2"/>
  <c r="BF76" i="2" s="1"/>
  <c r="BA76" i="2"/>
  <c r="BB76" i="2" s="1"/>
  <c r="AW76" i="2"/>
  <c r="AX76" i="2" s="1"/>
  <c r="AS76" i="2"/>
  <c r="AT76" i="2" s="1"/>
  <c r="AC76" i="2"/>
  <c r="AD76" i="2" s="1"/>
  <c r="Y76" i="2"/>
  <c r="Z76" i="2" s="1"/>
  <c r="U76" i="2"/>
  <c r="V76" i="2" s="1"/>
  <c r="Q76" i="2"/>
  <c r="R76" i="2" s="1"/>
  <c r="J76" i="2"/>
  <c r="D76" i="2"/>
  <c r="BE75" i="2"/>
  <c r="BF75" i="2" s="1"/>
  <c r="BA75" i="2"/>
  <c r="BB75" i="2" s="1"/>
  <c r="AW75" i="2"/>
  <c r="AX75" i="2" s="1"/>
  <c r="AS75" i="2"/>
  <c r="AT75" i="2" s="1"/>
  <c r="AC75" i="2"/>
  <c r="AD75" i="2" s="1"/>
  <c r="Y75" i="2"/>
  <c r="Z75" i="2" s="1"/>
  <c r="U75" i="2"/>
  <c r="V75" i="2" s="1"/>
  <c r="Q75" i="2"/>
  <c r="R75" i="2" s="1"/>
  <c r="D75" i="2"/>
  <c r="BE74" i="2"/>
  <c r="BF74" i="2" s="1"/>
  <c r="BA74" i="2"/>
  <c r="BB74" i="2" s="1"/>
  <c r="AW74" i="2"/>
  <c r="AX74" i="2" s="1"/>
  <c r="AS74" i="2"/>
  <c r="AT74" i="2" s="1"/>
  <c r="AC74" i="2"/>
  <c r="AD74" i="2" s="1"/>
  <c r="Y74" i="2"/>
  <c r="Z74" i="2" s="1"/>
  <c r="U74" i="2"/>
  <c r="V74" i="2" s="1"/>
  <c r="Q74" i="2"/>
  <c r="R74" i="2" s="1"/>
  <c r="D74" i="2"/>
  <c r="BE73" i="2"/>
  <c r="BF73" i="2" s="1"/>
  <c r="BA73" i="2"/>
  <c r="BB73" i="2" s="1"/>
  <c r="AW73" i="2"/>
  <c r="AX73" i="2" s="1"/>
  <c r="AS73" i="2"/>
  <c r="AT73" i="2" s="1"/>
  <c r="AC73" i="2"/>
  <c r="AD73" i="2" s="1"/>
  <c r="Y73" i="2"/>
  <c r="Z73" i="2" s="1"/>
  <c r="U73" i="2"/>
  <c r="V73" i="2" s="1"/>
  <c r="Q73" i="2"/>
  <c r="R73" i="2" s="1"/>
  <c r="D73" i="2"/>
  <c r="BE72" i="2"/>
  <c r="BF72" i="2" s="1"/>
  <c r="BA72" i="2"/>
  <c r="BB72" i="2" s="1"/>
  <c r="AW72" i="2"/>
  <c r="AX72" i="2" s="1"/>
  <c r="AS72" i="2"/>
  <c r="AT72" i="2" s="1"/>
  <c r="AC72" i="2"/>
  <c r="AD72" i="2" s="1"/>
  <c r="Y72" i="2"/>
  <c r="Z72" i="2" s="1"/>
  <c r="U72" i="2"/>
  <c r="V72" i="2" s="1"/>
  <c r="Q72" i="2"/>
  <c r="R72" i="2" s="1"/>
  <c r="J72" i="2"/>
  <c r="D72" i="2"/>
  <c r="BE71" i="2"/>
  <c r="BF71" i="2" s="1"/>
  <c r="BA71" i="2"/>
  <c r="BB71" i="2" s="1"/>
  <c r="AW71" i="2"/>
  <c r="AX71" i="2" s="1"/>
  <c r="AS71" i="2"/>
  <c r="AT71" i="2" s="1"/>
  <c r="AC71" i="2"/>
  <c r="AD71" i="2" s="1"/>
  <c r="Y71" i="2"/>
  <c r="Z71" i="2" s="1"/>
  <c r="U71" i="2"/>
  <c r="V71" i="2" s="1"/>
  <c r="Q71" i="2"/>
  <c r="R71" i="2" s="1"/>
  <c r="D71" i="2"/>
  <c r="BE70" i="2"/>
  <c r="BF70" i="2" s="1"/>
  <c r="BA70" i="2"/>
  <c r="BB70" i="2" s="1"/>
  <c r="AW70" i="2"/>
  <c r="AX70" i="2" s="1"/>
  <c r="AS70" i="2"/>
  <c r="AT70" i="2" s="1"/>
  <c r="AC70" i="2"/>
  <c r="AD70" i="2" s="1"/>
  <c r="Y70" i="2"/>
  <c r="Z70" i="2" s="1"/>
  <c r="U70" i="2"/>
  <c r="V70" i="2" s="1"/>
  <c r="Q70" i="2"/>
  <c r="R70" i="2" s="1"/>
  <c r="D70" i="2"/>
  <c r="BE69" i="2"/>
  <c r="BF69" i="2" s="1"/>
  <c r="BA69" i="2"/>
  <c r="BB69" i="2" s="1"/>
  <c r="AW69" i="2"/>
  <c r="AX69" i="2" s="1"/>
  <c r="AS69" i="2"/>
  <c r="AT69" i="2" s="1"/>
  <c r="AC69" i="2"/>
  <c r="AD69" i="2" s="1"/>
  <c r="Y69" i="2"/>
  <c r="Z69" i="2" s="1"/>
  <c r="U69" i="2"/>
  <c r="V69" i="2" s="1"/>
  <c r="Q69" i="2"/>
  <c r="R69" i="2" s="1"/>
  <c r="D69" i="2"/>
  <c r="BE68" i="2"/>
  <c r="BF68" i="2" s="1"/>
  <c r="BA68" i="2"/>
  <c r="BB68" i="2" s="1"/>
  <c r="AW68" i="2"/>
  <c r="AX68" i="2" s="1"/>
  <c r="AS68" i="2"/>
  <c r="AT68" i="2" s="1"/>
  <c r="AC68" i="2"/>
  <c r="AD68" i="2" s="1"/>
  <c r="Y68" i="2"/>
  <c r="Z68" i="2" s="1"/>
  <c r="U68" i="2"/>
  <c r="V68" i="2" s="1"/>
  <c r="Q68" i="2"/>
  <c r="R68" i="2" s="1"/>
  <c r="J68" i="2"/>
  <c r="D68" i="2"/>
  <c r="BE67" i="2"/>
  <c r="BF67" i="2" s="1"/>
  <c r="BA67" i="2"/>
  <c r="BB67" i="2" s="1"/>
  <c r="AW67" i="2"/>
  <c r="AX67" i="2" s="1"/>
  <c r="AS67" i="2"/>
  <c r="AT67" i="2" s="1"/>
  <c r="AC67" i="2"/>
  <c r="AD67" i="2" s="1"/>
  <c r="Y67" i="2"/>
  <c r="Z67" i="2" s="1"/>
  <c r="U67" i="2"/>
  <c r="V67" i="2" s="1"/>
  <c r="Q67" i="2"/>
  <c r="R67" i="2" s="1"/>
  <c r="D67" i="2"/>
  <c r="BE66" i="2"/>
  <c r="BF66" i="2" s="1"/>
  <c r="BA66" i="2"/>
  <c r="BB66" i="2" s="1"/>
  <c r="AW66" i="2"/>
  <c r="AX66" i="2" s="1"/>
  <c r="AS66" i="2"/>
  <c r="AT66" i="2" s="1"/>
  <c r="AC66" i="2"/>
  <c r="AD66" i="2" s="1"/>
  <c r="Y66" i="2"/>
  <c r="Z66" i="2" s="1"/>
  <c r="U66" i="2"/>
  <c r="V66" i="2" s="1"/>
  <c r="Q66" i="2"/>
  <c r="R66" i="2" s="1"/>
  <c r="D66" i="2"/>
  <c r="BE65" i="2"/>
  <c r="BF65" i="2" s="1"/>
  <c r="BA65" i="2"/>
  <c r="BB65" i="2" s="1"/>
  <c r="AW65" i="2"/>
  <c r="AX65" i="2" s="1"/>
  <c r="AS65" i="2"/>
  <c r="AT65" i="2" s="1"/>
  <c r="AC65" i="2"/>
  <c r="AD65" i="2" s="1"/>
  <c r="Y65" i="2"/>
  <c r="Z65" i="2" s="1"/>
  <c r="U65" i="2"/>
  <c r="V65" i="2" s="1"/>
  <c r="Q65" i="2"/>
  <c r="R65" i="2" s="1"/>
  <c r="D65" i="2"/>
  <c r="BE64" i="2"/>
  <c r="BF64" i="2" s="1"/>
  <c r="BA64" i="2"/>
  <c r="BB64" i="2" s="1"/>
  <c r="AW64" i="2"/>
  <c r="AX64" i="2" s="1"/>
  <c r="AS64" i="2"/>
  <c r="AT64" i="2" s="1"/>
  <c r="AC64" i="2"/>
  <c r="AD64" i="2" s="1"/>
  <c r="Y64" i="2"/>
  <c r="Z64" i="2" s="1"/>
  <c r="U64" i="2"/>
  <c r="V64" i="2" s="1"/>
  <c r="Q64" i="2"/>
  <c r="R64" i="2" s="1"/>
  <c r="J64" i="2"/>
  <c r="D64" i="2"/>
  <c r="BE63" i="2"/>
  <c r="BF63" i="2" s="1"/>
  <c r="BA63" i="2"/>
  <c r="BB63" i="2" s="1"/>
  <c r="AW63" i="2"/>
  <c r="AX63" i="2" s="1"/>
  <c r="AS63" i="2"/>
  <c r="AT63" i="2" s="1"/>
  <c r="AC63" i="2"/>
  <c r="AD63" i="2" s="1"/>
  <c r="Y63" i="2"/>
  <c r="Z63" i="2" s="1"/>
  <c r="U63" i="2"/>
  <c r="V63" i="2" s="1"/>
  <c r="Q63" i="2"/>
  <c r="R63" i="2" s="1"/>
  <c r="D63" i="2"/>
  <c r="BE62" i="2"/>
  <c r="BF62" i="2" s="1"/>
  <c r="BA62" i="2"/>
  <c r="BB62" i="2" s="1"/>
  <c r="AW62" i="2"/>
  <c r="AX62" i="2" s="1"/>
  <c r="AS62" i="2"/>
  <c r="AT62" i="2" s="1"/>
  <c r="AC62" i="2"/>
  <c r="AD62" i="2" s="1"/>
  <c r="Y62" i="2"/>
  <c r="Z62" i="2" s="1"/>
  <c r="U62" i="2"/>
  <c r="V62" i="2" s="1"/>
  <c r="Q62" i="2"/>
  <c r="R62" i="2" s="1"/>
  <c r="D62" i="2"/>
  <c r="BE61" i="2"/>
  <c r="BF61" i="2" s="1"/>
  <c r="BA61" i="2"/>
  <c r="BB61" i="2" s="1"/>
  <c r="AW61" i="2"/>
  <c r="AX61" i="2" s="1"/>
  <c r="AS61" i="2"/>
  <c r="AT61" i="2" s="1"/>
  <c r="AC61" i="2"/>
  <c r="AD61" i="2" s="1"/>
  <c r="Y61" i="2"/>
  <c r="Z61" i="2" s="1"/>
  <c r="U61" i="2"/>
  <c r="V61" i="2" s="1"/>
  <c r="Q61" i="2"/>
  <c r="R61" i="2" s="1"/>
  <c r="D61" i="2"/>
  <c r="BE60" i="2"/>
  <c r="BF60" i="2" s="1"/>
  <c r="BA60" i="2"/>
  <c r="BB60" i="2" s="1"/>
  <c r="AW60" i="2"/>
  <c r="AX60" i="2" s="1"/>
  <c r="AS60" i="2"/>
  <c r="AT60" i="2" s="1"/>
  <c r="AC60" i="2"/>
  <c r="AD60" i="2" s="1"/>
  <c r="Y60" i="2"/>
  <c r="Z60" i="2" s="1"/>
  <c r="U60" i="2"/>
  <c r="V60" i="2" s="1"/>
  <c r="Q60" i="2"/>
  <c r="R60" i="2" s="1"/>
  <c r="J60" i="2"/>
  <c r="D60" i="2"/>
  <c r="BE59" i="2"/>
  <c r="BF59" i="2" s="1"/>
  <c r="BA59" i="2"/>
  <c r="BB59" i="2" s="1"/>
  <c r="AW59" i="2"/>
  <c r="AX59" i="2" s="1"/>
  <c r="AS59" i="2"/>
  <c r="AT59" i="2" s="1"/>
  <c r="AC59" i="2"/>
  <c r="AD59" i="2" s="1"/>
  <c r="Y59" i="2"/>
  <c r="Z59" i="2" s="1"/>
  <c r="U59" i="2"/>
  <c r="V59" i="2" s="1"/>
  <c r="Q59" i="2"/>
  <c r="R59" i="2" s="1"/>
  <c r="D59" i="2"/>
  <c r="BE58" i="2"/>
  <c r="BF58" i="2" s="1"/>
  <c r="BA58" i="2"/>
  <c r="BB58" i="2" s="1"/>
  <c r="AW58" i="2"/>
  <c r="AX58" i="2" s="1"/>
  <c r="AS58" i="2"/>
  <c r="AT58" i="2" s="1"/>
  <c r="AC58" i="2"/>
  <c r="AD58" i="2" s="1"/>
  <c r="Y58" i="2"/>
  <c r="Z58" i="2" s="1"/>
  <c r="U58" i="2"/>
  <c r="V58" i="2" s="1"/>
  <c r="Q58" i="2"/>
  <c r="R58" i="2" s="1"/>
  <c r="D58" i="2"/>
  <c r="BE57" i="2"/>
  <c r="BF57" i="2" s="1"/>
  <c r="BA57" i="2"/>
  <c r="BB57" i="2" s="1"/>
  <c r="AW57" i="2"/>
  <c r="AX57" i="2" s="1"/>
  <c r="AS57" i="2"/>
  <c r="AT57" i="2" s="1"/>
  <c r="AC57" i="2"/>
  <c r="AD57" i="2" s="1"/>
  <c r="Y57" i="2"/>
  <c r="Z57" i="2" s="1"/>
  <c r="U57" i="2"/>
  <c r="V57" i="2" s="1"/>
  <c r="Q57" i="2"/>
  <c r="R57" i="2" s="1"/>
  <c r="D57" i="2"/>
  <c r="BE56" i="2"/>
  <c r="BF56" i="2" s="1"/>
  <c r="BA56" i="2"/>
  <c r="BB56" i="2" s="1"/>
  <c r="AW56" i="2"/>
  <c r="AX56" i="2" s="1"/>
  <c r="AS56" i="2"/>
  <c r="AT56" i="2" s="1"/>
  <c r="AC56" i="2"/>
  <c r="AD56" i="2" s="1"/>
  <c r="Y56" i="2"/>
  <c r="Z56" i="2" s="1"/>
  <c r="U56" i="2"/>
  <c r="V56" i="2" s="1"/>
  <c r="Q56" i="2"/>
  <c r="R56" i="2" s="1"/>
  <c r="D56" i="2"/>
  <c r="BE55" i="2"/>
  <c r="BF55" i="2" s="1"/>
  <c r="BA55" i="2"/>
  <c r="BB55" i="2" s="1"/>
  <c r="AW55" i="2"/>
  <c r="AX55" i="2" s="1"/>
  <c r="AS55" i="2"/>
  <c r="AT55" i="2" s="1"/>
  <c r="AC55" i="2"/>
  <c r="AD55" i="2" s="1"/>
  <c r="Y55" i="2"/>
  <c r="Z55" i="2" s="1"/>
  <c r="U55" i="2"/>
  <c r="V55" i="2" s="1"/>
  <c r="Q55" i="2"/>
  <c r="R55" i="2" s="1"/>
  <c r="D55" i="2"/>
  <c r="BE54" i="2"/>
  <c r="BF54" i="2" s="1"/>
  <c r="BA54" i="2"/>
  <c r="BB54" i="2" s="1"/>
  <c r="AW54" i="2"/>
  <c r="AX54" i="2" s="1"/>
  <c r="AS54" i="2"/>
  <c r="AT54" i="2" s="1"/>
  <c r="AC54" i="2"/>
  <c r="AD54" i="2" s="1"/>
  <c r="Y54" i="2"/>
  <c r="Z54" i="2" s="1"/>
  <c r="U54" i="2"/>
  <c r="V54" i="2" s="1"/>
  <c r="Q54" i="2"/>
  <c r="R54" i="2" s="1"/>
  <c r="D54" i="2"/>
  <c r="BE53" i="2"/>
  <c r="BF53" i="2" s="1"/>
  <c r="BA53" i="2"/>
  <c r="BB53" i="2" s="1"/>
  <c r="AW53" i="2"/>
  <c r="AX53" i="2" s="1"/>
  <c r="AS53" i="2"/>
  <c r="AT53" i="2" s="1"/>
  <c r="AC53" i="2"/>
  <c r="AD53" i="2" s="1"/>
  <c r="Y53" i="2"/>
  <c r="Z53" i="2" s="1"/>
  <c r="U53" i="2"/>
  <c r="V53" i="2" s="1"/>
  <c r="Q53" i="2"/>
  <c r="R53" i="2" s="1"/>
  <c r="D53" i="2"/>
  <c r="BE52" i="2"/>
  <c r="BF52" i="2" s="1"/>
  <c r="BA52" i="2"/>
  <c r="BB52" i="2" s="1"/>
  <c r="AW52" i="2"/>
  <c r="AX52" i="2" s="1"/>
  <c r="AS52" i="2"/>
  <c r="AT52" i="2" s="1"/>
  <c r="AC52" i="2"/>
  <c r="AD52" i="2" s="1"/>
  <c r="Y52" i="2"/>
  <c r="Z52" i="2" s="1"/>
  <c r="U52" i="2"/>
  <c r="V52" i="2" s="1"/>
  <c r="Q52" i="2"/>
  <c r="R52" i="2" s="1"/>
  <c r="D52" i="2"/>
  <c r="BE51" i="2"/>
  <c r="BF51" i="2" s="1"/>
  <c r="BA51" i="2"/>
  <c r="BB51" i="2" s="1"/>
  <c r="AW51" i="2"/>
  <c r="AX51" i="2" s="1"/>
  <c r="AS51" i="2"/>
  <c r="AT51" i="2" s="1"/>
  <c r="AC51" i="2"/>
  <c r="AD51" i="2" s="1"/>
  <c r="Y51" i="2"/>
  <c r="Z51" i="2" s="1"/>
  <c r="U51" i="2"/>
  <c r="V51" i="2" s="1"/>
  <c r="Q51" i="2"/>
  <c r="R51" i="2" s="1"/>
  <c r="D51" i="2"/>
  <c r="BE50" i="2"/>
  <c r="BF50" i="2" s="1"/>
  <c r="BA50" i="2"/>
  <c r="BB50" i="2" s="1"/>
  <c r="AW50" i="2"/>
  <c r="AX50" i="2" s="1"/>
  <c r="AS50" i="2"/>
  <c r="AT50" i="2" s="1"/>
  <c r="AC50" i="2"/>
  <c r="AD50" i="2" s="1"/>
  <c r="Y50" i="2"/>
  <c r="Z50" i="2" s="1"/>
  <c r="U50" i="2"/>
  <c r="V50" i="2" s="1"/>
  <c r="Q50" i="2"/>
  <c r="R50" i="2" s="1"/>
  <c r="D50" i="2"/>
  <c r="BE49" i="2"/>
  <c r="BF49" i="2" s="1"/>
  <c r="BA49" i="2"/>
  <c r="BB49" i="2" s="1"/>
  <c r="AW49" i="2"/>
  <c r="AX49" i="2" s="1"/>
  <c r="AS49" i="2"/>
  <c r="AT49" i="2" s="1"/>
  <c r="AC49" i="2"/>
  <c r="AD49" i="2" s="1"/>
  <c r="Y49" i="2"/>
  <c r="Z49" i="2" s="1"/>
  <c r="U49" i="2"/>
  <c r="V49" i="2" s="1"/>
  <c r="Q49" i="2"/>
  <c r="R49" i="2" s="1"/>
  <c r="D49" i="2"/>
  <c r="BE48" i="2"/>
  <c r="BF48" i="2" s="1"/>
  <c r="BA48" i="2"/>
  <c r="BB48" i="2" s="1"/>
  <c r="AW48" i="2"/>
  <c r="AX48" i="2" s="1"/>
  <c r="AS48" i="2"/>
  <c r="AT48" i="2" s="1"/>
  <c r="AC48" i="2"/>
  <c r="AD48" i="2" s="1"/>
  <c r="Y48" i="2"/>
  <c r="Z48" i="2" s="1"/>
  <c r="U48" i="2"/>
  <c r="V48" i="2" s="1"/>
  <c r="Q48" i="2"/>
  <c r="R48" i="2" s="1"/>
  <c r="J48" i="2"/>
  <c r="D48" i="2"/>
  <c r="BE47" i="2"/>
  <c r="BF47" i="2" s="1"/>
  <c r="BA47" i="2"/>
  <c r="BB47" i="2" s="1"/>
  <c r="AW47" i="2"/>
  <c r="AX47" i="2" s="1"/>
  <c r="AS47" i="2"/>
  <c r="AT47" i="2" s="1"/>
  <c r="AC47" i="2"/>
  <c r="AD47" i="2" s="1"/>
  <c r="Y47" i="2"/>
  <c r="Z47" i="2" s="1"/>
  <c r="U47" i="2"/>
  <c r="V47" i="2" s="1"/>
  <c r="Q47" i="2"/>
  <c r="R47" i="2" s="1"/>
  <c r="D47" i="2"/>
  <c r="BE46" i="2"/>
  <c r="BF46" i="2" s="1"/>
  <c r="BA46" i="2"/>
  <c r="BB46" i="2" s="1"/>
  <c r="AW46" i="2"/>
  <c r="AX46" i="2" s="1"/>
  <c r="AS46" i="2"/>
  <c r="AT46" i="2" s="1"/>
  <c r="AC46" i="2"/>
  <c r="AD46" i="2" s="1"/>
  <c r="Y46" i="2"/>
  <c r="Z46" i="2" s="1"/>
  <c r="U46" i="2"/>
  <c r="V46" i="2" s="1"/>
  <c r="Q46" i="2"/>
  <c r="R46" i="2" s="1"/>
  <c r="D46" i="2"/>
  <c r="BE45" i="2"/>
  <c r="BF45" i="2" s="1"/>
  <c r="BA45" i="2"/>
  <c r="BB45" i="2" s="1"/>
  <c r="AW45" i="2"/>
  <c r="AX45" i="2" s="1"/>
  <c r="AS45" i="2"/>
  <c r="AT45" i="2" s="1"/>
  <c r="AC45" i="2"/>
  <c r="AD45" i="2" s="1"/>
  <c r="Y45" i="2"/>
  <c r="Z45" i="2" s="1"/>
  <c r="U45" i="2"/>
  <c r="V45" i="2" s="1"/>
  <c r="Q45" i="2"/>
  <c r="R45" i="2" s="1"/>
  <c r="D45" i="2"/>
  <c r="BE44" i="2"/>
  <c r="BF44" i="2" s="1"/>
  <c r="BA44" i="2"/>
  <c r="BB44" i="2" s="1"/>
  <c r="AW44" i="2"/>
  <c r="AX44" i="2" s="1"/>
  <c r="AS44" i="2"/>
  <c r="AT44" i="2" s="1"/>
  <c r="AC44" i="2"/>
  <c r="AD44" i="2" s="1"/>
  <c r="Y44" i="2"/>
  <c r="Z44" i="2" s="1"/>
  <c r="U44" i="2"/>
  <c r="V44" i="2" s="1"/>
  <c r="Q44" i="2"/>
  <c r="R44" i="2" s="1"/>
  <c r="D44" i="2"/>
  <c r="BE43" i="2"/>
  <c r="BF43" i="2" s="1"/>
  <c r="BA43" i="2"/>
  <c r="BB43" i="2" s="1"/>
  <c r="AW43" i="2"/>
  <c r="AX43" i="2" s="1"/>
  <c r="AS43" i="2"/>
  <c r="AT43" i="2" s="1"/>
  <c r="AC43" i="2"/>
  <c r="AD43" i="2" s="1"/>
  <c r="Y43" i="2"/>
  <c r="Z43" i="2" s="1"/>
  <c r="U43" i="2"/>
  <c r="V43" i="2" s="1"/>
  <c r="Q43" i="2"/>
  <c r="R43" i="2" s="1"/>
  <c r="D43" i="2"/>
  <c r="BE42" i="2"/>
  <c r="BF42" i="2" s="1"/>
  <c r="BA42" i="2"/>
  <c r="BB42" i="2" s="1"/>
  <c r="AW42" i="2"/>
  <c r="AX42" i="2" s="1"/>
  <c r="AS42" i="2"/>
  <c r="AT42" i="2" s="1"/>
  <c r="AC42" i="2"/>
  <c r="AD42" i="2" s="1"/>
  <c r="Y42" i="2"/>
  <c r="Z42" i="2" s="1"/>
  <c r="U42" i="2"/>
  <c r="V42" i="2" s="1"/>
  <c r="Q42" i="2"/>
  <c r="R42" i="2" s="1"/>
  <c r="D42" i="2"/>
  <c r="BE41" i="2"/>
  <c r="BF41" i="2" s="1"/>
  <c r="BA41" i="2"/>
  <c r="BB41" i="2" s="1"/>
  <c r="AW41" i="2"/>
  <c r="AX41" i="2" s="1"/>
  <c r="AS41" i="2"/>
  <c r="AT41" i="2" s="1"/>
  <c r="AC41" i="2"/>
  <c r="AD41" i="2" s="1"/>
  <c r="Y41" i="2"/>
  <c r="Z41" i="2" s="1"/>
  <c r="U41" i="2"/>
  <c r="V41" i="2" s="1"/>
  <c r="Q41" i="2"/>
  <c r="R41" i="2" s="1"/>
  <c r="D41" i="2"/>
  <c r="BE40" i="2"/>
  <c r="BF40" i="2" s="1"/>
  <c r="BA40" i="2"/>
  <c r="BB40" i="2" s="1"/>
  <c r="AW40" i="2"/>
  <c r="AX40" i="2" s="1"/>
  <c r="AS40" i="2"/>
  <c r="AT40" i="2" s="1"/>
  <c r="AC40" i="2"/>
  <c r="AD40" i="2" s="1"/>
  <c r="Y40" i="2"/>
  <c r="Z40" i="2" s="1"/>
  <c r="U40" i="2"/>
  <c r="V40" i="2" s="1"/>
  <c r="Q40" i="2"/>
  <c r="R40" i="2" s="1"/>
  <c r="D40" i="2"/>
  <c r="BE39" i="2"/>
  <c r="BF39" i="2" s="1"/>
  <c r="BA39" i="2"/>
  <c r="BB39" i="2" s="1"/>
  <c r="AW39" i="2"/>
  <c r="AX39" i="2" s="1"/>
  <c r="AS39" i="2"/>
  <c r="AT39" i="2" s="1"/>
  <c r="AC39" i="2"/>
  <c r="AD39" i="2" s="1"/>
  <c r="Y39" i="2"/>
  <c r="Z39" i="2" s="1"/>
  <c r="U39" i="2"/>
  <c r="V39" i="2" s="1"/>
  <c r="Q39" i="2"/>
  <c r="R39" i="2" s="1"/>
  <c r="D39" i="2"/>
  <c r="BE38" i="2"/>
  <c r="BF38" i="2" s="1"/>
  <c r="BA38" i="2"/>
  <c r="BB38" i="2" s="1"/>
  <c r="AW38" i="2"/>
  <c r="AX38" i="2" s="1"/>
  <c r="AS38" i="2"/>
  <c r="AT38" i="2" s="1"/>
  <c r="AC38" i="2"/>
  <c r="AD38" i="2" s="1"/>
  <c r="Y38" i="2"/>
  <c r="Z38" i="2" s="1"/>
  <c r="U38" i="2"/>
  <c r="V38" i="2" s="1"/>
  <c r="Q38" i="2"/>
  <c r="R38" i="2" s="1"/>
  <c r="J38" i="2"/>
  <c r="D38" i="2"/>
  <c r="BE37" i="2"/>
  <c r="BF37" i="2" s="1"/>
  <c r="BA37" i="2"/>
  <c r="BB37" i="2" s="1"/>
  <c r="AW37" i="2"/>
  <c r="AX37" i="2" s="1"/>
  <c r="AS37" i="2"/>
  <c r="AT37" i="2" s="1"/>
  <c r="AC37" i="2"/>
  <c r="AD37" i="2" s="1"/>
  <c r="Y37" i="2"/>
  <c r="Z37" i="2" s="1"/>
  <c r="U37" i="2"/>
  <c r="V37" i="2" s="1"/>
  <c r="Q37" i="2"/>
  <c r="R37" i="2" s="1"/>
  <c r="D37" i="2"/>
  <c r="BE36" i="2"/>
  <c r="BF36" i="2" s="1"/>
  <c r="BA36" i="2"/>
  <c r="BB36" i="2" s="1"/>
  <c r="AW36" i="2"/>
  <c r="AX36" i="2" s="1"/>
  <c r="AS36" i="2"/>
  <c r="AT36" i="2" s="1"/>
  <c r="AC36" i="2"/>
  <c r="AD36" i="2" s="1"/>
  <c r="Y36" i="2"/>
  <c r="Z36" i="2" s="1"/>
  <c r="U36" i="2"/>
  <c r="V36" i="2" s="1"/>
  <c r="Q36" i="2"/>
  <c r="R36" i="2" s="1"/>
  <c r="J36" i="2"/>
  <c r="D36" i="2"/>
  <c r="BE35" i="2"/>
  <c r="BF35" i="2" s="1"/>
  <c r="BA35" i="2"/>
  <c r="BB35" i="2" s="1"/>
  <c r="AW35" i="2"/>
  <c r="AX35" i="2" s="1"/>
  <c r="AS35" i="2"/>
  <c r="AT35" i="2" s="1"/>
  <c r="AC35" i="2"/>
  <c r="AD35" i="2" s="1"/>
  <c r="Y35" i="2"/>
  <c r="Z35" i="2" s="1"/>
  <c r="U35" i="2"/>
  <c r="V35" i="2" s="1"/>
  <c r="Q35" i="2"/>
  <c r="R35" i="2" s="1"/>
  <c r="D35" i="2"/>
  <c r="BE34" i="2"/>
  <c r="BF34" i="2" s="1"/>
  <c r="BA34" i="2"/>
  <c r="BB34" i="2" s="1"/>
  <c r="AW34" i="2"/>
  <c r="AX34" i="2" s="1"/>
  <c r="AS34" i="2"/>
  <c r="AT34" i="2" s="1"/>
  <c r="AC34" i="2"/>
  <c r="AD34" i="2" s="1"/>
  <c r="Y34" i="2"/>
  <c r="Z34" i="2" s="1"/>
  <c r="U34" i="2"/>
  <c r="V34" i="2" s="1"/>
  <c r="Q34" i="2"/>
  <c r="R34" i="2" s="1"/>
  <c r="J34" i="2"/>
  <c r="D34" i="2"/>
  <c r="BE33" i="2"/>
  <c r="BF33" i="2" s="1"/>
  <c r="BA33" i="2"/>
  <c r="BB33" i="2" s="1"/>
  <c r="AW33" i="2"/>
  <c r="AX33" i="2" s="1"/>
  <c r="AS33" i="2"/>
  <c r="AT33" i="2" s="1"/>
  <c r="AC33" i="2"/>
  <c r="AD33" i="2" s="1"/>
  <c r="Y33" i="2"/>
  <c r="Z33" i="2" s="1"/>
  <c r="U33" i="2"/>
  <c r="V33" i="2" s="1"/>
  <c r="Q33" i="2"/>
  <c r="R33" i="2" s="1"/>
  <c r="D33" i="2"/>
  <c r="BE32" i="2"/>
  <c r="BF32" i="2" s="1"/>
  <c r="BA32" i="2"/>
  <c r="BB32" i="2" s="1"/>
  <c r="AW32" i="2"/>
  <c r="AX32" i="2" s="1"/>
  <c r="AS32" i="2"/>
  <c r="AT32" i="2" s="1"/>
  <c r="AC32" i="2"/>
  <c r="AD32" i="2" s="1"/>
  <c r="Y32" i="2"/>
  <c r="Z32" i="2" s="1"/>
  <c r="U32" i="2"/>
  <c r="V32" i="2" s="1"/>
  <c r="Q32" i="2"/>
  <c r="R32" i="2" s="1"/>
  <c r="J32" i="2"/>
  <c r="D32" i="2"/>
  <c r="BE31" i="2"/>
  <c r="BF31" i="2" s="1"/>
  <c r="BA31" i="2"/>
  <c r="BB31" i="2" s="1"/>
  <c r="AW31" i="2"/>
  <c r="AX31" i="2" s="1"/>
  <c r="AS31" i="2"/>
  <c r="AT31" i="2" s="1"/>
  <c r="AC31" i="2"/>
  <c r="AD31" i="2" s="1"/>
  <c r="Y31" i="2"/>
  <c r="Z31" i="2" s="1"/>
  <c r="U31" i="2"/>
  <c r="V31" i="2" s="1"/>
  <c r="Q31" i="2"/>
  <c r="R31" i="2" s="1"/>
  <c r="D31" i="2"/>
  <c r="BE30" i="2"/>
  <c r="BF30" i="2" s="1"/>
  <c r="BA30" i="2"/>
  <c r="BB30" i="2" s="1"/>
  <c r="AW30" i="2"/>
  <c r="AX30" i="2" s="1"/>
  <c r="AS30" i="2"/>
  <c r="AT30" i="2" s="1"/>
  <c r="AC30" i="2"/>
  <c r="AD30" i="2" s="1"/>
  <c r="Y30" i="2"/>
  <c r="Z30" i="2" s="1"/>
  <c r="U30" i="2"/>
  <c r="V30" i="2" s="1"/>
  <c r="Q30" i="2"/>
  <c r="R30" i="2" s="1"/>
  <c r="J30" i="2"/>
  <c r="D30" i="2"/>
  <c r="BE29" i="2"/>
  <c r="BF29" i="2" s="1"/>
  <c r="BA29" i="2"/>
  <c r="BB29" i="2" s="1"/>
  <c r="AW29" i="2"/>
  <c r="AX29" i="2" s="1"/>
  <c r="AS29" i="2"/>
  <c r="AT29" i="2" s="1"/>
  <c r="AC29" i="2"/>
  <c r="AD29" i="2" s="1"/>
  <c r="Y29" i="2"/>
  <c r="Z29" i="2" s="1"/>
  <c r="U29" i="2"/>
  <c r="V29" i="2" s="1"/>
  <c r="Q29" i="2"/>
  <c r="R29" i="2" s="1"/>
  <c r="D29" i="2"/>
  <c r="BE28" i="2"/>
  <c r="BF28" i="2" s="1"/>
  <c r="BA28" i="2"/>
  <c r="BB28" i="2" s="1"/>
  <c r="AW28" i="2"/>
  <c r="AX28" i="2" s="1"/>
  <c r="AS28" i="2"/>
  <c r="AT28" i="2" s="1"/>
  <c r="AC28" i="2"/>
  <c r="AD28" i="2" s="1"/>
  <c r="Y28" i="2"/>
  <c r="Z28" i="2" s="1"/>
  <c r="U28" i="2"/>
  <c r="V28" i="2" s="1"/>
  <c r="Q28" i="2"/>
  <c r="R28" i="2" s="1"/>
  <c r="J28" i="2"/>
  <c r="D28" i="2"/>
  <c r="BE27" i="2"/>
  <c r="BF27" i="2" s="1"/>
  <c r="BA27" i="2"/>
  <c r="BB27" i="2" s="1"/>
  <c r="AW27" i="2"/>
  <c r="AX27" i="2" s="1"/>
  <c r="AS27" i="2"/>
  <c r="AT27" i="2" s="1"/>
  <c r="AC27" i="2"/>
  <c r="AD27" i="2" s="1"/>
  <c r="Y27" i="2"/>
  <c r="Z27" i="2" s="1"/>
  <c r="U27" i="2"/>
  <c r="V27" i="2" s="1"/>
  <c r="Q27" i="2"/>
  <c r="R27" i="2" s="1"/>
  <c r="D27" i="2"/>
  <c r="BE26" i="2"/>
  <c r="BF26" i="2" s="1"/>
  <c r="BA26" i="2"/>
  <c r="BB26" i="2" s="1"/>
  <c r="AW26" i="2"/>
  <c r="AX26" i="2" s="1"/>
  <c r="AS26" i="2"/>
  <c r="AT26" i="2" s="1"/>
  <c r="AC26" i="2"/>
  <c r="AD26" i="2" s="1"/>
  <c r="Y26" i="2"/>
  <c r="Z26" i="2" s="1"/>
  <c r="U26" i="2"/>
  <c r="V26" i="2" s="1"/>
  <c r="Q26" i="2"/>
  <c r="R26" i="2" s="1"/>
  <c r="J26" i="2"/>
  <c r="D26" i="2"/>
  <c r="BE25" i="2"/>
  <c r="BF25" i="2" s="1"/>
  <c r="BA25" i="2"/>
  <c r="BB25" i="2" s="1"/>
  <c r="AW25" i="2"/>
  <c r="AX25" i="2" s="1"/>
  <c r="AS25" i="2"/>
  <c r="AT25" i="2" s="1"/>
  <c r="AC25" i="2"/>
  <c r="AD25" i="2" s="1"/>
  <c r="Y25" i="2"/>
  <c r="Z25" i="2" s="1"/>
  <c r="U25" i="2"/>
  <c r="V25" i="2" s="1"/>
  <c r="Q25" i="2"/>
  <c r="R25" i="2" s="1"/>
  <c r="D25" i="2"/>
  <c r="BE24" i="2"/>
  <c r="BF24" i="2" s="1"/>
  <c r="BA24" i="2"/>
  <c r="BB24" i="2" s="1"/>
  <c r="AW24" i="2"/>
  <c r="AX24" i="2" s="1"/>
  <c r="AS24" i="2"/>
  <c r="AT24" i="2" s="1"/>
  <c r="AC24" i="2"/>
  <c r="AD24" i="2" s="1"/>
  <c r="Y24" i="2"/>
  <c r="Z24" i="2" s="1"/>
  <c r="U24" i="2"/>
  <c r="V24" i="2" s="1"/>
  <c r="Q24" i="2"/>
  <c r="R24" i="2" s="1"/>
  <c r="J24" i="2"/>
  <c r="D24" i="2"/>
  <c r="BE23" i="2"/>
  <c r="BF23" i="2" s="1"/>
  <c r="BA23" i="2"/>
  <c r="BB23" i="2" s="1"/>
  <c r="AW23" i="2"/>
  <c r="AX23" i="2" s="1"/>
  <c r="AS23" i="2"/>
  <c r="AT23" i="2" s="1"/>
  <c r="AC23" i="2"/>
  <c r="AD23" i="2" s="1"/>
  <c r="Y23" i="2"/>
  <c r="Z23" i="2" s="1"/>
  <c r="U23" i="2"/>
  <c r="V23" i="2" s="1"/>
  <c r="Q23" i="2"/>
  <c r="R23" i="2" s="1"/>
  <c r="D23" i="2"/>
  <c r="BE22" i="2"/>
  <c r="BF22" i="2" s="1"/>
  <c r="BA22" i="2"/>
  <c r="BB22" i="2" s="1"/>
  <c r="AW22" i="2"/>
  <c r="AX22" i="2" s="1"/>
  <c r="AS22" i="2"/>
  <c r="AT22" i="2" s="1"/>
  <c r="AC22" i="2"/>
  <c r="AD22" i="2" s="1"/>
  <c r="Y22" i="2"/>
  <c r="Z22" i="2" s="1"/>
  <c r="U22" i="2"/>
  <c r="V22" i="2" s="1"/>
  <c r="Q22" i="2"/>
  <c r="R22" i="2" s="1"/>
  <c r="D22" i="2"/>
  <c r="BE21" i="2"/>
  <c r="BF21" i="2" s="1"/>
  <c r="BA21" i="2"/>
  <c r="BB21" i="2" s="1"/>
  <c r="AW21" i="2"/>
  <c r="AX21" i="2" s="1"/>
  <c r="AS21" i="2"/>
  <c r="AT21" i="2" s="1"/>
  <c r="AC21" i="2"/>
  <c r="AD21" i="2" s="1"/>
  <c r="Y21" i="2"/>
  <c r="Z21" i="2" s="1"/>
  <c r="U21" i="2"/>
  <c r="V21" i="2" s="1"/>
  <c r="Q21" i="2"/>
  <c r="R21" i="2" s="1"/>
  <c r="J21" i="2"/>
  <c r="D21" i="2"/>
  <c r="BE20" i="2"/>
  <c r="BF20" i="2" s="1"/>
  <c r="BA20" i="2"/>
  <c r="BB20" i="2" s="1"/>
  <c r="AW20" i="2"/>
  <c r="AX20" i="2" s="1"/>
  <c r="AS20" i="2"/>
  <c r="AT20" i="2" s="1"/>
  <c r="AC20" i="2"/>
  <c r="AD20" i="2" s="1"/>
  <c r="Y20" i="2"/>
  <c r="Z20" i="2" s="1"/>
  <c r="U20" i="2"/>
  <c r="V20" i="2" s="1"/>
  <c r="Q20" i="2"/>
  <c r="R20" i="2" s="1"/>
  <c r="D20" i="2"/>
  <c r="BE19" i="2"/>
  <c r="BF19" i="2" s="1"/>
  <c r="BA19" i="2"/>
  <c r="BB19" i="2" s="1"/>
  <c r="AW19" i="2"/>
  <c r="AX19" i="2" s="1"/>
  <c r="AS19" i="2"/>
  <c r="AT19" i="2" s="1"/>
  <c r="AC19" i="2"/>
  <c r="AD19" i="2" s="1"/>
  <c r="Y19" i="2"/>
  <c r="Z19" i="2" s="1"/>
  <c r="U19" i="2"/>
  <c r="V19" i="2" s="1"/>
  <c r="Q19" i="2"/>
  <c r="R19" i="2" s="1"/>
  <c r="D19" i="2"/>
  <c r="BE18" i="2"/>
  <c r="BF18" i="2" s="1"/>
  <c r="BA18" i="2"/>
  <c r="BB18" i="2" s="1"/>
  <c r="AW18" i="2"/>
  <c r="AX18" i="2" s="1"/>
  <c r="AS18" i="2"/>
  <c r="AT18" i="2" s="1"/>
  <c r="AC18" i="2"/>
  <c r="AD18" i="2" s="1"/>
  <c r="Y18" i="2"/>
  <c r="Z18" i="2" s="1"/>
  <c r="U18" i="2"/>
  <c r="V18" i="2" s="1"/>
  <c r="Q18" i="2"/>
  <c r="R18" i="2" s="1"/>
  <c r="D18" i="2"/>
  <c r="BE17" i="2"/>
  <c r="BF17" i="2" s="1"/>
  <c r="BA17" i="2"/>
  <c r="BB17" i="2" s="1"/>
  <c r="AW17" i="2"/>
  <c r="AX17" i="2" s="1"/>
  <c r="AS17" i="2"/>
  <c r="AT17" i="2" s="1"/>
  <c r="AC17" i="2"/>
  <c r="AD17" i="2" s="1"/>
  <c r="Y17" i="2"/>
  <c r="Z17" i="2" s="1"/>
  <c r="U17" i="2"/>
  <c r="V17" i="2" s="1"/>
  <c r="Q17" i="2"/>
  <c r="R17" i="2" s="1"/>
  <c r="J17" i="2"/>
  <c r="D17" i="2"/>
  <c r="BE16" i="2"/>
  <c r="BF16" i="2" s="1"/>
  <c r="BA16" i="2"/>
  <c r="BB16" i="2" s="1"/>
  <c r="AW16" i="2"/>
  <c r="AX16" i="2" s="1"/>
  <c r="AS16" i="2"/>
  <c r="AT16" i="2" s="1"/>
  <c r="AC16" i="2"/>
  <c r="AD16" i="2" s="1"/>
  <c r="Y16" i="2"/>
  <c r="Z16" i="2" s="1"/>
  <c r="U16" i="2"/>
  <c r="V16" i="2" s="1"/>
  <c r="Q16" i="2"/>
  <c r="R16" i="2" s="1"/>
  <c r="D16" i="2"/>
  <c r="BE15" i="2"/>
  <c r="BF15" i="2" s="1"/>
  <c r="BA15" i="2"/>
  <c r="BB15" i="2" s="1"/>
  <c r="AW15" i="2"/>
  <c r="AX15" i="2" s="1"/>
  <c r="AS15" i="2"/>
  <c r="AT15" i="2" s="1"/>
  <c r="AC15" i="2"/>
  <c r="AD15" i="2" s="1"/>
  <c r="Y15" i="2"/>
  <c r="Z15" i="2" s="1"/>
  <c r="U15" i="2"/>
  <c r="V15" i="2" s="1"/>
  <c r="Q15" i="2"/>
  <c r="R15" i="2" s="1"/>
  <c r="J15" i="2"/>
  <c r="D15" i="2"/>
  <c r="BE14" i="2"/>
  <c r="BF14" i="2" s="1"/>
  <c r="BA14" i="2"/>
  <c r="BB14" i="2" s="1"/>
  <c r="AW14" i="2"/>
  <c r="AX14" i="2" s="1"/>
  <c r="AS14" i="2"/>
  <c r="AT14" i="2" s="1"/>
  <c r="AC14" i="2"/>
  <c r="AD14" i="2" s="1"/>
  <c r="Y14" i="2"/>
  <c r="Z14" i="2" s="1"/>
  <c r="U14" i="2"/>
  <c r="V14" i="2" s="1"/>
  <c r="Q14" i="2"/>
  <c r="R14" i="2" s="1"/>
  <c r="D14" i="2"/>
  <c r="BE13" i="2"/>
  <c r="BF13" i="2" s="1"/>
  <c r="BA13" i="2"/>
  <c r="BB13" i="2" s="1"/>
  <c r="AW13" i="2"/>
  <c r="AX13" i="2" s="1"/>
  <c r="AS13" i="2"/>
  <c r="AT13" i="2" s="1"/>
  <c r="AC13" i="2"/>
  <c r="AD13" i="2" s="1"/>
  <c r="Y13" i="2"/>
  <c r="Z13" i="2" s="1"/>
  <c r="U13" i="2"/>
  <c r="V13" i="2" s="1"/>
  <c r="Q13" i="2"/>
  <c r="R13" i="2" s="1"/>
  <c r="D13" i="2"/>
  <c r="BE12" i="2"/>
  <c r="BF12" i="2" s="1"/>
  <c r="BA12" i="2"/>
  <c r="BB12" i="2" s="1"/>
  <c r="AW12" i="2"/>
  <c r="AX12" i="2" s="1"/>
  <c r="AS12" i="2"/>
  <c r="AT12" i="2" s="1"/>
  <c r="AC12" i="2"/>
  <c r="AD12" i="2" s="1"/>
  <c r="Y12" i="2"/>
  <c r="Z12" i="2" s="1"/>
  <c r="U12" i="2"/>
  <c r="V12" i="2" s="1"/>
  <c r="Q12" i="2"/>
  <c r="R12" i="2" s="1"/>
  <c r="D12" i="2"/>
  <c r="BE11" i="2"/>
  <c r="BF11" i="2" s="1"/>
  <c r="BA11" i="2"/>
  <c r="BB11" i="2" s="1"/>
  <c r="AW11" i="2"/>
  <c r="AX11" i="2" s="1"/>
  <c r="AS11" i="2"/>
  <c r="AT11" i="2" s="1"/>
  <c r="AC11" i="2"/>
  <c r="AD11" i="2" s="1"/>
  <c r="Y11" i="2"/>
  <c r="Z11" i="2" s="1"/>
  <c r="U11" i="2"/>
  <c r="V11" i="2" s="1"/>
  <c r="Q11" i="2"/>
  <c r="R11" i="2" s="1"/>
  <c r="J11" i="2"/>
  <c r="D11" i="2"/>
  <c r="BE10" i="2"/>
  <c r="BF10" i="2" s="1"/>
  <c r="BA10" i="2"/>
  <c r="BB10" i="2" s="1"/>
  <c r="AW10" i="2"/>
  <c r="AX10" i="2" s="1"/>
  <c r="AS10" i="2"/>
  <c r="AT10" i="2" s="1"/>
  <c r="AC10" i="2"/>
  <c r="AD10" i="2" s="1"/>
  <c r="Y10" i="2"/>
  <c r="Z10" i="2" s="1"/>
  <c r="U10" i="2"/>
  <c r="V10" i="2" s="1"/>
  <c r="Q10" i="2"/>
  <c r="R10" i="2" s="1"/>
  <c r="D10" i="2"/>
  <c r="BE9" i="2"/>
  <c r="BF9" i="2" s="1"/>
  <c r="BA9" i="2"/>
  <c r="BB9" i="2" s="1"/>
  <c r="AW9" i="2"/>
  <c r="AX9" i="2" s="1"/>
  <c r="AS9" i="2"/>
  <c r="AT9" i="2" s="1"/>
  <c r="AC9" i="2"/>
  <c r="AD9" i="2" s="1"/>
  <c r="Y9" i="2"/>
  <c r="Z9" i="2" s="1"/>
  <c r="U9" i="2"/>
  <c r="V9" i="2" s="1"/>
  <c r="Q9" i="2"/>
  <c r="R9" i="2" s="1"/>
  <c r="D9" i="2"/>
  <c r="D152" i="6"/>
  <c r="N130" i="6"/>
  <c r="H2" i="2" l="1"/>
  <c r="A21" i="15"/>
  <c r="AD21" i="15" s="1"/>
  <c r="A22" i="15"/>
  <c r="AD22" i="15" s="1"/>
  <c r="D147" i="6"/>
  <c r="I475" i="2"/>
  <c r="A68" i="15"/>
  <c r="AD68" i="15" s="1"/>
  <c r="A64" i="15"/>
  <c r="AD64" i="15" s="1"/>
  <c r="AA67" i="15"/>
  <c r="AA27" i="15"/>
  <c r="AA24" i="15"/>
  <c r="M425" i="2"/>
  <c r="N425" i="2" s="1"/>
  <c r="D145" i="20"/>
  <c r="M20" i="2"/>
  <c r="N20" i="2" s="1"/>
  <c r="E23" i="8"/>
  <c r="G2" i="2"/>
  <c r="BC2" i="2"/>
  <c r="D257" i="5" s="1"/>
  <c r="AX2" i="2"/>
  <c r="F255" i="5" s="1"/>
  <c r="K189" i="5" s="1"/>
  <c r="J189" i="5" s="1"/>
  <c r="AS2" i="2"/>
  <c r="AM2" i="2"/>
  <c r="D253" i="5" s="1"/>
  <c r="AH2" i="2"/>
  <c r="F263" i="5" s="1"/>
  <c r="K197" i="5" s="1"/>
  <c r="J197" i="5" s="1"/>
  <c r="AC2" i="2"/>
  <c r="W2" i="2"/>
  <c r="D261" i="5" s="1"/>
  <c r="R2" i="2"/>
  <c r="F259" i="5" s="1"/>
  <c r="K193" i="5" s="1"/>
  <c r="J193" i="5" s="1"/>
  <c r="K2" i="2"/>
  <c r="D258" i="5" s="1"/>
  <c r="AY2" i="2"/>
  <c r="D256" i="5" s="1"/>
  <c r="AI2" i="2"/>
  <c r="D252" i="5" s="1"/>
  <c r="S2" i="2"/>
  <c r="D260" i="5" s="1"/>
  <c r="F2" i="2"/>
  <c r="BB2" i="2"/>
  <c r="F256" i="5" s="1"/>
  <c r="K190" i="5" s="1"/>
  <c r="J190" i="5" s="1"/>
  <c r="AW2" i="2"/>
  <c r="AQ2" i="2"/>
  <c r="D254" i="5" s="1"/>
  <c r="AL2" i="2"/>
  <c r="F252" i="5" s="1"/>
  <c r="K186" i="5" s="1"/>
  <c r="J186" i="5" s="1"/>
  <c r="AG2" i="2"/>
  <c r="AA2" i="2"/>
  <c r="D262" i="5" s="1"/>
  <c r="V2" i="2"/>
  <c r="F260" i="5" s="1"/>
  <c r="K194" i="5" s="1"/>
  <c r="J194" i="5" s="1"/>
  <c r="Q2" i="2"/>
  <c r="BE2" i="2"/>
  <c r="AO2" i="2"/>
  <c r="Y2" i="2"/>
  <c r="E2" i="2"/>
  <c r="F11" i="5" s="1"/>
  <c r="BF2" i="2"/>
  <c r="F257" i="5" s="1"/>
  <c r="K191" i="5" s="1"/>
  <c r="J191" i="5" s="1"/>
  <c r="BA2" i="2"/>
  <c r="AU2" i="2"/>
  <c r="D255" i="5" s="1"/>
  <c r="AP2" i="2"/>
  <c r="F253" i="5" s="1"/>
  <c r="K187" i="5" s="1"/>
  <c r="J187" i="5" s="1"/>
  <c r="AK2" i="2"/>
  <c r="AE2" i="2"/>
  <c r="D263" i="5" s="1"/>
  <c r="Z2" i="2"/>
  <c r="F261" i="5" s="1"/>
  <c r="K195" i="5" s="1"/>
  <c r="J195" i="5" s="1"/>
  <c r="U2" i="2"/>
  <c r="O2" i="2"/>
  <c r="D259" i="5" s="1"/>
  <c r="AD2" i="2"/>
  <c r="F262" i="5" s="1"/>
  <c r="K196" i="5" s="1"/>
  <c r="J196" i="5" s="1"/>
  <c r="I2" i="2"/>
  <c r="M395" i="2"/>
  <c r="N395" i="2" s="1"/>
  <c r="M417" i="2"/>
  <c r="N417" i="2" s="1"/>
  <c r="D145" i="6"/>
  <c r="J17" i="11" s="1"/>
  <c r="K17" i="11" s="1"/>
  <c r="D146" i="6"/>
  <c r="E247" i="5" s="1"/>
  <c r="M21" i="2"/>
  <c r="N21" i="2" s="1"/>
  <c r="M22" i="2"/>
  <c r="N22" i="2" s="1"/>
  <c r="J46" i="2"/>
  <c r="M48" i="2"/>
  <c r="N48" i="2" s="1"/>
  <c r="J50" i="2"/>
  <c r="J66" i="2"/>
  <c r="J74" i="2"/>
  <c r="M101" i="2"/>
  <c r="N101" i="2" s="1"/>
  <c r="M112" i="2"/>
  <c r="N112" i="2" s="1"/>
  <c r="M167" i="2"/>
  <c r="N167" i="2" s="1"/>
  <c r="M26" i="2"/>
  <c r="N26" i="2" s="1"/>
  <c r="M30" i="2"/>
  <c r="N30" i="2" s="1"/>
  <c r="M38" i="2"/>
  <c r="N38" i="2" s="1"/>
  <c r="M87" i="2"/>
  <c r="N87" i="2" s="1"/>
  <c r="M95" i="2"/>
  <c r="N95" i="2" s="1"/>
  <c r="M119" i="2"/>
  <c r="N119" i="2" s="1"/>
  <c r="M123" i="2"/>
  <c r="N123" i="2" s="1"/>
  <c r="M127" i="2"/>
  <c r="N127" i="2" s="1"/>
  <c r="M131" i="2"/>
  <c r="N131" i="2" s="1"/>
  <c r="M135" i="2"/>
  <c r="N135" i="2" s="1"/>
  <c r="J171" i="2"/>
  <c r="K33" i="14"/>
  <c r="J33" i="14"/>
  <c r="M11" i="2"/>
  <c r="N11" i="2" s="1"/>
  <c r="M43" i="2"/>
  <c r="N43" i="2" s="1"/>
  <c r="M49" i="2"/>
  <c r="N49" i="2" s="1"/>
  <c r="M50" i="2"/>
  <c r="N50" i="2" s="1"/>
  <c r="J52" i="2"/>
  <c r="J62" i="2"/>
  <c r="J70" i="2"/>
  <c r="J78" i="2"/>
  <c r="M102" i="2"/>
  <c r="N102" i="2" s="1"/>
  <c r="J110" i="2"/>
  <c r="J136" i="2"/>
  <c r="J144" i="2"/>
  <c r="M34" i="2"/>
  <c r="N34" i="2" s="1"/>
  <c r="M91" i="2"/>
  <c r="N91" i="2" s="1"/>
  <c r="J168" i="2"/>
  <c r="J173" i="2"/>
  <c r="J178" i="2"/>
  <c r="J190" i="2"/>
  <c r="J213" i="2"/>
  <c r="J217" i="2"/>
  <c r="J220" i="2"/>
  <c r="J225" i="2"/>
  <c r="J229" i="2"/>
  <c r="J233" i="2"/>
  <c r="M244" i="2"/>
  <c r="N244" i="2" s="1"/>
  <c r="M246" i="2"/>
  <c r="N246" i="2" s="1"/>
  <c r="J249" i="2"/>
  <c r="M253" i="2"/>
  <c r="N253" i="2" s="1"/>
  <c r="J288" i="2"/>
  <c r="M165" i="2"/>
  <c r="N165" i="2" s="1"/>
  <c r="J206" i="2"/>
  <c r="J212" i="2"/>
  <c r="J250" i="2"/>
  <c r="J380" i="2"/>
  <c r="J389" i="2"/>
  <c r="J404" i="2"/>
  <c r="J408" i="2"/>
  <c r="M411" i="2"/>
  <c r="N411" i="2" s="1"/>
  <c r="J414" i="2"/>
  <c r="J426" i="2"/>
  <c r="M436" i="2"/>
  <c r="N436" i="2" s="1"/>
  <c r="J447" i="2"/>
  <c r="J457" i="2"/>
  <c r="J461" i="2"/>
  <c r="J416" i="2"/>
  <c r="J424" i="2"/>
  <c r="M444" i="2"/>
  <c r="N444" i="2" s="1"/>
  <c r="M415" i="2"/>
  <c r="N415" i="2" s="1"/>
  <c r="J420" i="2"/>
  <c r="J422" i="2"/>
  <c r="J439" i="2"/>
  <c r="J451" i="2"/>
  <c r="J466" i="2"/>
  <c r="M548" i="2"/>
  <c r="N548" i="2" s="1"/>
  <c r="M547" i="2"/>
  <c r="N547" i="2" s="1"/>
  <c r="M512" i="2"/>
  <c r="N512" i="2" s="1"/>
  <c r="J103" i="2"/>
  <c r="M109" i="2"/>
  <c r="N109" i="2" s="1"/>
  <c r="J115" i="2"/>
  <c r="J189" i="2"/>
  <c r="J215" i="2"/>
  <c r="J280" i="2"/>
  <c r="M281" i="2"/>
  <c r="N281" i="2" s="1"/>
  <c r="J282" i="2"/>
  <c r="J299" i="2"/>
  <c r="M15" i="2"/>
  <c r="N15" i="2" s="1"/>
  <c r="J19" i="2"/>
  <c r="M24" i="2"/>
  <c r="N24" i="2" s="1"/>
  <c r="M28" i="2"/>
  <c r="N28" i="2" s="1"/>
  <c r="M32" i="2"/>
  <c r="N32" i="2" s="1"/>
  <c r="M36" i="2"/>
  <c r="N36" i="2" s="1"/>
  <c r="J40" i="2"/>
  <c r="M47" i="2"/>
  <c r="N47" i="2" s="1"/>
  <c r="M52" i="2"/>
  <c r="N52" i="2" s="1"/>
  <c r="M53" i="2"/>
  <c r="N53" i="2" s="1"/>
  <c r="J54" i="2"/>
  <c r="M54" i="2"/>
  <c r="N54" i="2" s="1"/>
  <c r="J56" i="2"/>
  <c r="J59" i="2"/>
  <c r="J61" i="2"/>
  <c r="J63" i="2"/>
  <c r="J65" i="2"/>
  <c r="J67" i="2"/>
  <c r="J69" i="2"/>
  <c r="J71" i="2"/>
  <c r="J73" i="2"/>
  <c r="J75" i="2"/>
  <c r="J77" i="2"/>
  <c r="J79" i="2"/>
  <c r="J81" i="2"/>
  <c r="M88" i="2"/>
  <c r="N88" i="2" s="1"/>
  <c r="J89" i="2"/>
  <c r="M92" i="2"/>
  <c r="N92" i="2" s="1"/>
  <c r="J93" i="2"/>
  <c r="J99" i="2"/>
  <c r="M99" i="2"/>
  <c r="N99" i="2" s="1"/>
  <c r="J137" i="2"/>
  <c r="J145" i="2"/>
  <c r="J162" i="2"/>
  <c r="M164" i="2"/>
  <c r="N164" i="2" s="1"/>
  <c r="M172" i="2"/>
  <c r="N172" i="2" s="1"/>
  <c r="M203" i="2"/>
  <c r="N203" i="2" s="1"/>
  <c r="J208" i="2"/>
  <c r="J9" i="2"/>
  <c r="M9" i="2"/>
  <c r="N9" i="2" s="1"/>
  <c r="M12" i="2"/>
  <c r="N12" i="2" s="1"/>
  <c r="J13" i="2"/>
  <c r="M13" i="2"/>
  <c r="N13" i="2" s="1"/>
  <c r="M14" i="2"/>
  <c r="N14" i="2" s="1"/>
  <c r="M19" i="2"/>
  <c r="N19" i="2" s="1"/>
  <c r="J23" i="2"/>
  <c r="M25" i="2"/>
  <c r="N25" i="2" s="1"/>
  <c r="M27" i="2"/>
  <c r="N27" i="2" s="1"/>
  <c r="M31" i="2"/>
  <c r="N31" i="2" s="1"/>
  <c r="M33" i="2"/>
  <c r="N33" i="2" s="1"/>
  <c r="M35" i="2"/>
  <c r="N35" i="2" s="1"/>
  <c r="M39" i="2"/>
  <c r="N39" i="2" s="1"/>
  <c r="M40" i="2"/>
  <c r="N40" i="2" s="1"/>
  <c r="M41" i="2"/>
  <c r="N41" i="2" s="1"/>
  <c r="J42" i="2"/>
  <c r="M42" i="2"/>
  <c r="N42" i="2" s="1"/>
  <c r="J44" i="2"/>
  <c r="M51" i="2"/>
  <c r="N51" i="2" s="1"/>
  <c r="M56" i="2"/>
  <c r="N56" i="2" s="1"/>
  <c r="M57" i="2"/>
  <c r="N57" i="2" s="1"/>
  <c r="M89" i="2"/>
  <c r="N89" i="2" s="1"/>
  <c r="M90" i="2"/>
  <c r="N90" i="2" s="1"/>
  <c r="M93" i="2"/>
  <c r="N93" i="2" s="1"/>
  <c r="M94" i="2"/>
  <c r="N94" i="2" s="1"/>
  <c r="M96" i="2"/>
  <c r="N96" i="2" s="1"/>
  <c r="J97" i="2"/>
  <c r="M105" i="2"/>
  <c r="N105" i="2" s="1"/>
  <c r="J108" i="2"/>
  <c r="J109" i="2"/>
  <c r="J139" i="2"/>
  <c r="J177" i="2"/>
  <c r="J185" i="2"/>
  <c r="J291" i="2"/>
  <c r="M10" i="2"/>
  <c r="N10" i="2" s="1"/>
  <c r="M16" i="2"/>
  <c r="N16" i="2" s="1"/>
  <c r="M17" i="2"/>
  <c r="N17" i="2" s="1"/>
  <c r="M18" i="2"/>
  <c r="N18" i="2" s="1"/>
  <c r="M23" i="2"/>
  <c r="N23" i="2" s="1"/>
  <c r="M44" i="2"/>
  <c r="N44" i="2" s="1"/>
  <c r="M45" i="2"/>
  <c r="N45" i="2" s="1"/>
  <c r="M46" i="2"/>
  <c r="N46" i="2" s="1"/>
  <c r="M55" i="2"/>
  <c r="N55" i="2" s="1"/>
  <c r="M97" i="2"/>
  <c r="N97" i="2" s="1"/>
  <c r="M98" i="2"/>
  <c r="N98" i="2" s="1"/>
  <c r="M100" i="2"/>
  <c r="N100" i="2" s="1"/>
  <c r="M104" i="2"/>
  <c r="N104" i="2" s="1"/>
  <c r="M106" i="2"/>
  <c r="N106" i="2" s="1"/>
  <c r="M110" i="2"/>
  <c r="N110" i="2" s="1"/>
  <c r="M144" i="2"/>
  <c r="N144" i="2" s="1"/>
  <c r="M155" i="2"/>
  <c r="N155" i="2" s="1"/>
  <c r="M163" i="2"/>
  <c r="N163" i="2" s="1"/>
  <c r="J181" i="2"/>
  <c r="J193" i="2"/>
  <c r="M206" i="2"/>
  <c r="N206" i="2" s="1"/>
  <c r="M210" i="2"/>
  <c r="N210" i="2" s="1"/>
  <c r="M212" i="2"/>
  <c r="N212" i="2" s="1"/>
  <c r="J302" i="2"/>
  <c r="M303" i="2"/>
  <c r="N303" i="2" s="1"/>
  <c r="M103" i="2"/>
  <c r="N103" i="2" s="1"/>
  <c r="M108" i="2"/>
  <c r="N108" i="2" s="1"/>
  <c r="M115" i="2"/>
  <c r="N115" i="2" s="1"/>
  <c r="M118" i="2"/>
  <c r="N118" i="2" s="1"/>
  <c r="M122" i="2"/>
  <c r="N122" i="2" s="1"/>
  <c r="M126" i="2"/>
  <c r="N126" i="2" s="1"/>
  <c r="M130" i="2"/>
  <c r="N130" i="2" s="1"/>
  <c r="M134" i="2"/>
  <c r="N134" i="2" s="1"/>
  <c r="M143" i="2"/>
  <c r="N143" i="2" s="1"/>
  <c r="M162" i="2"/>
  <c r="N162" i="2" s="1"/>
  <c r="M168" i="2"/>
  <c r="N168" i="2" s="1"/>
  <c r="M173" i="2"/>
  <c r="N173" i="2" s="1"/>
  <c r="M216" i="2"/>
  <c r="N216" i="2" s="1"/>
  <c r="J219" i="2"/>
  <c r="J226" i="2"/>
  <c r="J230" i="2"/>
  <c r="J234" i="2"/>
  <c r="M256" i="2"/>
  <c r="N256" i="2" s="1"/>
  <c r="J304" i="2"/>
  <c r="M305" i="2"/>
  <c r="N305" i="2" s="1"/>
  <c r="M356" i="2"/>
  <c r="N356" i="2" s="1"/>
  <c r="M400" i="2"/>
  <c r="N400" i="2" s="1"/>
  <c r="J417" i="2"/>
  <c r="J107" i="2"/>
  <c r="M107" i="2"/>
  <c r="N107" i="2" s="1"/>
  <c r="J111" i="2"/>
  <c r="M111" i="2"/>
  <c r="N111" i="2" s="1"/>
  <c r="J113" i="2"/>
  <c r="M117" i="2"/>
  <c r="N117" i="2" s="1"/>
  <c r="M121" i="2"/>
  <c r="N121" i="2" s="1"/>
  <c r="M125" i="2"/>
  <c r="N125" i="2" s="1"/>
  <c r="M129" i="2"/>
  <c r="N129" i="2" s="1"/>
  <c r="M133" i="2"/>
  <c r="N133" i="2" s="1"/>
  <c r="J142" i="2"/>
  <c r="M145" i="2"/>
  <c r="N145" i="2" s="1"/>
  <c r="J149" i="2"/>
  <c r="J154" i="2"/>
  <c r="J157" i="2"/>
  <c r="M157" i="2"/>
  <c r="N157" i="2" s="1"/>
  <c r="J160" i="2"/>
  <c r="J166" i="2"/>
  <c r="M166" i="2"/>
  <c r="N166" i="2" s="1"/>
  <c r="J176" i="2"/>
  <c r="J180" i="2"/>
  <c r="J184" i="2"/>
  <c r="J188" i="2"/>
  <c r="J192" i="2"/>
  <c r="J194" i="2"/>
  <c r="J202" i="2"/>
  <c r="J203" i="2"/>
  <c r="M208" i="2"/>
  <c r="N208" i="2" s="1"/>
  <c r="J209" i="2"/>
  <c r="J211" i="2"/>
  <c r="J214" i="2"/>
  <c r="M220" i="2"/>
  <c r="N220" i="2" s="1"/>
  <c r="J223" i="2"/>
  <c r="M255" i="2"/>
  <c r="N255" i="2" s="1"/>
  <c r="J287" i="2"/>
  <c r="J295" i="2"/>
  <c r="J306" i="2"/>
  <c r="M307" i="2"/>
  <c r="N307" i="2" s="1"/>
  <c r="J308" i="2"/>
  <c r="M309" i="2"/>
  <c r="N309" i="2" s="1"/>
  <c r="J310" i="2"/>
  <c r="M311" i="2"/>
  <c r="N311" i="2" s="1"/>
  <c r="M410" i="2"/>
  <c r="N410" i="2" s="1"/>
  <c r="M113" i="2"/>
  <c r="N113" i="2" s="1"/>
  <c r="M114" i="2"/>
  <c r="N114" i="2" s="1"/>
  <c r="M116" i="2"/>
  <c r="N116" i="2" s="1"/>
  <c r="M120" i="2"/>
  <c r="N120" i="2" s="1"/>
  <c r="M124" i="2"/>
  <c r="N124" i="2" s="1"/>
  <c r="M128" i="2"/>
  <c r="N128" i="2" s="1"/>
  <c r="M132" i="2"/>
  <c r="N132" i="2" s="1"/>
  <c r="M160" i="2"/>
  <c r="N160" i="2" s="1"/>
  <c r="M161" i="2"/>
  <c r="N161" i="2" s="1"/>
  <c r="J187" i="2"/>
  <c r="J191" i="2"/>
  <c r="J195" i="2"/>
  <c r="M202" i="2"/>
  <c r="N202" i="2" s="1"/>
  <c r="J218" i="2"/>
  <c r="M224" i="2"/>
  <c r="N224" i="2" s="1"/>
  <c r="M228" i="2"/>
  <c r="N228" i="2" s="1"/>
  <c r="M232" i="2"/>
  <c r="N232" i="2" s="1"/>
  <c r="M250" i="2"/>
  <c r="N250" i="2" s="1"/>
  <c r="M258" i="2"/>
  <c r="N258" i="2" s="1"/>
  <c r="M261" i="2"/>
  <c r="N261" i="2" s="1"/>
  <c r="J312" i="2"/>
  <c r="M313" i="2"/>
  <c r="N313" i="2" s="1"/>
  <c r="J377" i="2"/>
  <c r="M407" i="2"/>
  <c r="N407" i="2" s="1"/>
  <c r="M243" i="2"/>
  <c r="N243" i="2" s="1"/>
  <c r="M248" i="2"/>
  <c r="N248" i="2" s="1"/>
  <c r="M254" i="2"/>
  <c r="N254" i="2" s="1"/>
  <c r="M262" i="2"/>
  <c r="N262" i="2" s="1"/>
  <c r="M328" i="2"/>
  <c r="N328" i="2" s="1"/>
  <c r="M398" i="2"/>
  <c r="N398" i="2" s="1"/>
  <c r="M406" i="2"/>
  <c r="N406" i="2" s="1"/>
  <c r="M412" i="2"/>
  <c r="N412" i="2" s="1"/>
  <c r="M214" i="2"/>
  <c r="N214" i="2" s="1"/>
  <c r="M218" i="2"/>
  <c r="N218" i="2" s="1"/>
  <c r="M222" i="2"/>
  <c r="N222" i="2" s="1"/>
  <c r="M226" i="2"/>
  <c r="N226" i="2" s="1"/>
  <c r="J227" i="2"/>
  <c r="M230" i="2"/>
  <c r="N230" i="2" s="1"/>
  <c r="J231" i="2"/>
  <c r="M234" i="2"/>
  <c r="N234" i="2" s="1"/>
  <c r="J235" i="2"/>
  <c r="J236" i="2"/>
  <c r="M242" i="2"/>
  <c r="N242" i="2" s="1"/>
  <c r="J245" i="2"/>
  <c r="M247" i="2"/>
  <c r="N247" i="2" s="1"/>
  <c r="M252" i="2"/>
  <c r="N252" i="2" s="1"/>
  <c r="J255" i="2"/>
  <c r="J257" i="2"/>
  <c r="J290" i="2"/>
  <c r="J294" i="2"/>
  <c r="J298" i="2"/>
  <c r="M302" i="2"/>
  <c r="N302" i="2" s="1"/>
  <c r="M304" i="2"/>
  <c r="N304" i="2" s="1"/>
  <c r="M306" i="2"/>
  <c r="N306" i="2" s="1"/>
  <c r="M308" i="2"/>
  <c r="N308" i="2" s="1"/>
  <c r="M310" i="2"/>
  <c r="N310" i="2" s="1"/>
  <c r="M312" i="2"/>
  <c r="N312" i="2" s="1"/>
  <c r="J385" i="2"/>
  <c r="M396" i="2"/>
  <c r="N396" i="2" s="1"/>
  <c r="M408" i="2"/>
  <c r="N408" i="2" s="1"/>
  <c r="J409" i="2"/>
  <c r="M413" i="2"/>
  <c r="N413" i="2" s="1"/>
  <c r="M414" i="2"/>
  <c r="N414" i="2" s="1"/>
  <c r="M420" i="2"/>
  <c r="N420" i="2" s="1"/>
  <c r="M251" i="2"/>
  <c r="N251" i="2" s="1"/>
  <c r="J253" i="2"/>
  <c r="J258" i="2"/>
  <c r="M259" i="2"/>
  <c r="N259" i="2" s="1"/>
  <c r="M260" i="2"/>
  <c r="N260" i="2" s="1"/>
  <c r="J289" i="2"/>
  <c r="J293" i="2"/>
  <c r="J297" i="2"/>
  <c r="J301" i="2"/>
  <c r="J303" i="2"/>
  <c r="J305" i="2"/>
  <c r="J307" i="2"/>
  <c r="J309" i="2"/>
  <c r="J311" i="2"/>
  <c r="J313" i="2"/>
  <c r="J381" i="2"/>
  <c r="M397" i="2"/>
  <c r="N397" i="2" s="1"/>
  <c r="M404" i="2"/>
  <c r="N404" i="2" s="1"/>
  <c r="J405" i="2"/>
  <c r="J415" i="2"/>
  <c r="J419" i="2"/>
  <c r="J421" i="2"/>
  <c r="J423" i="2"/>
  <c r="M424" i="2"/>
  <c r="N424" i="2" s="1"/>
  <c r="M458" i="2"/>
  <c r="N458" i="2" s="1"/>
  <c r="J374" i="2"/>
  <c r="J378" i="2"/>
  <c r="J382" i="2"/>
  <c r="J392" i="2"/>
  <c r="J400" i="2"/>
  <c r="J402" i="2"/>
  <c r="M405" i="2"/>
  <c r="N405" i="2" s="1"/>
  <c r="J406" i="2"/>
  <c r="M409" i="2"/>
  <c r="N409" i="2" s="1"/>
  <c r="J410" i="2"/>
  <c r="M419" i="2"/>
  <c r="N419" i="2" s="1"/>
  <c r="M421" i="2"/>
  <c r="N421" i="2" s="1"/>
  <c r="M423" i="2"/>
  <c r="N423" i="2" s="1"/>
  <c r="J427" i="2"/>
  <c r="J468" i="2"/>
  <c r="J356" i="2"/>
  <c r="J375" i="2"/>
  <c r="J379" i="2"/>
  <c r="J390" i="2"/>
  <c r="J394" i="2"/>
  <c r="M402" i="2"/>
  <c r="N402" i="2" s="1"/>
  <c r="J403" i="2"/>
  <c r="J407" i="2"/>
  <c r="J411" i="2"/>
  <c r="J412" i="2"/>
  <c r="J413" i="2"/>
  <c r="M416" i="2"/>
  <c r="N416" i="2" s="1"/>
  <c r="M418" i="2"/>
  <c r="N418" i="2" s="1"/>
  <c r="M427" i="2"/>
  <c r="N427" i="2" s="1"/>
  <c r="M422" i="2"/>
  <c r="N422" i="2" s="1"/>
  <c r="M426" i="2"/>
  <c r="N426" i="2" s="1"/>
  <c r="M439" i="2"/>
  <c r="N439" i="2" s="1"/>
  <c r="M447" i="2"/>
  <c r="N447" i="2" s="1"/>
  <c r="R526" i="2"/>
  <c r="M526" i="2"/>
  <c r="N526" i="2" s="1"/>
  <c r="V529" i="2"/>
  <c r="M529" i="2"/>
  <c r="N529" i="2" s="1"/>
  <c r="V537" i="2"/>
  <c r="M537" i="2"/>
  <c r="N537" i="2" s="1"/>
  <c r="M541" i="2"/>
  <c r="N541" i="2" s="1"/>
  <c r="R541" i="2"/>
  <c r="M440" i="2"/>
  <c r="N440" i="2" s="1"/>
  <c r="M448" i="2"/>
  <c r="N448" i="2" s="1"/>
  <c r="J469" i="2"/>
  <c r="M473" i="2"/>
  <c r="N473" i="2" s="1"/>
  <c r="Z488" i="2"/>
  <c r="M488" i="2"/>
  <c r="N488" i="2" s="1"/>
  <c r="J425" i="2"/>
  <c r="M435" i="2"/>
  <c r="N435" i="2" s="1"/>
  <c r="M443" i="2"/>
  <c r="N443" i="2" s="1"/>
  <c r="M451" i="2"/>
  <c r="N451" i="2" s="1"/>
  <c r="J452" i="2"/>
  <c r="J453" i="2"/>
  <c r="M454" i="2"/>
  <c r="N454" i="2" s="1"/>
  <c r="M501" i="2"/>
  <c r="N501" i="2" s="1"/>
  <c r="M518" i="2"/>
  <c r="N518" i="2" s="1"/>
  <c r="M538" i="2"/>
  <c r="N538" i="2" s="1"/>
  <c r="V538" i="2"/>
  <c r="M485" i="2"/>
  <c r="N485" i="2" s="1"/>
  <c r="M524" i="2"/>
  <c r="N524" i="2" s="1"/>
  <c r="M540" i="2"/>
  <c r="N540" i="2" s="1"/>
  <c r="J463" i="2"/>
  <c r="J470" i="2"/>
  <c r="M471" i="2"/>
  <c r="N471" i="2" s="1"/>
  <c r="M478" i="2"/>
  <c r="N478" i="2" s="1"/>
  <c r="AX485" i="2"/>
  <c r="R524" i="2"/>
  <c r="R540" i="2"/>
  <c r="M532" i="2"/>
  <c r="N532" i="2" s="1"/>
  <c r="M29" i="2"/>
  <c r="N29" i="2" s="1"/>
  <c r="M37" i="2"/>
  <c r="N37" i="2" s="1"/>
  <c r="J12" i="2"/>
  <c r="J16" i="2"/>
  <c r="J20" i="2"/>
  <c r="J27" i="2"/>
  <c r="J31" i="2"/>
  <c r="J35" i="2"/>
  <c r="J39" i="2"/>
  <c r="J43" i="2"/>
  <c r="J47" i="2"/>
  <c r="J51" i="2"/>
  <c r="J55" i="2"/>
  <c r="J58" i="2"/>
  <c r="M60" i="2"/>
  <c r="N60" i="2" s="1"/>
  <c r="M61" i="2"/>
  <c r="N61" i="2" s="1"/>
  <c r="M62" i="2"/>
  <c r="N62" i="2" s="1"/>
  <c r="M63" i="2"/>
  <c r="N63" i="2" s="1"/>
  <c r="M64" i="2"/>
  <c r="N64" i="2" s="1"/>
  <c r="M65" i="2"/>
  <c r="N65" i="2" s="1"/>
  <c r="M66" i="2"/>
  <c r="N66" i="2" s="1"/>
  <c r="M67" i="2"/>
  <c r="N67" i="2" s="1"/>
  <c r="M68" i="2"/>
  <c r="N68" i="2" s="1"/>
  <c r="M69" i="2"/>
  <c r="N69" i="2" s="1"/>
  <c r="M70" i="2"/>
  <c r="N70" i="2" s="1"/>
  <c r="M71" i="2"/>
  <c r="N71" i="2" s="1"/>
  <c r="M72" i="2"/>
  <c r="N72" i="2" s="1"/>
  <c r="M73" i="2"/>
  <c r="N73" i="2" s="1"/>
  <c r="M74" i="2"/>
  <c r="N74" i="2" s="1"/>
  <c r="M75" i="2"/>
  <c r="N75" i="2" s="1"/>
  <c r="M76" i="2"/>
  <c r="N76" i="2" s="1"/>
  <c r="M77" i="2"/>
  <c r="N77" i="2" s="1"/>
  <c r="M78" i="2"/>
  <c r="N78" i="2" s="1"/>
  <c r="M79" i="2"/>
  <c r="N79" i="2" s="1"/>
  <c r="M81" i="2"/>
  <c r="N81" i="2" s="1"/>
  <c r="M85" i="2"/>
  <c r="N85" i="2" s="1"/>
  <c r="M58" i="2"/>
  <c r="N58" i="2" s="1"/>
  <c r="M59" i="2"/>
  <c r="N59" i="2" s="1"/>
  <c r="M80" i="2"/>
  <c r="N80" i="2" s="1"/>
  <c r="J82" i="2"/>
  <c r="M83" i="2"/>
  <c r="N83" i="2" s="1"/>
  <c r="J86" i="2"/>
  <c r="N147" i="6"/>
  <c r="J10" i="2"/>
  <c r="J14" i="2"/>
  <c r="J18" i="2"/>
  <c r="J22" i="2"/>
  <c r="J25" i="2"/>
  <c r="J29" i="2"/>
  <c r="J33" i="2"/>
  <c r="J37" i="2"/>
  <c r="J41" i="2"/>
  <c r="J45" i="2"/>
  <c r="J49" i="2"/>
  <c r="J53" i="2"/>
  <c r="J57" i="2"/>
  <c r="M82" i="2"/>
  <c r="N82" i="2" s="1"/>
  <c r="M86" i="2"/>
  <c r="N86" i="2" s="1"/>
  <c r="M84" i="2"/>
  <c r="N84" i="2" s="1"/>
  <c r="J84" i="2"/>
  <c r="J88" i="2"/>
  <c r="J92" i="2"/>
  <c r="J96" i="2"/>
  <c r="J100" i="2"/>
  <c r="J104" i="2"/>
  <c r="J112" i="2"/>
  <c r="J116" i="2"/>
  <c r="J117" i="2"/>
  <c r="J118" i="2"/>
  <c r="J119" i="2"/>
  <c r="J120" i="2"/>
  <c r="J121" i="2"/>
  <c r="J122" i="2"/>
  <c r="J123" i="2"/>
  <c r="J124" i="2"/>
  <c r="J125" i="2"/>
  <c r="J126" i="2"/>
  <c r="J127" i="2"/>
  <c r="J128" i="2"/>
  <c r="J129" i="2"/>
  <c r="J130" i="2"/>
  <c r="J131" i="2"/>
  <c r="J132" i="2"/>
  <c r="J133" i="2"/>
  <c r="J134" i="2"/>
  <c r="J135" i="2"/>
  <c r="M140" i="2"/>
  <c r="N140" i="2" s="1"/>
  <c r="J143" i="2"/>
  <c r="J147" i="2"/>
  <c r="J151" i="2"/>
  <c r="M152" i="2"/>
  <c r="N152" i="2" s="1"/>
  <c r="M158" i="2"/>
  <c r="N158" i="2" s="1"/>
  <c r="M136" i="2"/>
  <c r="N136" i="2" s="1"/>
  <c r="M137" i="2"/>
  <c r="N137" i="2" s="1"/>
  <c r="M138" i="2"/>
  <c r="N138" i="2" s="1"/>
  <c r="M139" i="2"/>
  <c r="N139" i="2" s="1"/>
  <c r="M141" i="2"/>
  <c r="N141" i="2" s="1"/>
  <c r="M142" i="2"/>
  <c r="N142" i="2" s="1"/>
  <c r="J146" i="2"/>
  <c r="M147" i="2"/>
  <c r="N147" i="2" s="1"/>
  <c r="J150" i="2"/>
  <c r="M151" i="2"/>
  <c r="N151" i="2" s="1"/>
  <c r="J153" i="2"/>
  <c r="J156" i="2"/>
  <c r="M159" i="2"/>
  <c r="N159" i="2" s="1"/>
  <c r="J90" i="2"/>
  <c r="J94" i="2"/>
  <c r="J98" i="2"/>
  <c r="J102" i="2"/>
  <c r="J106" i="2"/>
  <c r="J114" i="2"/>
  <c r="M146" i="2"/>
  <c r="N146" i="2" s="1"/>
  <c r="M148" i="2"/>
  <c r="N148" i="2" s="1"/>
  <c r="M149" i="2"/>
  <c r="N149" i="2" s="1"/>
  <c r="M150" i="2"/>
  <c r="N150" i="2" s="1"/>
  <c r="M153" i="2"/>
  <c r="N153" i="2" s="1"/>
  <c r="M154" i="2"/>
  <c r="N154" i="2" s="1"/>
  <c r="J155" i="2"/>
  <c r="M156" i="2"/>
  <c r="N156" i="2" s="1"/>
  <c r="J140" i="2"/>
  <c r="J158" i="2"/>
  <c r="J159" i="2"/>
  <c r="J163" i="2"/>
  <c r="J167" i="2"/>
  <c r="M170" i="2"/>
  <c r="N170" i="2" s="1"/>
  <c r="J172" i="2"/>
  <c r="M178" i="2"/>
  <c r="N178" i="2" s="1"/>
  <c r="M182" i="2"/>
  <c r="N182" i="2" s="1"/>
  <c r="M186" i="2"/>
  <c r="N186" i="2" s="1"/>
  <c r="M190" i="2"/>
  <c r="N190" i="2" s="1"/>
  <c r="M196" i="2"/>
  <c r="N196" i="2" s="1"/>
  <c r="M200" i="2"/>
  <c r="N200" i="2" s="1"/>
  <c r="M201" i="2"/>
  <c r="N201" i="2" s="1"/>
  <c r="M204" i="2"/>
  <c r="N204" i="2" s="1"/>
  <c r="M205" i="2"/>
  <c r="N205" i="2" s="1"/>
  <c r="M209" i="2"/>
  <c r="N209" i="2" s="1"/>
  <c r="M213" i="2"/>
  <c r="N213" i="2" s="1"/>
  <c r="M217" i="2"/>
  <c r="N217" i="2" s="1"/>
  <c r="M221" i="2"/>
  <c r="N221" i="2" s="1"/>
  <c r="M225" i="2"/>
  <c r="N225" i="2" s="1"/>
  <c r="M229" i="2"/>
  <c r="N229" i="2" s="1"/>
  <c r="M233" i="2"/>
  <c r="N233" i="2" s="1"/>
  <c r="J174" i="2"/>
  <c r="M175" i="2"/>
  <c r="N175" i="2" s="1"/>
  <c r="M179" i="2"/>
  <c r="N179" i="2" s="1"/>
  <c r="M183" i="2"/>
  <c r="N183" i="2" s="1"/>
  <c r="M187" i="2"/>
  <c r="N187" i="2" s="1"/>
  <c r="M191" i="2"/>
  <c r="N191" i="2" s="1"/>
  <c r="AT2" i="2"/>
  <c r="F254" i="5" s="1"/>
  <c r="M195" i="2"/>
  <c r="N195" i="2" s="1"/>
  <c r="M199" i="2"/>
  <c r="N199" i="2" s="1"/>
  <c r="M238" i="2"/>
  <c r="N238" i="2" s="1"/>
  <c r="M240" i="2"/>
  <c r="N240" i="2" s="1"/>
  <c r="J161" i="2"/>
  <c r="J165" i="2"/>
  <c r="M169" i="2"/>
  <c r="N169" i="2" s="1"/>
  <c r="M174" i="2"/>
  <c r="N174" i="2" s="1"/>
  <c r="M176" i="2"/>
  <c r="N176" i="2" s="1"/>
  <c r="M180" i="2"/>
  <c r="N180" i="2" s="1"/>
  <c r="M184" i="2"/>
  <c r="N184" i="2" s="1"/>
  <c r="M188" i="2"/>
  <c r="N188" i="2" s="1"/>
  <c r="M192" i="2"/>
  <c r="N192" i="2" s="1"/>
  <c r="M194" i="2"/>
  <c r="N194" i="2" s="1"/>
  <c r="M198" i="2"/>
  <c r="N198" i="2" s="1"/>
  <c r="M207" i="2"/>
  <c r="N207" i="2" s="1"/>
  <c r="M211" i="2"/>
  <c r="N211" i="2" s="1"/>
  <c r="M215" i="2"/>
  <c r="N215" i="2" s="1"/>
  <c r="M219" i="2"/>
  <c r="N219" i="2" s="1"/>
  <c r="M223" i="2"/>
  <c r="N223" i="2" s="1"/>
  <c r="M227" i="2"/>
  <c r="N227" i="2" s="1"/>
  <c r="M231" i="2"/>
  <c r="N231" i="2" s="1"/>
  <c r="M235" i="2"/>
  <c r="N235" i="2" s="1"/>
  <c r="M236" i="2"/>
  <c r="N236" i="2" s="1"/>
  <c r="M237" i="2"/>
  <c r="N237" i="2" s="1"/>
  <c r="J170" i="2"/>
  <c r="M171" i="2"/>
  <c r="N171" i="2" s="1"/>
  <c r="M177" i="2"/>
  <c r="N177" i="2" s="1"/>
  <c r="M181" i="2"/>
  <c r="N181" i="2" s="1"/>
  <c r="M185" i="2"/>
  <c r="N185" i="2" s="1"/>
  <c r="M189" i="2"/>
  <c r="N189" i="2" s="1"/>
  <c r="M193" i="2"/>
  <c r="N193" i="2" s="1"/>
  <c r="M197" i="2"/>
  <c r="N197" i="2" s="1"/>
  <c r="J201" i="2"/>
  <c r="J205" i="2"/>
  <c r="M239" i="2"/>
  <c r="N239" i="2" s="1"/>
  <c r="M241" i="2"/>
  <c r="N241" i="2" s="1"/>
  <c r="J263" i="2"/>
  <c r="J264" i="2"/>
  <c r="J265" i="2"/>
  <c r="J266" i="2"/>
  <c r="J267" i="2"/>
  <c r="J268" i="2"/>
  <c r="J269" i="2"/>
  <c r="J270" i="2"/>
  <c r="J271" i="2"/>
  <c r="J272" i="2"/>
  <c r="J273" i="2"/>
  <c r="J274" i="2"/>
  <c r="J275" i="2"/>
  <c r="J276" i="2"/>
  <c r="J277" i="2"/>
  <c r="J278" i="2"/>
  <c r="M290" i="2"/>
  <c r="N290" i="2" s="1"/>
  <c r="M294" i="2"/>
  <c r="N294" i="2" s="1"/>
  <c r="M298" i="2"/>
  <c r="N298" i="2" s="1"/>
  <c r="J373" i="2"/>
  <c r="M393" i="2"/>
  <c r="N393" i="2" s="1"/>
  <c r="M428" i="2"/>
  <c r="N428" i="2" s="1"/>
  <c r="J429" i="2"/>
  <c r="R516" i="2"/>
  <c r="M516" i="2"/>
  <c r="N516" i="2" s="1"/>
  <c r="J244" i="2"/>
  <c r="M245" i="2"/>
  <c r="N245" i="2" s="1"/>
  <c r="J248" i="2"/>
  <c r="M249" i="2"/>
  <c r="N249" i="2" s="1"/>
  <c r="J252" i="2"/>
  <c r="J254" i="2"/>
  <c r="J256" i="2"/>
  <c r="M257" i="2"/>
  <c r="N257" i="2" s="1"/>
  <c r="M263" i="2"/>
  <c r="N263" i="2" s="1"/>
  <c r="M264" i="2"/>
  <c r="N264" i="2" s="1"/>
  <c r="M265" i="2"/>
  <c r="N265" i="2" s="1"/>
  <c r="M266" i="2"/>
  <c r="N266" i="2" s="1"/>
  <c r="M267" i="2"/>
  <c r="N267" i="2" s="1"/>
  <c r="M268" i="2"/>
  <c r="N268" i="2" s="1"/>
  <c r="M269" i="2"/>
  <c r="N269" i="2" s="1"/>
  <c r="M270" i="2"/>
  <c r="N270" i="2" s="1"/>
  <c r="M271" i="2"/>
  <c r="N271" i="2" s="1"/>
  <c r="M272" i="2"/>
  <c r="N272" i="2" s="1"/>
  <c r="M273" i="2"/>
  <c r="N273" i="2" s="1"/>
  <c r="M274" i="2"/>
  <c r="N274" i="2" s="1"/>
  <c r="M275" i="2"/>
  <c r="N275" i="2" s="1"/>
  <c r="M276" i="2"/>
  <c r="N276" i="2" s="1"/>
  <c r="M277" i="2"/>
  <c r="N277" i="2" s="1"/>
  <c r="M278" i="2"/>
  <c r="N278" i="2" s="1"/>
  <c r="J283" i="2"/>
  <c r="M287" i="2"/>
  <c r="N287" i="2" s="1"/>
  <c r="M291" i="2"/>
  <c r="N291" i="2" s="1"/>
  <c r="M295" i="2"/>
  <c r="N295" i="2" s="1"/>
  <c r="M299" i="2"/>
  <c r="N299" i="2" s="1"/>
  <c r="J440" i="2"/>
  <c r="J196" i="2"/>
  <c r="J197" i="2"/>
  <c r="J198" i="2"/>
  <c r="J199" i="2"/>
  <c r="J200" i="2"/>
  <c r="J204" i="2"/>
  <c r="J237" i="2"/>
  <c r="J238" i="2"/>
  <c r="J239" i="2"/>
  <c r="J240" i="2"/>
  <c r="J241" i="2"/>
  <c r="J242" i="2"/>
  <c r="J243" i="2"/>
  <c r="J247" i="2"/>
  <c r="J251" i="2"/>
  <c r="J259" i="2"/>
  <c r="J260" i="2"/>
  <c r="J261" i="2"/>
  <c r="J262" i="2"/>
  <c r="J279" i="2"/>
  <c r="M283" i="2"/>
  <c r="N283" i="2" s="1"/>
  <c r="M288" i="2"/>
  <c r="N288" i="2" s="1"/>
  <c r="M292" i="2"/>
  <c r="N292" i="2" s="1"/>
  <c r="M296" i="2"/>
  <c r="N296" i="2" s="1"/>
  <c r="M300" i="2"/>
  <c r="N300" i="2" s="1"/>
  <c r="M314" i="2"/>
  <c r="N314" i="2" s="1"/>
  <c r="M315" i="2"/>
  <c r="N315" i="2" s="1"/>
  <c r="M316" i="2"/>
  <c r="N316" i="2" s="1"/>
  <c r="M317" i="2"/>
  <c r="N317" i="2" s="1"/>
  <c r="M318" i="2"/>
  <c r="N318" i="2" s="1"/>
  <c r="M319" i="2"/>
  <c r="N319" i="2" s="1"/>
  <c r="M320" i="2"/>
  <c r="N320" i="2" s="1"/>
  <c r="M321" i="2"/>
  <c r="N321" i="2" s="1"/>
  <c r="M322" i="2"/>
  <c r="N322" i="2" s="1"/>
  <c r="M323" i="2"/>
  <c r="N323" i="2" s="1"/>
  <c r="M324" i="2"/>
  <c r="N324" i="2" s="1"/>
  <c r="M325" i="2"/>
  <c r="N325" i="2" s="1"/>
  <c r="M326" i="2"/>
  <c r="N326" i="2" s="1"/>
  <c r="M327" i="2"/>
  <c r="N327" i="2" s="1"/>
  <c r="M376" i="2"/>
  <c r="N376" i="2" s="1"/>
  <c r="M380" i="2"/>
  <c r="N380" i="2" s="1"/>
  <c r="M457" i="2"/>
  <c r="N457" i="2" s="1"/>
  <c r="M279" i="2"/>
  <c r="N279" i="2" s="1"/>
  <c r="M280" i="2"/>
  <c r="N280" i="2" s="1"/>
  <c r="J281" i="2"/>
  <c r="M282" i="2"/>
  <c r="N282" i="2" s="1"/>
  <c r="M289" i="2"/>
  <c r="N289" i="2" s="1"/>
  <c r="M293" i="2"/>
  <c r="N293" i="2" s="1"/>
  <c r="M297" i="2"/>
  <c r="N297" i="2" s="1"/>
  <c r="M301" i="2"/>
  <c r="N301" i="2" s="1"/>
  <c r="J355" i="2"/>
  <c r="M390" i="2"/>
  <c r="N390" i="2" s="1"/>
  <c r="M450" i="2"/>
  <c r="N450" i="2" s="1"/>
  <c r="M452" i="2"/>
  <c r="N452" i="2" s="1"/>
  <c r="J454" i="2"/>
  <c r="M329" i="2"/>
  <c r="N329" i="2" s="1"/>
  <c r="M330" i="2"/>
  <c r="N330" i="2" s="1"/>
  <c r="M331" i="2"/>
  <c r="N331" i="2" s="1"/>
  <c r="M332" i="2"/>
  <c r="N332" i="2" s="1"/>
  <c r="M333" i="2"/>
  <c r="N333" i="2" s="1"/>
  <c r="J334" i="2"/>
  <c r="J335" i="2"/>
  <c r="J336" i="2"/>
  <c r="J337" i="2"/>
  <c r="J338" i="2"/>
  <c r="J339" i="2"/>
  <c r="J340" i="2"/>
  <c r="J341" i="2"/>
  <c r="J342" i="2"/>
  <c r="J343" i="2"/>
  <c r="J344" i="2"/>
  <c r="J345" i="2"/>
  <c r="J346" i="2"/>
  <c r="J347" i="2"/>
  <c r="J348" i="2"/>
  <c r="J349" i="2"/>
  <c r="J350" i="2"/>
  <c r="J351" i="2"/>
  <c r="J352" i="2"/>
  <c r="J353" i="2"/>
  <c r="J354" i="2"/>
  <c r="M373" i="2"/>
  <c r="N373" i="2" s="1"/>
  <c r="M377" i="2"/>
  <c r="N377" i="2" s="1"/>
  <c r="M381" i="2"/>
  <c r="N381" i="2" s="1"/>
  <c r="M385" i="2"/>
  <c r="N385" i="2" s="1"/>
  <c r="J391" i="2"/>
  <c r="M434" i="2"/>
  <c r="N434" i="2" s="1"/>
  <c r="J436" i="2"/>
  <c r="M446" i="2"/>
  <c r="N446" i="2" s="1"/>
  <c r="J455" i="2"/>
  <c r="M494" i="2"/>
  <c r="N494" i="2" s="1"/>
  <c r="V494" i="2"/>
  <c r="V506" i="2"/>
  <c r="M506" i="2"/>
  <c r="N506" i="2" s="1"/>
  <c r="J314" i="2"/>
  <c r="J315" i="2"/>
  <c r="J316" i="2"/>
  <c r="J317" i="2"/>
  <c r="J318" i="2"/>
  <c r="J319" i="2"/>
  <c r="J320" i="2"/>
  <c r="J321" i="2"/>
  <c r="J322" i="2"/>
  <c r="J323" i="2"/>
  <c r="J324" i="2"/>
  <c r="J325" i="2"/>
  <c r="J326" i="2"/>
  <c r="J327" i="2"/>
  <c r="J328" i="2"/>
  <c r="M355" i="2"/>
  <c r="N355" i="2" s="1"/>
  <c r="M357" i="2"/>
  <c r="N357" i="2" s="1"/>
  <c r="M358" i="2"/>
  <c r="N358" i="2" s="1"/>
  <c r="M359" i="2"/>
  <c r="N359" i="2" s="1"/>
  <c r="M360" i="2"/>
  <c r="N360" i="2" s="1"/>
  <c r="M361" i="2"/>
  <c r="N361" i="2" s="1"/>
  <c r="M362" i="2"/>
  <c r="N362" i="2" s="1"/>
  <c r="M374" i="2"/>
  <c r="N374" i="2" s="1"/>
  <c r="M378" i="2"/>
  <c r="N378" i="2" s="1"/>
  <c r="M382" i="2"/>
  <c r="N382" i="2" s="1"/>
  <c r="M383" i="2"/>
  <c r="N383" i="2" s="1"/>
  <c r="J384" i="2"/>
  <c r="M389" i="2"/>
  <c r="N389" i="2" s="1"/>
  <c r="M432" i="2"/>
  <c r="N432" i="2" s="1"/>
  <c r="J433" i="2"/>
  <c r="M442" i="2"/>
  <c r="N442" i="2" s="1"/>
  <c r="J448" i="2"/>
  <c r="M496" i="2"/>
  <c r="N496" i="2" s="1"/>
  <c r="R496" i="2"/>
  <c r="J329" i="2"/>
  <c r="J330" i="2"/>
  <c r="J331" i="2"/>
  <c r="J332" i="2"/>
  <c r="J333" i="2"/>
  <c r="M334" i="2"/>
  <c r="N334" i="2" s="1"/>
  <c r="M335" i="2"/>
  <c r="N335" i="2" s="1"/>
  <c r="M336" i="2"/>
  <c r="N336" i="2" s="1"/>
  <c r="M337" i="2"/>
  <c r="N337" i="2" s="1"/>
  <c r="M338" i="2"/>
  <c r="N338" i="2" s="1"/>
  <c r="M339" i="2"/>
  <c r="N339" i="2" s="1"/>
  <c r="M340" i="2"/>
  <c r="N340" i="2" s="1"/>
  <c r="M341" i="2"/>
  <c r="N341" i="2" s="1"/>
  <c r="M342" i="2"/>
  <c r="N342" i="2" s="1"/>
  <c r="M343" i="2"/>
  <c r="N343" i="2" s="1"/>
  <c r="M344" i="2"/>
  <c r="N344" i="2" s="1"/>
  <c r="M345" i="2"/>
  <c r="N345" i="2" s="1"/>
  <c r="M346" i="2"/>
  <c r="N346" i="2" s="1"/>
  <c r="M347" i="2"/>
  <c r="N347" i="2" s="1"/>
  <c r="M348" i="2"/>
  <c r="N348" i="2" s="1"/>
  <c r="M349" i="2"/>
  <c r="N349" i="2" s="1"/>
  <c r="M350" i="2"/>
  <c r="N350" i="2" s="1"/>
  <c r="M351" i="2"/>
  <c r="N351" i="2" s="1"/>
  <c r="M352" i="2"/>
  <c r="N352" i="2" s="1"/>
  <c r="M353" i="2"/>
  <c r="N353" i="2" s="1"/>
  <c r="M354" i="2"/>
  <c r="N354" i="2" s="1"/>
  <c r="M363" i="2"/>
  <c r="N363" i="2" s="1"/>
  <c r="M364" i="2"/>
  <c r="N364" i="2" s="1"/>
  <c r="M365" i="2"/>
  <c r="N365" i="2" s="1"/>
  <c r="M366" i="2"/>
  <c r="N366" i="2" s="1"/>
  <c r="M367" i="2"/>
  <c r="N367" i="2" s="1"/>
  <c r="M368" i="2"/>
  <c r="N368" i="2" s="1"/>
  <c r="M369" i="2"/>
  <c r="N369" i="2" s="1"/>
  <c r="M370" i="2"/>
  <c r="N370" i="2" s="1"/>
  <c r="M371" i="2"/>
  <c r="N371" i="2" s="1"/>
  <c r="M372" i="2"/>
  <c r="N372" i="2" s="1"/>
  <c r="M375" i="2"/>
  <c r="N375" i="2" s="1"/>
  <c r="M379" i="2"/>
  <c r="N379" i="2" s="1"/>
  <c r="M386" i="2"/>
  <c r="N386" i="2" s="1"/>
  <c r="M387" i="2"/>
  <c r="N387" i="2" s="1"/>
  <c r="J388" i="2"/>
  <c r="M391" i="2"/>
  <c r="N391" i="2" s="1"/>
  <c r="M394" i="2"/>
  <c r="N394" i="2" s="1"/>
  <c r="M399" i="2"/>
  <c r="N399" i="2" s="1"/>
  <c r="M401" i="2"/>
  <c r="N401" i="2" s="1"/>
  <c r="M403" i="2"/>
  <c r="N403" i="2" s="1"/>
  <c r="M430" i="2"/>
  <c r="N430" i="2" s="1"/>
  <c r="J431" i="2"/>
  <c r="M438" i="2"/>
  <c r="N438" i="2" s="1"/>
  <c r="J444" i="2"/>
  <c r="R490" i="2"/>
  <c r="M490" i="2"/>
  <c r="N490" i="2" s="1"/>
  <c r="M491" i="2"/>
  <c r="N491" i="2" s="1"/>
  <c r="R491" i="2"/>
  <c r="BB522" i="2"/>
  <c r="M522" i="2"/>
  <c r="N522" i="2" s="1"/>
  <c r="V533" i="2"/>
  <c r="M533" i="2"/>
  <c r="N533" i="2" s="1"/>
  <c r="J458" i="2"/>
  <c r="M472" i="2"/>
  <c r="N472" i="2" s="1"/>
  <c r="BA475" i="2"/>
  <c r="BB475" i="2" s="1"/>
  <c r="AC475" i="2"/>
  <c r="AD475" i="2" s="1"/>
  <c r="AS475" i="2"/>
  <c r="AT475" i="2" s="1"/>
  <c r="U475" i="2"/>
  <c r="V475" i="2" s="1"/>
  <c r="BE475" i="2"/>
  <c r="BF475" i="2" s="1"/>
  <c r="AW475" i="2"/>
  <c r="AX475" i="2" s="1"/>
  <c r="Q475" i="2"/>
  <c r="R475" i="2" s="1"/>
  <c r="V489" i="2"/>
  <c r="M489" i="2"/>
  <c r="N489" i="2" s="1"/>
  <c r="AX505" i="2"/>
  <c r="M505" i="2"/>
  <c r="N505" i="2" s="1"/>
  <c r="AD517" i="2"/>
  <c r="M517" i="2"/>
  <c r="N517" i="2" s="1"/>
  <c r="AD521" i="2"/>
  <c r="M521" i="2"/>
  <c r="N521" i="2" s="1"/>
  <c r="J372" i="2"/>
  <c r="J383" i="2"/>
  <c r="M384" i="2"/>
  <c r="N384" i="2" s="1"/>
  <c r="J387" i="2"/>
  <c r="M388" i="2"/>
  <c r="N388" i="2" s="1"/>
  <c r="M392" i="2"/>
  <c r="N392" i="2" s="1"/>
  <c r="J399" i="2"/>
  <c r="J401" i="2"/>
  <c r="J428" i="2"/>
  <c r="M429" i="2"/>
  <c r="N429" i="2" s="1"/>
  <c r="J430" i="2"/>
  <c r="M431" i="2"/>
  <c r="N431" i="2" s="1"/>
  <c r="J432" i="2"/>
  <c r="M433" i="2"/>
  <c r="N433" i="2" s="1"/>
  <c r="J434" i="2"/>
  <c r="J437" i="2"/>
  <c r="J441" i="2"/>
  <c r="J445" i="2"/>
  <c r="J449" i="2"/>
  <c r="M453" i="2"/>
  <c r="N453" i="2" s="1"/>
  <c r="M455" i="2"/>
  <c r="N455" i="2" s="1"/>
  <c r="M456" i="2"/>
  <c r="N456" i="2" s="1"/>
  <c r="J459" i="2"/>
  <c r="M461" i="2"/>
  <c r="N461" i="2" s="1"/>
  <c r="M476" i="2"/>
  <c r="N476" i="2" s="1"/>
  <c r="M539" i="2"/>
  <c r="N539" i="2" s="1"/>
  <c r="R539" i="2"/>
  <c r="J357" i="2"/>
  <c r="J358" i="2"/>
  <c r="J359" i="2"/>
  <c r="J360" i="2"/>
  <c r="J361" i="2"/>
  <c r="J362" i="2"/>
  <c r="J363" i="2"/>
  <c r="J364" i="2"/>
  <c r="J365" i="2"/>
  <c r="J366" i="2"/>
  <c r="J367" i="2"/>
  <c r="J368" i="2"/>
  <c r="J369" i="2"/>
  <c r="J370" i="2"/>
  <c r="J371" i="2"/>
  <c r="J386" i="2"/>
  <c r="J393" i="2"/>
  <c r="J395" i="2"/>
  <c r="J396" i="2"/>
  <c r="J397" i="2"/>
  <c r="J398" i="2"/>
  <c r="M437" i="2"/>
  <c r="N437" i="2" s="1"/>
  <c r="J438" i="2"/>
  <c r="M441" i="2"/>
  <c r="N441" i="2" s="1"/>
  <c r="J442" i="2"/>
  <c r="M445" i="2"/>
  <c r="N445" i="2" s="1"/>
  <c r="J446" i="2"/>
  <c r="M449" i="2"/>
  <c r="N449" i="2" s="1"/>
  <c r="J450" i="2"/>
  <c r="M459" i="2"/>
  <c r="N459" i="2" s="1"/>
  <c r="M460" i="2"/>
  <c r="N460" i="2" s="1"/>
  <c r="Y475" i="2"/>
  <c r="Z475" i="2" s="1"/>
  <c r="M480" i="2"/>
  <c r="N480" i="2" s="1"/>
  <c r="R492" i="2"/>
  <c r="M492" i="2"/>
  <c r="N492" i="2" s="1"/>
  <c r="AD534" i="2"/>
  <c r="M534" i="2"/>
  <c r="N534" i="2" s="1"/>
  <c r="M535" i="2"/>
  <c r="N535" i="2" s="1"/>
  <c r="R535" i="2"/>
  <c r="M474" i="2"/>
  <c r="N474" i="2" s="1"/>
  <c r="M477" i="2"/>
  <c r="N477" i="2" s="1"/>
  <c r="M482" i="2"/>
  <c r="N482" i="2" s="1"/>
  <c r="V484" i="2"/>
  <c r="M484" i="2"/>
  <c r="N484" i="2" s="1"/>
  <c r="M493" i="2"/>
  <c r="N493" i="2" s="1"/>
  <c r="M498" i="2"/>
  <c r="N498" i="2" s="1"/>
  <c r="V500" i="2"/>
  <c r="M500" i="2"/>
  <c r="N500" i="2" s="1"/>
  <c r="AD504" i="2"/>
  <c r="M504" i="2"/>
  <c r="N504" i="2" s="1"/>
  <c r="V525" i="2"/>
  <c r="M525" i="2"/>
  <c r="N525" i="2" s="1"/>
  <c r="M530" i="2"/>
  <c r="N530" i="2" s="1"/>
  <c r="V530" i="2"/>
  <c r="AT481" i="2"/>
  <c r="M481" i="2"/>
  <c r="N481" i="2" s="1"/>
  <c r="R486" i="2"/>
  <c r="M486" i="2"/>
  <c r="N486" i="2" s="1"/>
  <c r="M487" i="2"/>
  <c r="N487" i="2" s="1"/>
  <c r="R487" i="2"/>
  <c r="AT497" i="2"/>
  <c r="M497" i="2"/>
  <c r="N497" i="2" s="1"/>
  <c r="R502" i="2"/>
  <c r="M502" i="2"/>
  <c r="N502" i="2" s="1"/>
  <c r="R510" i="2"/>
  <c r="M510" i="2"/>
  <c r="N510" i="2" s="1"/>
  <c r="M520" i="2"/>
  <c r="N520" i="2" s="1"/>
  <c r="R520" i="2"/>
  <c r="M528" i="2"/>
  <c r="N528" i="2" s="1"/>
  <c r="R528" i="2"/>
  <c r="M544" i="2"/>
  <c r="N544" i="2" s="1"/>
  <c r="R544" i="2"/>
  <c r="M462" i="2"/>
  <c r="N462" i="2" s="1"/>
  <c r="M463" i="2"/>
  <c r="N463" i="2" s="1"/>
  <c r="M464" i="2"/>
  <c r="N464" i="2" s="1"/>
  <c r="M465" i="2"/>
  <c r="N465" i="2" s="1"/>
  <c r="M466" i="2"/>
  <c r="N466" i="2" s="1"/>
  <c r="M467" i="2"/>
  <c r="N467" i="2" s="1"/>
  <c r="M468" i="2"/>
  <c r="N468" i="2" s="1"/>
  <c r="M469" i="2"/>
  <c r="N469" i="2" s="1"/>
  <c r="M470" i="2"/>
  <c r="N470" i="2" s="1"/>
  <c r="M483" i="2"/>
  <c r="N483" i="2" s="1"/>
  <c r="M499" i="2"/>
  <c r="N499" i="2" s="1"/>
  <c r="AT509" i="2"/>
  <c r="M509" i="2"/>
  <c r="N509" i="2" s="1"/>
  <c r="R514" i="2"/>
  <c r="M514" i="2"/>
  <c r="N514" i="2" s="1"/>
  <c r="M527" i="2"/>
  <c r="N527" i="2" s="1"/>
  <c r="R527" i="2"/>
  <c r="M531" i="2"/>
  <c r="N531" i="2" s="1"/>
  <c r="R531" i="2"/>
  <c r="J471" i="2"/>
  <c r="J473" i="2"/>
  <c r="J474" i="2"/>
  <c r="M479" i="2"/>
  <c r="N479" i="2" s="1"/>
  <c r="R483" i="2"/>
  <c r="M495" i="2"/>
  <c r="N495" i="2" s="1"/>
  <c r="R499" i="2"/>
  <c r="M503" i="2"/>
  <c r="N503" i="2" s="1"/>
  <c r="M508" i="2"/>
  <c r="N508" i="2" s="1"/>
  <c r="M511" i="2"/>
  <c r="N511" i="2" s="1"/>
  <c r="R511" i="2"/>
  <c r="M513" i="2"/>
  <c r="N513" i="2" s="1"/>
  <c r="M515" i="2"/>
  <c r="N515" i="2" s="1"/>
  <c r="M519" i="2"/>
  <c r="N519" i="2" s="1"/>
  <c r="R519" i="2"/>
  <c r="M523" i="2"/>
  <c r="N523" i="2" s="1"/>
  <c r="R523" i="2"/>
  <c r="M536" i="2"/>
  <c r="N536" i="2" s="1"/>
  <c r="R536" i="2"/>
  <c r="M542" i="2"/>
  <c r="N542" i="2" s="1"/>
  <c r="AD542" i="2"/>
  <c r="AD545" i="2"/>
  <c r="M545" i="2"/>
  <c r="N545" i="2" s="1"/>
  <c r="M546" i="2"/>
  <c r="N546" i="2" s="1"/>
  <c r="M507" i="2"/>
  <c r="N507" i="2" s="1"/>
  <c r="M543" i="2"/>
  <c r="N543" i="2" s="1"/>
  <c r="R543" i="2"/>
  <c r="O130" i="6"/>
  <c r="O147" i="6" s="1"/>
  <c r="N146" i="6"/>
  <c r="T230" i="5" s="1"/>
  <c r="K188" i="5" l="1"/>
  <c r="J188" i="5" s="1"/>
  <c r="AB27" i="15"/>
  <c r="D67" i="15"/>
  <c r="A67" i="15"/>
  <c r="AD67" i="15" s="1"/>
  <c r="AB67" i="15"/>
  <c r="O67" i="15" s="1"/>
  <c r="A27" i="15"/>
  <c r="AD27" i="15" s="1"/>
  <c r="AB24" i="15"/>
  <c r="A20" i="15"/>
  <c r="AD20" i="15" s="1"/>
  <c r="AB20" i="15"/>
  <c r="H259" i="5"/>
  <c r="D147" i="5"/>
  <c r="E146" i="5" s="1"/>
  <c r="Y76" i="18"/>
  <c r="G63" i="5" s="1"/>
  <c r="B142" i="6" s="1"/>
  <c r="J15" i="11"/>
  <c r="K15" i="11" s="1"/>
  <c r="H260" i="5"/>
  <c r="H254" i="5"/>
  <c r="H261" i="5"/>
  <c r="D167" i="6"/>
  <c r="C85" i="6" s="1"/>
  <c r="H262" i="5"/>
  <c r="T86" i="6"/>
  <c r="H256" i="5"/>
  <c r="H255" i="5"/>
  <c r="H253" i="5"/>
  <c r="H252" i="5"/>
  <c r="H263" i="5"/>
  <c r="D142" i="20"/>
  <c r="D142" i="6"/>
  <c r="D140" i="20"/>
  <c r="S230" i="5"/>
  <c r="D264" i="5"/>
  <c r="D181" i="20"/>
  <c r="D183" i="6"/>
  <c r="J27" i="11"/>
  <c r="K27" i="11" s="1"/>
  <c r="J32" i="11"/>
  <c r="F264" i="5"/>
  <c r="B415" i="11"/>
  <c r="B413" i="11"/>
  <c r="C138" i="6" s="1"/>
  <c r="B412" i="11"/>
  <c r="C414" i="11"/>
  <c r="B414" i="11"/>
  <c r="C415" i="11"/>
  <c r="C413" i="11"/>
  <c r="C412" i="11"/>
  <c r="M2" i="2"/>
  <c r="A69" i="15"/>
  <c r="AD69" i="15" s="1"/>
  <c r="J18" i="11"/>
  <c r="K18" i="11" s="1"/>
  <c r="J9" i="11"/>
  <c r="K9" i="11" s="1"/>
  <c r="D32" i="5"/>
  <c r="D150" i="6"/>
  <c r="F148" i="6" s="1"/>
  <c r="J13" i="11"/>
  <c r="K13" i="11" s="1"/>
  <c r="D139" i="6"/>
  <c r="W108" i="6"/>
  <c r="W106" i="6" s="1"/>
  <c r="D91" i="6"/>
  <c r="D92" i="6" s="1"/>
  <c r="J22" i="11"/>
  <c r="K22" i="11" s="1"/>
  <c r="J21" i="11"/>
  <c r="K21" i="11" s="1"/>
  <c r="J29" i="11"/>
  <c r="K29" i="11" s="1"/>
  <c r="J5" i="11"/>
  <c r="K5" i="11" s="1"/>
  <c r="J28" i="11"/>
  <c r="K28" i="11" s="1"/>
  <c r="J23" i="11"/>
  <c r="K23" i="11" s="1"/>
  <c r="J30" i="11"/>
  <c r="K30" i="11" s="1"/>
  <c r="J16" i="11"/>
  <c r="K16" i="11" s="1"/>
  <c r="J33" i="11"/>
  <c r="K33" i="11" s="1"/>
  <c r="J24" i="11"/>
  <c r="K24" i="11" s="1"/>
  <c r="J26" i="11"/>
  <c r="K26" i="11" s="1"/>
  <c r="J31" i="11"/>
  <c r="K31" i="11" s="1"/>
  <c r="J25" i="11"/>
  <c r="K25" i="11" s="1"/>
  <c r="J19" i="11"/>
  <c r="K19" i="11" s="1"/>
  <c r="J8" i="11"/>
  <c r="K8" i="11" s="1"/>
  <c r="B44" i="11"/>
  <c r="J20" i="11"/>
  <c r="K20" i="11" s="1"/>
  <c r="J12" i="11"/>
  <c r="K12" i="11" s="1"/>
  <c r="J14" i="11"/>
  <c r="K14" i="11" s="1"/>
  <c r="J7" i="11"/>
  <c r="K7" i="11" s="1"/>
  <c r="J6" i="11"/>
  <c r="K6" i="11" s="1"/>
  <c r="B49" i="11"/>
  <c r="B50" i="11"/>
  <c r="B48" i="11"/>
  <c r="C2" i="2"/>
  <c r="J2" i="2"/>
  <c r="C2" i="11"/>
  <c r="M475" i="2"/>
  <c r="N475" i="2" s="1"/>
  <c r="J475" i="2"/>
  <c r="M146" i="6"/>
  <c r="T229" i="5" s="1"/>
  <c r="O146" i="6"/>
  <c r="T231" i="5" s="1"/>
  <c r="P130" i="6"/>
  <c r="A60" i="15" l="1"/>
  <c r="J67" i="15"/>
  <c r="H67" i="15" s="1"/>
  <c r="AE67" i="15"/>
  <c r="AA29" i="15"/>
  <c r="AA28" i="15"/>
  <c r="A28" i="15" s="1"/>
  <c r="AD28" i="15" s="1"/>
  <c r="AE24" i="15"/>
  <c r="Z24" i="15"/>
  <c r="D159" i="20"/>
  <c r="D139" i="20" s="1"/>
  <c r="B139" i="20"/>
  <c r="O24" i="15" s="1"/>
  <c r="A24" i="15"/>
  <c r="AD24" i="15" s="1"/>
  <c r="AE20" i="15"/>
  <c r="J20" i="15"/>
  <c r="H20" i="15" s="1"/>
  <c r="J27" i="15"/>
  <c r="H27" i="15" s="1"/>
  <c r="AE27" i="15"/>
  <c r="C95" i="6"/>
  <c r="C138" i="20"/>
  <c r="O20" i="15" s="1"/>
  <c r="J11" i="11"/>
  <c r="J10" i="11"/>
  <c r="H264" i="5"/>
  <c r="X86" i="6"/>
  <c r="X85" i="6" s="1"/>
  <c r="C140" i="6"/>
  <c r="C140" i="20" s="1"/>
  <c r="C139" i="6"/>
  <c r="C139" i="20" s="1"/>
  <c r="C142" i="6"/>
  <c r="C142" i="20" s="1"/>
  <c r="Z86" i="6"/>
  <c r="AH16" i="6" s="1"/>
  <c r="AI16" i="6" s="1"/>
  <c r="F67" i="15"/>
  <c r="E286" i="5"/>
  <c r="F286" i="5" s="1"/>
  <c r="B138" i="20"/>
  <c r="Z76" i="18"/>
  <c r="G64" i="5" s="1"/>
  <c r="B141" i="6" s="1"/>
  <c r="C108" i="6"/>
  <c r="C106" i="6" s="1"/>
  <c r="AF86" i="6"/>
  <c r="AQ36" i="6"/>
  <c r="AR36" i="6" s="1"/>
  <c r="L86" i="6"/>
  <c r="M36" i="6"/>
  <c r="R86" i="6"/>
  <c r="AD86" i="6"/>
  <c r="AN36" i="6"/>
  <c r="AB86" i="6"/>
  <c r="AK36" i="6"/>
  <c r="AL36" i="6" s="1"/>
  <c r="T85" i="6"/>
  <c r="Y16" i="6"/>
  <c r="Z16" i="6" s="1"/>
  <c r="D173" i="6"/>
  <c r="D171" i="6"/>
  <c r="C53" i="10" s="1"/>
  <c r="C59" i="10" s="1"/>
  <c r="C65" i="10" s="1"/>
  <c r="N167" i="6"/>
  <c r="N165" i="20" s="1"/>
  <c r="J86" i="6"/>
  <c r="J36" i="6"/>
  <c r="K36" i="6" s="1"/>
  <c r="P86" i="6"/>
  <c r="S36" i="6"/>
  <c r="T36" i="6" s="1"/>
  <c r="N86" i="6"/>
  <c r="P36" i="6"/>
  <c r="Q36" i="6" s="1"/>
  <c r="S229" i="5"/>
  <c r="S231" i="5"/>
  <c r="P230" i="5"/>
  <c r="I32" i="11"/>
  <c r="K32" i="11" s="1"/>
  <c r="F52" i="5"/>
  <c r="I52" i="5" s="1"/>
  <c r="E33" i="5"/>
  <c r="D177" i="20"/>
  <c r="D150" i="20"/>
  <c r="F148" i="20" s="1"/>
  <c r="C136" i="20"/>
  <c r="B135" i="20"/>
  <c r="D149" i="6"/>
  <c r="D148" i="6" s="1"/>
  <c r="D149" i="20"/>
  <c r="D148" i="20" s="1"/>
  <c r="Y108" i="6"/>
  <c r="O167" i="6"/>
  <c r="U108" i="6"/>
  <c r="U106" i="6" s="1"/>
  <c r="M167" i="6"/>
  <c r="B46" i="11"/>
  <c r="G54" i="5" s="1"/>
  <c r="B45" i="11"/>
  <c r="B51" i="11"/>
  <c r="C141" i="6" s="1"/>
  <c r="C141" i="20" s="1"/>
  <c r="D158" i="6"/>
  <c r="D158" i="20" s="1"/>
  <c r="N2" i="2"/>
  <c r="F258" i="5" s="1"/>
  <c r="K192" i="5" s="1"/>
  <c r="J192" i="5" s="1"/>
  <c r="M147" i="6"/>
  <c r="Q130" i="6"/>
  <c r="P147" i="6"/>
  <c r="P146" i="6"/>
  <c r="T232" i="5" s="1"/>
  <c r="A29" i="15" l="1"/>
  <c r="AD29" i="15" s="1"/>
  <c r="Z85" i="6"/>
  <c r="AH15" i="6" s="1"/>
  <c r="E138" i="20"/>
  <c r="M138" i="20" s="1"/>
  <c r="D86" i="6"/>
  <c r="D85" i="6" s="1"/>
  <c r="J198" i="5"/>
  <c r="D36" i="6" s="1"/>
  <c r="AE16" i="6"/>
  <c r="AF16" i="6" s="1"/>
  <c r="B141" i="20"/>
  <c r="F62" i="15"/>
  <c r="E138" i="6"/>
  <c r="O138" i="6" s="1"/>
  <c r="B140" i="20"/>
  <c r="AB230" i="5"/>
  <c r="X106" i="6" s="1"/>
  <c r="W106" i="20" s="1"/>
  <c r="AF230" i="5"/>
  <c r="X111" i="6" s="1"/>
  <c r="AE230" i="5"/>
  <c r="AC230" i="5"/>
  <c r="AA230" i="5"/>
  <c r="X104" i="6" s="1"/>
  <c r="W104" i="20" s="1"/>
  <c r="AD230" i="5"/>
  <c r="Z230" i="5"/>
  <c r="X102" i="6" s="1"/>
  <c r="W102" i="20" s="1"/>
  <c r="D172" i="6"/>
  <c r="E172" i="6" s="1"/>
  <c r="C54" i="17" s="1"/>
  <c r="D54" i="17" s="1"/>
  <c r="W90" i="6"/>
  <c r="N169" i="20"/>
  <c r="N170" i="20" s="1"/>
  <c r="N171" i="20"/>
  <c r="W85" i="6"/>
  <c r="N173" i="6"/>
  <c r="N85" i="6"/>
  <c r="P16" i="6"/>
  <c r="Q16" i="6" s="1"/>
  <c r="V86" i="6"/>
  <c r="S13" i="6"/>
  <c r="S35" i="6"/>
  <c r="AD85" i="6"/>
  <c r="AN16" i="6"/>
  <c r="AO16" i="6" s="1"/>
  <c r="L85" i="6"/>
  <c r="M16" i="6"/>
  <c r="N16" i="6" s="1"/>
  <c r="J85" i="6"/>
  <c r="J16" i="6"/>
  <c r="K16" i="6" s="1"/>
  <c r="AN13" i="6"/>
  <c r="AN35" i="6"/>
  <c r="M35" i="6"/>
  <c r="M13" i="6"/>
  <c r="P85" i="6"/>
  <c r="S16" i="6"/>
  <c r="T16" i="6" s="1"/>
  <c r="AO36" i="6"/>
  <c r="AE15" i="6"/>
  <c r="W85" i="20"/>
  <c r="AK13" i="6"/>
  <c r="AK35" i="6"/>
  <c r="AQ13" i="6"/>
  <c r="AQ35" i="6"/>
  <c r="P13" i="6"/>
  <c r="P35" i="6"/>
  <c r="J35" i="6"/>
  <c r="J13" i="6"/>
  <c r="N36" i="6"/>
  <c r="Y15" i="6"/>
  <c r="S85" i="20"/>
  <c r="AB85" i="6"/>
  <c r="AK16" i="6"/>
  <c r="AL16" i="6" s="1"/>
  <c r="R85" i="6"/>
  <c r="V16" i="6"/>
  <c r="W16" i="6" s="1"/>
  <c r="AF85" i="6"/>
  <c r="AQ16" i="6"/>
  <c r="AR16" i="6" s="1"/>
  <c r="O165" i="20"/>
  <c r="O171" i="20" s="1"/>
  <c r="Y90" i="6"/>
  <c r="Z91" i="6" s="1"/>
  <c r="Z92" i="6" s="1"/>
  <c r="M165" i="20"/>
  <c r="M169" i="20" s="1"/>
  <c r="U90" i="6"/>
  <c r="U85" i="6"/>
  <c r="S232" i="5"/>
  <c r="P231" i="5"/>
  <c r="P229" i="5"/>
  <c r="C135" i="6"/>
  <c r="C135" i="20" s="1"/>
  <c r="B136" i="20"/>
  <c r="B142" i="20"/>
  <c r="E142" i="6"/>
  <c r="C93" i="6"/>
  <c r="C47" i="6"/>
  <c r="B143" i="20"/>
  <c r="E143" i="6"/>
  <c r="AD59" i="6"/>
  <c r="AD60" i="6" s="1"/>
  <c r="C59" i="6"/>
  <c r="AG59" i="6"/>
  <c r="AG60" i="6" s="1"/>
  <c r="E136" i="6"/>
  <c r="F136" i="6" s="1"/>
  <c r="AD47" i="6"/>
  <c r="AD48" i="6" s="1"/>
  <c r="AG47" i="6"/>
  <c r="AG48" i="6" s="1"/>
  <c r="Y106" i="6"/>
  <c r="AA108" i="6"/>
  <c r="AA106" i="6" s="1"/>
  <c r="P167" i="6"/>
  <c r="AD56" i="6"/>
  <c r="AD57" i="6" s="1"/>
  <c r="M173" i="6"/>
  <c r="O173" i="6"/>
  <c r="L71" i="6"/>
  <c r="M71" i="6" s="1"/>
  <c r="N71" i="6" s="1"/>
  <c r="AJ71" i="6"/>
  <c r="AK71" i="6" s="1"/>
  <c r="AL71" i="6" s="1"/>
  <c r="O71" i="6"/>
  <c r="P71" i="6" s="1"/>
  <c r="Q71" i="6" s="1"/>
  <c r="C71" i="6"/>
  <c r="AP71" i="6"/>
  <c r="AQ71" i="6" s="1"/>
  <c r="AR71" i="6" s="1"/>
  <c r="R71" i="6"/>
  <c r="S71" i="6" s="1"/>
  <c r="T71" i="6" s="1"/>
  <c r="AM71" i="6"/>
  <c r="AN71" i="6" s="1"/>
  <c r="AO71" i="6" s="1"/>
  <c r="I71" i="6"/>
  <c r="J71" i="6" s="1"/>
  <c r="AA53" i="6"/>
  <c r="AA54" i="6" s="1"/>
  <c r="AD53" i="6"/>
  <c r="C53" i="6"/>
  <c r="AG53" i="6"/>
  <c r="AJ53" i="6"/>
  <c r="AJ54" i="6" s="1"/>
  <c r="E140" i="6"/>
  <c r="F140" i="6" s="1"/>
  <c r="AA59" i="6"/>
  <c r="AA60" i="6" s="1"/>
  <c r="AJ59" i="6"/>
  <c r="E139" i="6"/>
  <c r="AJ47" i="6"/>
  <c r="AA47" i="6"/>
  <c r="AA48" i="6" s="1"/>
  <c r="Q147" i="6"/>
  <c r="Q146" i="6"/>
  <c r="T233" i="5" s="1"/>
  <c r="R130" i="6"/>
  <c r="T35" i="15" l="1"/>
  <c r="T34" i="15"/>
  <c r="T32" i="15"/>
  <c r="Y85" i="20"/>
  <c r="L138" i="20"/>
  <c r="G138" i="20"/>
  <c r="N138" i="20"/>
  <c r="H138" i="20"/>
  <c r="O138" i="20"/>
  <c r="I138" i="20"/>
  <c r="R138" i="20"/>
  <c r="F138" i="20"/>
  <c r="Q138" i="20"/>
  <c r="J138" i="20"/>
  <c r="K138" i="20"/>
  <c r="P138" i="20"/>
  <c r="D87" i="6"/>
  <c r="D89" i="6" s="1"/>
  <c r="E16" i="6"/>
  <c r="D16" i="6"/>
  <c r="C22" i="16" s="1"/>
  <c r="D94" i="6"/>
  <c r="M138" i="6"/>
  <c r="N138" i="6"/>
  <c r="P138" i="6"/>
  <c r="O169" i="20"/>
  <c r="O170" i="20" s="1"/>
  <c r="F138" i="6"/>
  <c r="E140" i="20"/>
  <c r="F140" i="20" s="1"/>
  <c r="AC231" i="5"/>
  <c r="AD231" i="5"/>
  <c r="AF231" i="5"/>
  <c r="Z111" i="6" s="1"/>
  <c r="AA231" i="5"/>
  <c r="Z104" i="6" s="1"/>
  <c r="Y104" i="20" s="1"/>
  <c r="AE231" i="5"/>
  <c r="AB231" i="5"/>
  <c r="Z106" i="6" s="1"/>
  <c r="Y106" i="20" s="1"/>
  <c r="Z231" i="5"/>
  <c r="AA229" i="5"/>
  <c r="V104" i="6" s="1"/>
  <c r="U104" i="20" s="1"/>
  <c r="AE229" i="5"/>
  <c r="AB229" i="5"/>
  <c r="V106" i="6" s="1"/>
  <c r="U106" i="20" s="1"/>
  <c r="AF229" i="5"/>
  <c r="V111" i="6" s="1"/>
  <c r="AC229" i="5"/>
  <c r="AD229" i="5"/>
  <c r="Z229" i="5"/>
  <c r="V102" i="6" s="1"/>
  <c r="U102" i="20" s="1"/>
  <c r="Z102" i="6"/>
  <c r="Y102" i="20" s="1"/>
  <c r="E173" i="6"/>
  <c r="C55" i="17" s="1"/>
  <c r="Y230" i="5"/>
  <c r="X100" i="6" s="1"/>
  <c r="X107" i="6" s="1"/>
  <c r="L56" i="10"/>
  <c r="L53" i="10" s="1"/>
  <c r="L59" i="10" s="1"/>
  <c r="E135" i="20"/>
  <c r="F135" i="20" s="1"/>
  <c r="AN12" i="6"/>
  <c r="AC35" i="20"/>
  <c r="S12" i="6"/>
  <c r="O35" i="20"/>
  <c r="J12" i="6"/>
  <c r="I35" i="20"/>
  <c r="W15" i="20"/>
  <c r="AF15" i="6"/>
  <c r="AQ15" i="6"/>
  <c r="AE85" i="20"/>
  <c r="AK15" i="6"/>
  <c r="AA85" i="20"/>
  <c r="AQ12" i="6"/>
  <c r="AE35" i="20"/>
  <c r="O85" i="20"/>
  <c r="S15" i="6"/>
  <c r="K85" i="20"/>
  <c r="M15" i="6"/>
  <c r="AI15" i="6"/>
  <c r="Y15" i="20"/>
  <c r="Q85" i="20"/>
  <c r="V15" i="6"/>
  <c r="S15" i="20"/>
  <c r="Z15" i="6"/>
  <c r="M35" i="20"/>
  <c r="P12" i="6"/>
  <c r="AK12" i="6"/>
  <c r="AA35" i="20"/>
  <c r="M12" i="6"/>
  <c r="K35" i="20"/>
  <c r="J15" i="6"/>
  <c r="I85" i="20"/>
  <c r="AC85" i="20"/>
  <c r="AN15" i="6"/>
  <c r="V85" i="6"/>
  <c r="AB16" i="6"/>
  <c r="AC16" i="6" s="1"/>
  <c r="M85" i="20"/>
  <c r="P15" i="6"/>
  <c r="Z20" i="15"/>
  <c r="M171" i="20"/>
  <c r="P165" i="20"/>
  <c r="P171" i="20" s="1"/>
  <c r="AA90" i="6"/>
  <c r="AB91" i="6" s="1"/>
  <c r="AB92" i="6" s="1"/>
  <c r="AA85" i="6"/>
  <c r="E71" i="6"/>
  <c r="E72" i="6" s="1"/>
  <c r="D71" i="6"/>
  <c r="D72" i="6" s="1"/>
  <c r="S233" i="5"/>
  <c r="W111" i="20"/>
  <c r="X112" i="20" s="1"/>
  <c r="P232" i="5"/>
  <c r="P143" i="6"/>
  <c r="F143" i="6"/>
  <c r="M139" i="6"/>
  <c r="F139" i="6"/>
  <c r="O142" i="6"/>
  <c r="F142" i="6"/>
  <c r="E136" i="20"/>
  <c r="M136" i="6"/>
  <c r="O27" i="15"/>
  <c r="Z14" i="15"/>
  <c r="Z73" i="15"/>
  <c r="E142" i="20"/>
  <c r="AD44" i="6"/>
  <c r="AD45" i="6" s="1"/>
  <c r="E135" i="6"/>
  <c r="AA44" i="6"/>
  <c r="AA45" i="6" s="1"/>
  <c r="AJ44" i="6"/>
  <c r="AJ45" i="6" s="1"/>
  <c r="C44" i="6"/>
  <c r="C45" i="6" s="1"/>
  <c r="AG44" i="6"/>
  <c r="AG45" i="6" s="1"/>
  <c r="N142" i="6"/>
  <c r="P142" i="6"/>
  <c r="M142" i="6"/>
  <c r="N136" i="6"/>
  <c r="P136" i="6"/>
  <c r="O136" i="6"/>
  <c r="O143" i="6"/>
  <c r="N143" i="6"/>
  <c r="E143" i="20"/>
  <c r="F143" i="20" s="1"/>
  <c r="M143" i="6"/>
  <c r="AM56" i="6"/>
  <c r="AM57" i="6" s="1"/>
  <c r="E139" i="20"/>
  <c r="AG56" i="6"/>
  <c r="AG57" i="6" s="1"/>
  <c r="AJ56" i="6"/>
  <c r="AJ57" i="6" s="1"/>
  <c r="O60" i="15"/>
  <c r="E141" i="6"/>
  <c r="C56" i="6"/>
  <c r="C57" i="6" s="1"/>
  <c r="AA56" i="6"/>
  <c r="AA57" i="6" s="1"/>
  <c r="AC108" i="6"/>
  <c r="Q167" i="6"/>
  <c r="P173" i="6"/>
  <c r="M170" i="20"/>
  <c r="K56" i="10"/>
  <c r="C68" i="6"/>
  <c r="AG54" i="6"/>
  <c r="AJ60" i="6"/>
  <c r="AD54" i="6"/>
  <c r="AJ48" i="6"/>
  <c r="AM53" i="6"/>
  <c r="AM54" i="6" s="1"/>
  <c r="N139" i="6"/>
  <c r="Q142" i="6"/>
  <c r="Q143" i="6"/>
  <c r="O140" i="6"/>
  <c r="P139" i="6"/>
  <c r="O139" i="6"/>
  <c r="N140" i="6"/>
  <c r="P140" i="6"/>
  <c r="M140" i="6"/>
  <c r="Q140" i="6"/>
  <c r="X91" i="6"/>
  <c r="X92" i="6" s="1"/>
  <c r="AD15" i="6"/>
  <c r="AD16" i="6" s="1"/>
  <c r="C86" i="6"/>
  <c r="C94" i="6" s="1"/>
  <c r="C15" i="6"/>
  <c r="AM59" i="6"/>
  <c r="AM47" i="6"/>
  <c r="AM44" i="6"/>
  <c r="AJ68" i="6"/>
  <c r="AA71" i="20"/>
  <c r="AB71" i="20" s="1"/>
  <c r="C54" i="6"/>
  <c r="AC71" i="20"/>
  <c r="AD71" i="20" s="1"/>
  <c r="AM68" i="6"/>
  <c r="C48" i="6"/>
  <c r="M171" i="6"/>
  <c r="K55" i="10" s="1"/>
  <c r="K52" i="10" s="1"/>
  <c r="O171" i="6"/>
  <c r="M55" i="10" s="1"/>
  <c r="M52" i="10" s="1"/>
  <c r="M58" i="10" s="1"/>
  <c r="AM72" i="6"/>
  <c r="C72" i="6"/>
  <c r="V91" i="6"/>
  <c r="V92" i="6" s="1"/>
  <c r="AJ72" i="6"/>
  <c r="Q136" i="6"/>
  <c r="Q138" i="6"/>
  <c r="Q139" i="6"/>
  <c r="N171" i="6"/>
  <c r="L55" i="10" s="1"/>
  <c r="L52" i="10" s="1"/>
  <c r="L58" i="10" s="1"/>
  <c r="P171" i="6"/>
  <c r="N55" i="10" s="1"/>
  <c r="N52" i="10" s="1"/>
  <c r="N58" i="10" s="1"/>
  <c r="G130" i="6"/>
  <c r="R147" i="6"/>
  <c r="R146" i="6"/>
  <c r="D93" i="6" l="1"/>
  <c r="C93" i="20" s="1"/>
  <c r="D15" i="6"/>
  <c r="E15" i="6"/>
  <c r="C29" i="6" s="1"/>
  <c r="C85" i="20"/>
  <c r="T38" i="15"/>
  <c r="M56" i="10"/>
  <c r="M53" i="10" s="1"/>
  <c r="M59" i="10" s="1"/>
  <c r="P169" i="20"/>
  <c r="N56" i="10" s="1"/>
  <c r="N53" i="10" s="1"/>
  <c r="N59" i="10" s="1"/>
  <c r="AD232" i="5"/>
  <c r="AC232" i="5"/>
  <c r="AA232" i="5"/>
  <c r="AB104" i="6" s="1"/>
  <c r="AA104" i="20" s="1"/>
  <c r="AE232" i="5"/>
  <c r="AB232" i="5"/>
  <c r="AB106" i="6" s="1"/>
  <c r="AA106" i="20" s="1"/>
  <c r="AF232" i="5"/>
  <c r="AB111" i="6" s="1"/>
  <c r="Z232" i="5"/>
  <c r="AB102" i="6" s="1"/>
  <c r="AA102" i="20" s="1"/>
  <c r="AE18" i="6"/>
  <c r="AF18" i="6" s="1"/>
  <c r="X112" i="6"/>
  <c r="X103" i="6"/>
  <c r="X105" i="6"/>
  <c r="Y229" i="5"/>
  <c r="V100" i="6" s="1"/>
  <c r="V105" i="6" s="1"/>
  <c r="Q135" i="20"/>
  <c r="W100" i="20"/>
  <c r="I135" i="20"/>
  <c r="H135" i="20"/>
  <c r="Y231" i="5"/>
  <c r="Z100" i="6" s="1"/>
  <c r="Z112" i="6" s="1"/>
  <c r="M135" i="20"/>
  <c r="R135" i="20"/>
  <c r="L135" i="20"/>
  <c r="J135" i="20"/>
  <c r="N135" i="20"/>
  <c r="G135" i="20"/>
  <c r="K135" i="20"/>
  <c r="P135" i="20"/>
  <c r="O135" i="20"/>
  <c r="T15" i="6"/>
  <c r="O15" i="20"/>
  <c r="I15" i="20"/>
  <c r="K15" i="6"/>
  <c r="AA12" i="20"/>
  <c r="AK9" i="6"/>
  <c r="AL15" i="6"/>
  <c r="AA15" i="20"/>
  <c r="O12" i="20"/>
  <c r="S9" i="6"/>
  <c r="M15" i="20"/>
  <c r="Q15" i="6"/>
  <c r="AO15" i="6"/>
  <c r="AC15" i="20"/>
  <c r="M12" i="20"/>
  <c r="P9" i="6"/>
  <c r="Q15" i="20"/>
  <c r="W15" i="6"/>
  <c r="N15" i="6"/>
  <c r="K15" i="20"/>
  <c r="U85" i="20"/>
  <c r="AB15" i="6"/>
  <c r="K12" i="20"/>
  <c r="M9" i="6"/>
  <c r="AE12" i="20"/>
  <c r="AQ9" i="6"/>
  <c r="AR15" i="6"/>
  <c r="AE15" i="20"/>
  <c r="I12" i="20"/>
  <c r="J9" i="6"/>
  <c r="AC12" i="20"/>
  <c r="AN9" i="6"/>
  <c r="Q165" i="20"/>
  <c r="Q171" i="20" s="1"/>
  <c r="AC85" i="6"/>
  <c r="AC90" i="6"/>
  <c r="AD91" i="6" s="1"/>
  <c r="AD92" i="6" s="1"/>
  <c r="AD72" i="20"/>
  <c r="AB72" i="20"/>
  <c r="O140" i="20"/>
  <c r="F139" i="20"/>
  <c r="O142" i="20"/>
  <c r="F142" i="20"/>
  <c r="Y111" i="20"/>
  <c r="Z112" i="20" s="1"/>
  <c r="U111" i="20"/>
  <c r="V112" i="20" s="1"/>
  <c r="P233" i="5"/>
  <c r="N136" i="20"/>
  <c r="F136" i="20"/>
  <c r="O18" i="15"/>
  <c r="M136" i="20"/>
  <c r="Q136" i="20"/>
  <c r="K136" i="20"/>
  <c r="P136" i="20"/>
  <c r="I136" i="20"/>
  <c r="O136" i="20"/>
  <c r="J136" i="20"/>
  <c r="H136" i="20"/>
  <c r="R136" i="20"/>
  <c r="G136" i="20"/>
  <c r="L136" i="20"/>
  <c r="P141" i="6"/>
  <c r="F141" i="6"/>
  <c r="M135" i="6"/>
  <c r="F135" i="6"/>
  <c r="Z27" i="15"/>
  <c r="Z67" i="15"/>
  <c r="Q142" i="20"/>
  <c r="M142" i="20"/>
  <c r="I142" i="20"/>
  <c r="Z62" i="15"/>
  <c r="R142" i="20"/>
  <c r="H142" i="20"/>
  <c r="J142" i="20"/>
  <c r="P142" i="20"/>
  <c r="N142" i="20"/>
  <c r="O135" i="6"/>
  <c r="K142" i="20"/>
  <c r="L142" i="20"/>
  <c r="G142" i="20"/>
  <c r="Q135" i="6"/>
  <c r="P135" i="6"/>
  <c r="N135" i="6"/>
  <c r="O143" i="20"/>
  <c r="L143" i="20"/>
  <c r="H143" i="20"/>
  <c r="P143" i="20"/>
  <c r="K143" i="20"/>
  <c r="J143" i="20"/>
  <c r="Q143" i="20"/>
  <c r="G143" i="20"/>
  <c r="R143" i="20"/>
  <c r="N143" i="20"/>
  <c r="I143" i="20"/>
  <c r="M143" i="20"/>
  <c r="O139" i="20"/>
  <c r="M140" i="20"/>
  <c r="H139" i="20"/>
  <c r="G140" i="20"/>
  <c r="P139" i="20"/>
  <c r="P140" i="20"/>
  <c r="R140" i="20"/>
  <c r="K139" i="20"/>
  <c r="Q139" i="20"/>
  <c r="L140" i="20"/>
  <c r="J140" i="20"/>
  <c r="I139" i="20"/>
  <c r="L139" i="20"/>
  <c r="G139" i="20"/>
  <c r="N139" i="20"/>
  <c r="H140" i="20"/>
  <c r="Q140" i="20"/>
  <c r="K140" i="20"/>
  <c r="J139" i="20"/>
  <c r="R139" i="20"/>
  <c r="M139" i="20"/>
  <c r="I140" i="20"/>
  <c r="N140" i="20"/>
  <c r="K58" i="10"/>
  <c r="K53" i="10"/>
  <c r="K59" i="10" s="1"/>
  <c r="E141" i="20"/>
  <c r="O141" i="6"/>
  <c r="M141" i="6"/>
  <c r="Q141" i="6"/>
  <c r="N141" i="6"/>
  <c r="AM69" i="6"/>
  <c r="AC106" i="6"/>
  <c r="R167" i="6"/>
  <c r="T234" i="5"/>
  <c r="Q173" i="6"/>
  <c r="AE106" i="6"/>
  <c r="AE108" i="6"/>
  <c r="AP68" i="6"/>
  <c r="C71" i="20"/>
  <c r="AM48" i="6"/>
  <c r="AM45" i="6"/>
  <c r="AM60" i="6"/>
  <c r="AP56" i="6"/>
  <c r="AP53" i="6"/>
  <c r="R142" i="6"/>
  <c r="R143" i="6"/>
  <c r="R140" i="6"/>
  <c r="AB87" i="6"/>
  <c r="AB89" i="6" s="1"/>
  <c r="AJ15" i="6"/>
  <c r="C27" i="6"/>
  <c r="D88" i="6"/>
  <c r="C16" i="6"/>
  <c r="AP59" i="6"/>
  <c r="AP44" i="6"/>
  <c r="AP47" i="6"/>
  <c r="AL72" i="6"/>
  <c r="AK72" i="6"/>
  <c r="AN72" i="6"/>
  <c r="AJ69" i="6"/>
  <c r="C69" i="6"/>
  <c r="D80" i="6"/>
  <c r="Q171" i="6"/>
  <c r="O55" i="10" s="1"/>
  <c r="O52" i="10" s="1"/>
  <c r="O58" i="10" s="1"/>
  <c r="AP72" i="6"/>
  <c r="X87" i="6"/>
  <c r="X89" i="6" s="1"/>
  <c r="R141" i="6"/>
  <c r="R138" i="6"/>
  <c r="R139" i="6"/>
  <c r="R135" i="6"/>
  <c r="R136" i="6"/>
  <c r="H130" i="6"/>
  <c r="G147" i="6"/>
  <c r="G146" i="6"/>
  <c r="C28" i="6" l="1"/>
  <c r="C15" i="20"/>
  <c r="D28" i="20" s="1"/>
  <c r="P170" i="20"/>
  <c r="W18" i="20"/>
  <c r="AA233" i="5"/>
  <c r="AD104" i="6" s="1"/>
  <c r="AC104" i="20" s="1"/>
  <c r="AE233" i="5"/>
  <c r="AB233" i="5"/>
  <c r="AD106" i="6" s="1"/>
  <c r="AC106" i="20" s="1"/>
  <c r="AF233" i="5"/>
  <c r="AD111" i="6" s="1"/>
  <c r="AD233" i="5"/>
  <c r="AC233" i="5"/>
  <c r="Z233" i="5"/>
  <c r="AD102" i="6" s="1"/>
  <c r="AC102" i="20" s="1"/>
  <c r="U100" i="20"/>
  <c r="V103" i="6"/>
  <c r="V107" i="6"/>
  <c r="X101" i="6"/>
  <c r="AB18" i="6"/>
  <c r="AC18" i="6" s="1"/>
  <c r="V112" i="6"/>
  <c r="Z105" i="6"/>
  <c r="Q169" i="20"/>
  <c r="O56" i="10" s="1"/>
  <c r="O53" i="10" s="1"/>
  <c r="O59" i="10" s="1"/>
  <c r="Z107" i="6"/>
  <c r="AH18" i="6"/>
  <c r="AI18" i="6" s="1"/>
  <c r="Z103" i="6"/>
  <c r="Y100" i="20"/>
  <c r="Y232" i="5"/>
  <c r="AB100" i="6" s="1"/>
  <c r="AB112" i="6" s="1"/>
  <c r="I9" i="20"/>
  <c r="J10" i="6"/>
  <c r="AQ10" i="6"/>
  <c r="AE9" i="20"/>
  <c r="U15" i="20"/>
  <c r="AC15" i="6"/>
  <c r="O9" i="20"/>
  <c r="S10" i="6"/>
  <c r="AA9" i="20"/>
  <c r="AK10" i="6"/>
  <c r="AC9" i="20"/>
  <c r="AN10" i="6"/>
  <c r="K9" i="20"/>
  <c r="M10" i="6"/>
  <c r="P10" i="6"/>
  <c r="M9" i="20"/>
  <c r="T223" i="5"/>
  <c r="Y85" i="6"/>
  <c r="AG15" i="6" s="1"/>
  <c r="AG16" i="6" s="1"/>
  <c r="AE85" i="6"/>
  <c r="AE90" i="6"/>
  <c r="AF91" i="6" s="1"/>
  <c r="AF92" i="6" s="1"/>
  <c r="C72" i="20"/>
  <c r="D72" i="20" s="1"/>
  <c r="D71" i="20"/>
  <c r="S234" i="5"/>
  <c r="AA111" i="20"/>
  <c r="AB112" i="20" s="1"/>
  <c r="K141" i="20"/>
  <c r="F141" i="20"/>
  <c r="Q141" i="20"/>
  <c r="P141" i="20"/>
  <c r="J141" i="20"/>
  <c r="H141" i="20"/>
  <c r="O141" i="20"/>
  <c r="I141" i="20"/>
  <c r="G141" i="20"/>
  <c r="N141" i="20"/>
  <c r="L141" i="20"/>
  <c r="M141" i="20"/>
  <c r="R141" i="20"/>
  <c r="R165" i="20"/>
  <c r="AO72" i="6"/>
  <c r="AP69" i="6"/>
  <c r="R173" i="6"/>
  <c r="I108" i="6"/>
  <c r="G167" i="6"/>
  <c r="N64" i="10"/>
  <c r="K64" i="10"/>
  <c r="L64" i="10"/>
  <c r="AL35" i="6"/>
  <c r="AL12" i="6" s="1"/>
  <c r="AL13" i="6"/>
  <c r="AO13" i="6"/>
  <c r="AO35" i="6"/>
  <c r="AO12" i="6" s="1"/>
  <c r="AP45" i="6"/>
  <c r="AP54" i="6"/>
  <c r="AP57" i="6"/>
  <c r="AP48" i="6"/>
  <c r="AP60" i="6"/>
  <c r="I56" i="6"/>
  <c r="I53" i="6"/>
  <c r="G142" i="6"/>
  <c r="G143" i="6"/>
  <c r="G140" i="6"/>
  <c r="AA15" i="6"/>
  <c r="AJ16" i="6"/>
  <c r="M64" i="10"/>
  <c r="I59" i="6"/>
  <c r="I60" i="6" s="1"/>
  <c r="I47" i="6"/>
  <c r="I44" i="6"/>
  <c r="I72" i="6"/>
  <c r="R171" i="6"/>
  <c r="P55" i="10" s="1"/>
  <c r="P52" i="10" s="1"/>
  <c r="P58" i="10" s="1"/>
  <c r="AA86" i="6"/>
  <c r="AB88" i="6" s="1"/>
  <c r="W86" i="6"/>
  <c r="X88" i="6" s="1"/>
  <c r="G141" i="6"/>
  <c r="G138" i="6"/>
  <c r="G139" i="6"/>
  <c r="G135" i="6"/>
  <c r="G136" i="6"/>
  <c r="H146" i="6"/>
  <c r="T224" i="5" s="1"/>
  <c r="I130" i="6"/>
  <c r="H147" i="6"/>
  <c r="U18" i="20" l="1"/>
  <c r="Q170" i="20"/>
  <c r="V101" i="6"/>
  <c r="Y18" i="20"/>
  <c r="Z101" i="6"/>
  <c r="S223" i="5"/>
  <c r="P223" i="5" s="1"/>
  <c r="AB103" i="6"/>
  <c r="Y233" i="5"/>
  <c r="AD100" i="6" s="1"/>
  <c r="AD105" i="6" s="1"/>
  <c r="AB105" i="6"/>
  <c r="AA100" i="20"/>
  <c r="AB107" i="6"/>
  <c r="AK18" i="6"/>
  <c r="AK6" i="6" s="1"/>
  <c r="G165" i="20"/>
  <c r="G169" i="20" s="1"/>
  <c r="I90" i="6"/>
  <c r="J91" i="6" s="1"/>
  <c r="J92" i="6" s="1"/>
  <c r="I85" i="6"/>
  <c r="AD112" i="6"/>
  <c r="AC111" i="20"/>
  <c r="AD112" i="20" s="1"/>
  <c r="S224" i="5"/>
  <c r="P234" i="5"/>
  <c r="R169" i="20"/>
  <c r="R171" i="20"/>
  <c r="I106" i="6"/>
  <c r="K108" i="6"/>
  <c r="K106" i="6" s="1"/>
  <c r="H167" i="6"/>
  <c r="G173" i="6"/>
  <c r="AL9" i="6"/>
  <c r="AO9" i="6"/>
  <c r="AQ72" i="6"/>
  <c r="AE71" i="20"/>
  <c r="AF71" i="20" s="1"/>
  <c r="L56" i="6"/>
  <c r="L57" i="6" s="1"/>
  <c r="L53" i="6"/>
  <c r="L54" i="6" s="1"/>
  <c r="H142" i="6"/>
  <c r="H143" i="6"/>
  <c r="H140" i="6"/>
  <c r="AC86" i="6"/>
  <c r="AD88" i="6" s="1"/>
  <c r="AD87" i="6"/>
  <c r="AM15" i="6"/>
  <c r="AA16" i="6"/>
  <c r="O64" i="10"/>
  <c r="L59" i="6"/>
  <c r="L60" i="6" s="1"/>
  <c r="L47" i="6"/>
  <c r="L48" i="6" s="1"/>
  <c r="L44" i="6"/>
  <c r="L45" i="6" s="1"/>
  <c r="Y86" i="6"/>
  <c r="Z88" i="6" s="1"/>
  <c r="Z87" i="6"/>
  <c r="Z89" i="6" s="1"/>
  <c r="U86" i="6"/>
  <c r="V88" i="6" s="1"/>
  <c r="V87" i="6"/>
  <c r="V89" i="6" s="1"/>
  <c r="I57" i="6"/>
  <c r="I48" i="6"/>
  <c r="I68" i="6"/>
  <c r="I54" i="6"/>
  <c r="I45" i="6"/>
  <c r="G171" i="6"/>
  <c r="E56" i="10" s="1"/>
  <c r="E53" i="10" s="1"/>
  <c r="E59" i="10" s="1"/>
  <c r="H138" i="6"/>
  <c r="H141" i="6"/>
  <c r="H135" i="6"/>
  <c r="H136" i="6"/>
  <c r="H139" i="6"/>
  <c r="I147" i="6"/>
  <c r="I146" i="6"/>
  <c r="T225" i="5" s="1"/>
  <c r="J130" i="6"/>
  <c r="AF223" i="5" l="1"/>
  <c r="AB223" i="5"/>
  <c r="AC223" i="5"/>
  <c r="AE223" i="5"/>
  <c r="AA223" i="5"/>
  <c r="J104" i="6" s="1"/>
  <c r="I104" i="20" s="1"/>
  <c r="AD223" i="5"/>
  <c r="Z223" i="5"/>
  <c r="J102" i="6" s="1"/>
  <c r="I102" i="20" s="1"/>
  <c r="AB234" i="5"/>
  <c r="AF106" i="6" s="1"/>
  <c r="AE106" i="20" s="1"/>
  <c r="AF234" i="5"/>
  <c r="AF111" i="6" s="1"/>
  <c r="AE234" i="5"/>
  <c r="AC234" i="5"/>
  <c r="AD234" i="5"/>
  <c r="AA234" i="5"/>
  <c r="AF104" i="6" s="1"/>
  <c r="AE104" i="20" s="1"/>
  <c r="Z234" i="5"/>
  <c r="AF102" i="6" s="1"/>
  <c r="AE102" i="20" s="1"/>
  <c r="AA18" i="20"/>
  <c r="AB101" i="6"/>
  <c r="AD103" i="6"/>
  <c r="AL18" i="6"/>
  <c r="AL6" i="6" s="1"/>
  <c r="AL11" i="6" s="1"/>
  <c r="AC100" i="20"/>
  <c r="AD107" i="6"/>
  <c r="AN18" i="6"/>
  <c r="AO18" i="6" s="1"/>
  <c r="AO6" i="6" s="1"/>
  <c r="AO11" i="6" s="1"/>
  <c r="G171" i="20"/>
  <c r="H165" i="20"/>
  <c r="H169" i="20" s="1"/>
  <c r="K90" i="6"/>
  <c r="L91" i="6" s="1"/>
  <c r="L92" i="6" s="1"/>
  <c r="K85" i="6"/>
  <c r="AF72" i="20"/>
  <c r="S225" i="5"/>
  <c r="AK7" i="6"/>
  <c r="AA6" i="20"/>
  <c r="AK17" i="6"/>
  <c r="AK14" i="6"/>
  <c r="AK8" i="6"/>
  <c r="AK11" i="6"/>
  <c r="P224" i="5"/>
  <c r="P56" i="10"/>
  <c r="P53" i="10" s="1"/>
  <c r="P59" i="10" s="1"/>
  <c r="R170" i="20"/>
  <c r="G170" i="20"/>
  <c r="E57" i="10"/>
  <c r="E54" i="10" s="1"/>
  <c r="E60" i="10" s="1"/>
  <c r="M108" i="6"/>
  <c r="I167" i="6"/>
  <c r="H173" i="6"/>
  <c r="AL10" i="6"/>
  <c r="AO10" i="6"/>
  <c r="AR72" i="6"/>
  <c r="I71" i="20"/>
  <c r="J71" i="20" s="1"/>
  <c r="O56" i="6"/>
  <c r="O53" i="6"/>
  <c r="I142" i="6"/>
  <c r="I143" i="6"/>
  <c r="I140" i="6"/>
  <c r="AM16" i="6"/>
  <c r="AE86" i="6"/>
  <c r="AF88" i="6" s="1"/>
  <c r="AP15" i="6"/>
  <c r="AF87" i="6"/>
  <c r="AF89" i="6" s="1"/>
  <c r="P64" i="10"/>
  <c r="I15" i="6"/>
  <c r="O59" i="6"/>
  <c r="O44" i="6"/>
  <c r="O47" i="6"/>
  <c r="AD89" i="6"/>
  <c r="I69" i="6"/>
  <c r="K71" i="6"/>
  <c r="J72" i="6"/>
  <c r="L68" i="6"/>
  <c r="L72" i="6"/>
  <c r="O68" i="6"/>
  <c r="M71" i="20"/>
  <c r="N71" i="20" s="1"/>
  <c r="H171" i="6"/>
  <c r="F56" i="10" s="1"/>
  <c r="F53" i="10" s="1"/>
  <c r="F59" i="10" s="1"/>
  <c r="O72" i="6"/>
  <c r="I138" i="6"/>
  <c r="I141" i="6"/>
  <c r="I139" i="6"/>
  <c r="I135" i="6"/>
  <c r="I136" i="6"/>
  <c r="K130" i="6"/>
  <c r="J147" i="6"/>
  <c r="J146" i="6"/>
  <c r="T226" i="5" s="1"/>
  <c r="AD224" i="5" l="1"/>
  <c r="AA224" i="5"/>
  <c r="L104" i="6" s="1"/>
  <c r="K104" i="20" s="1"/>
  <c r="AE224" i="5"/>
  <c r="AB224" i="5"/>
  <c r="L106" i="6" s="1"/>
  <c r="K106" i="20" s="1"/>
  <c r="AF224" i="5"/>
  <c r="L111" i="6" s="1"/>
  <c r="AC224" i="5"/>
  <c r="Z224" i="5"/>
  <c r="L102" i="6" s="1"/>
  <c r="K102" i="20" s="1"/>
  <c r="H171" i="20"/>
  <c r="AL17" i="6"/>
  <c r="AN6" i="6"/>
  <c r="AD101" i="6"/>
  <c r="AL8" i="6"/>
  <c r="AL7" i="6"/>
  <c r="AL14" i="6"/>
  <c r="AC18" i="20"/>
  <c r="J106" i="6"/>
  <c r="I106" i="20" s="1"/>
  <c r="Y234" i="5"/>
  <c r="AF100" i="6" s="1"/>
  <c r="AQ18" i="6" s="1"/>
  <c r="J72" i="20"/>
  <c r="N72" i="20"/>
  <c r="I165" i="20"/>
  <c r="I171" i="20" s="1"/>
  <c r="M85" i="6"/>
  <c r="M90" i="6"/>
  <c r="N91" i="6" s="1"/>
  <c r="N92" i="6" s="1"/>
  <c r="AO7" i="6"/>
  <c r="AO17" i="6"/>
  <c r="AO14" i="6"/>
  <c r="AO8" i="6"/>
  <c r="S226" i="5"/>
  <c r="AE111" i="20"/>
  <c r="AF112" i="20" s="1"/>
  <c r="AF112" i="6"/>
  <c r="J111" i="6"/>
  <c r="I111" i="20" s="1"/>
  <c r="J112" i="20" s="1"/>
  <c r="Y223" i="5"/>
  <c r="J100" i="6" s="1"/>
  <c r="AA23" i="20"/>
  <c r="P225" i="5"/>
  <c r="H170" i="20"/>
  <c r="F57" i="10"/>
  <c r="F54" i="10" s="1"/>
  <c r="F60" i="10" s="1"/>
  <c r="O69" i="6"/>
  <c r="M106" i="6"/>
  <c r="O108" i="6"/>
  <c r="J167" i="6"/>
  <c r="I173" i="6"/>
  <c r="O57" i="6"/>
  <c r="O60" i="6"/>
  <c r="O45" i="6"/>
  <c r="O48" i="6"/>
  <c r="O54" i="6"/>
  <c r="K71" i="20"/>
  <c r="L71" i="20" s="1"/>
  <c r="K72" i="6"/>
  <c r="R53" i="6"/>
  <c r="R56" i="6"/>
  <c r="J142" i="6"/>
  <c r="J143" i="6"/>
  <c r="J140" i="6"/>
  <c r="J87" i="6"/>
  <c r="J89" i="6" s="1"/>
  <c r="AP16" i="6"/>
  <c r="I16" i="6"/>
  <c r="I86" i="6"/>
  <c r="J88" i="6" s="1"/>
  <c r="R59" i="6"/>
  <c r="R47" i="6"/>
  <c r="R44" i="6"/>
  <c r="M72" i="6"/>
  <c r="L69" i="6"/>
  <c r="R68" i="6"/>
  <c r="O71" i="20"/>
  <c r="P71" i="20" s="1"/>
  <c r="P72" i="6"/>
  <c r="E65" i="10"/>
  <c r="I171" i="6"/>
  <c r="G55" i="10" s="1"/>
  <c r="G52" i="10" s="1"/>
  <c r="G58" i="10" s="1"/>
  <c r="R72" i="6"/>
  <c r="J141" i="6"/>
  <c r="J138" i="6"/>
  <c r="J136" i="6"/>
  <c r="J139" i="6"/>
  <c r="J135" i="6"/>
  <c r="K146" i="6"/>
  <c r="T227" i="5" s="1"/>
  <c r="K147" i="6"/>
  <c r="L130" i="6"/>
  <c r="AA225" i="5" l="1"/>
  <c r="N104" i="6" s="1"/>
  <c r="M104" i="20" s="1"/>
  <c r="AE225" i="5"/>
  <c r="AB225" i="5"/>
  <c r="AF225" i="5"/>
  <c r="N111" i="6" s="1"/>
  <c r="AD225" i="5"/>
  <c r="AC225" i="5"/>
  <c r="Z225" i="5"/>
  <c r="N102" i="6" s="1"/>
  <c r="M102" i="20" s="1"/>
  <c r="I169" i="20"/>
  <c r="I170" i="20" s="1"/>
  <c r="AC6" i="20"/>
  <c r="AN14" i="6"/>
  <c r="AN11" i="6"/>
  <c r="AN8" i="6"/>
  <c r="AN7" i="6"/>
  <c r="AN17" i="6"/>
  <c r="AF107" i="6"/>
  <c r="AF105" i="6"/>
  <c r="AF103" i="6"/>
  <c r="AE100" i="20"/>
  <c r="Y224" i="5"/>
  <c r="L100" i="6" s="1"/>
  <c r="L103" i="6" s="1"/>
  <c r="L72" i="20"/>
  <c r="P72" i="20"/>
  <c r="J165" i="20"/>
  <c r="J171" i="20" s="1"/>
  <c r="O85" i="6"/>
  <c r="O90" i="6"/>
  <c r="P91" i="6" s="1"/>
  <c r="P92" i="6" s="1"/>
  <c r="S227" i="5"/>
  <c r="AC23" i="20"/>
  <c r="AR18" i="6"/>
  <c r="AE18" i="20"/>
  <c r="AQ6" i="6"/>
  <c r="P226" i="5"/>
  <c r="K111" i="20"/>
  <c r="L112" i="20" s="1"/>
  <c r="Q72" i="6"/>
  <c r="J18" i="6"/>
  <c r="J107" i="6"/>
  <c r="J103" i="6"/>
  <c r="J105" i="6"/>
  <c r="I100" i="20"/>
  <c r="J112" i="6"/>
  <c r="Q108" i="6"/>
  <c r="K167" i="6"/>
  <c r="O106" i="6"/>
  <c r="J173" i="6"/>
  <c r="Q13" i="6"/>
  <c r="Q35" i="6"/>
  <c r="Q12" i="6" s="1"/>
  <c r="N35" i="6"/>
  <c r="N12" i="6" s="1"/>
  <c r="N13" i="6"/>
  <c r="R69" i="6"/>
  <c r="R60" i="6"/>
  <c r="R48" i="6"/>
  <c r="R54" i="6"/>
  <c r="R45" i="6"/>
  <c r="R57" i="6"/>
  <c r="N72" i="6"/>
  <c r="U56" i="6"/>
  <c r="U53" i="6"/>
  <c r="K142" i="6"/>
  <c r="K143" i="6"/>
  <c r="K140" i="6"/>
  <c r="L87" i="6"/>
  <c r="L89" i="6" s="1"/>
  <c r="L15" i="6"/>
  <c r="F65" i="10"/>
  <c r="K86" i="6"/>
  <c r="L88" i="6" s="1"/>
  <c r="U59" i="6"/>
  <c r="U44" i="6"/>
  <c r="U47" i="6"/>
  <c r="S72" i="6"/>
  <c r="J171" i="6"/>
  <c r="H55" i="10" s="1"/>
  <c r="H52" i="10" s="1"/>
  <c r="H58" i="10" s="1"/>
  <c r="K141" i="6"/>
  <c r="K138" i="6"/>
  <c r="K135" i="6"/>
  <c r="K139" i="6"/>
  <c r="K136" i="6"/>
  <c r="L146" i="6"/>
  <c r="T228" i="5" s="1"/>
  <c r="T235" i="5" s="1"/>
  <c r="L147" i="6"/>
  <c r="AB226" i="5" l="1"/>
  <c r="P106" i="6" s="1"/>
  <c r="O106" i="20" s="1"/>
  <c r="AF226" i="5"/>
  <c r="P111" i="6" s="1"/>
  <c r="AA226" i="5"/>
  <c r="P104" i="6" s="1"/>
  <c r="O104" i="20" s="1"/>
  <c r="AC226" i="5"/>
  <c r="AD226" i="5"/>
  <c r="AE226" i="5"/>
  <c r="Z226" i="5"/>
  <c r="P102" i="6" s="1"/>
  <c r="O102" i="20" s="1"/>
  <c r="G56" i="10"/>
  <c r="G53" i="10" s="1"/>
  <c r="G59" i="10" s="1"/>
  <c r="J169" i="20"/>
  <c r="J170" i="20" s="1"/>
  <c r="L112" i="6"/>
  <c r="L107" i="6"/>
  <c r="M18" i="6"/>
  <c r="N18" i="6" s="1"/>
  <c r="N6" i="6" s="1"/>
  <c r="L105" i="6"/>
  <c r="K100" i="20"/>
  <c r="N106" i="6"/>
  <c r="M106" i="20" s="1"/>
  <c r="Y225" i="5"/>
  <c r="N100" i="6" s="1"/>
  <c r="N103" i="6" s="1"/>
  <c r="K165" i="20"/>
  <c r="K169" i="20" s="1"/>
  <c r="Q85" i="6"/>
  <c r="Q90" i="6"/>
  <c r="R91" i="6" s="1"/>
  <c r="R92" i="6" s="1"/>
  <c r="AQ17" i="6"/>
  <c r="AQ8" i="6"/>
  <c r="AE6" i="20"/>
  <c r="AQ11" i="6"/>
  <c r="AQ7" i="6"/>
  <c r="AQ14" i="6"/>
  <c r="M111" i="20"/>
  <c r="N112" i="20" s="1"/>
  <c r="P227" i="5"/>
  <c r="S228" i="5"/>
  <c r="S235" i="5" s="1"/>
  <c r="T72" i="6"/>
  <c r="J101" i="6"/>
  <c r="K18" i="6"/>
  <c r="I18" i="20"/>
  <c r="J6" i="6"/>
  <c r="Q106" i="6"/>
  <c r="S108" i="6"/>
  <c r="L167" i="6"/>
  <c r="F167" i="6" s="1"/>
  <c r="K173" i="6"/>
  <c r="T13" i="6"/>
  <c r="T35" i="6"/>
  <c r="T12" i="6" s="1"/>
  <c r="Q9" i="6"/>
  <c r="N9" i="6"/>
  <c r="U54" i="6"/>
  <c r="U60" i="6"/>
  <c r="U45" i="6"/>
  <c r="U48" i="6"/>
  <c r="U57" i="6"/>
  <c r="X56" i="6"/>
  <c r="X53" i="6"/>
  <c r="L142" i="6"/>
  <c r="L143" i="6"/>
  <c r="L140" i="6"/>
  <c r="L16" i="6"/>
  <c r="N87" i="6"/>
  <c r="N89" i="6" s="1"/>
  <c r="O15" i="6"/>
  <c r="M86" i="6"/>
  <c r="N88" i="6" s="1"/>
  <c r="G64" i="10"/>
  <c r="X59" i="6"/>
  <c r="X47" i="6"/>
  <c r="X44" i="6"/>
  <c r="K171" i="6"/>
  <c r="I55" i="10" s="1"/>
  <c r="I52" i="10" s="1"/>
  <c r="I58" i="10" s="1"/>
  <c r="L141" i="6"/>
  <c r="L138" i="6"/>
  <c r="L136" i="6"/>
  <c r="L135" i="6"/>
  <c r="L139" i="6"/>
  <c r="H56" i="10" l="1"/>
  <c r="H53" i="10" s="1"/>
  <c r="H59" i="10" s="1"/>
  <c r="AC227" i="5"/>
  <c r="AB227" i="5"/>
  <c r="R106" i="6" s="1"/>
  <c r="Q106" i="20" s="1"/>
  <c r="AD227" i="5"/>
  <c r="AA227" i="5"/>
  <c r="R104" i="6" s="1"/>
  <c r="Q104" i="20" s="1"/>
  <c r="AE227" i="5"/>
  <c r="AF227" i="5"/>
  <c r="R111" i="6" s="1"/>
  <c r="Z227" i="5"/>
  <c r="R102" i="6" s="1"/>
  <c r="Q102" i="20" s="1"/>
  <c r="K18" i="20"/>
  <c r="M6" i="6"/>
  <c r="M11" i="6" s="1"/>
  <c r="L101" i="6"/>
  <c r="N105" i="6"/>
  <c r="N107" i="6"/>
  <c r="P18" i="6"/>
  <c r="P6" i="6" s="1"/>
  <c r="M100" i="20"/>
  <c r="N112" i="6"/>
  <c r="Y226" i="5"/>
  <c r="P100" i="6" s="1"/>
  <c r="O100" i="20" s="1"/>
  <c r="K171" i="20"/>
  <c r="L165" i="20"/>
  <c r="L169" i="20" s="1"/>
  <c r="S90" i="6"/>
  <c r="T91" i="6" s="1"/>
  <c r="T92" i="6" s="1"/>
  <c r="S85" i="6"/>
  <c r="P228" i="5"/>
  <c r="O111" i="20"/>
  <c r="P112" i="20" s="1"/>
  <c r="AE23" i="20"/>
  <c r="K170" i="20"/>
  <c r="I56" i="10"/>
  <c r="I53" i="10" s="1"/>
  <c r="I59" i="10" s="1"/>
  <c r="N14" i="6"/>
  <c r="S106" i="6"/>
  <c r="J17" i="6"/>
  <c r="J7" i="6"/>
  <c r="J14" i="6"/>
  <c r="I6" i="20"/>
  <c r="J11" i="6"/>
  <c r="J8" i="6"/>
  <c r="L173" i="6"/>
  <c r="T9" i="6"/>
  <c r="Q10" i="6"/>
  <c r="N10" i="6"/>
  <c r="N11" i="6"/>
  <c r="N17" i="6"/>
  <c r="N7" i="6"/>
  <c r="N8" i="6"/>
  <c r="X60" i="6"/>
  <c r="X48" i="6"/>
  <c r="X57" i="6"/>
  <c r="X45" i="6"/>
  <c r="X54" i="6"/>
  <c r="U15" i="6"/>
  <c r="R15" i="6"/>
  <c r="O16" i="6"/>
  <c r="O86" i="6"/>
  <c r="P88" i="6" s="1"/>
  <c r="H64" i="10"/>
  <c r="P87" i="6"/>
  <c r="P89" i="6" s="1"/>
  <c r="L171" i="6"/>
  <c r="J55" i="10" s="1"/>
  <c r="J52" i="10" s="1"/>
  <c r="J58" i="10" s="1"/>
  <c r="AD228" i="5" l="1"/>
  <c r="AA228" i="5"/>
  <c r="T104" i="6" s="1"/>
  <c r="S104" i="20" s="1"/>
  <c r="AE228" i="5"/>
  <c r="AC228" i="5"/>
  <c r="AB228" i="5"/>
  <c r="T106" i="6" s="1"/>
  <c r="S106" i="20" s="1"/>
  <c r="AF228" i="5"/>
  <c r="Z228" i="5"/>
  <c r="T102" i="6" s="1"/>
  <c r="S102" i="20" s="1"/>
  <c r="L171" i="20"/>
  <c r="M8" i="6"/>
  <c r="Q18" i="6"/>
  <c r="Q6" i="6" s="1"/>
  <c r="Q8" i="6" s="1"/>
  <c r="K6" i="20"/>
  <c r="M17" i="6"/>
  <c r="M7" i="6"/>
  <c r="M14" i="6"/>
  <c r="M18" i="20"/>
  <c r="N101" i="6"/>
  <c r="P105" i="6"/>
  <c r="P103" i="6"/>
  <c r="S18" i="6"/>
  <c r="O18" i="20" s="1"/>
  <c r="P112" i="6"/>
  <c r="P107" i="6"/>
  <c r="Y227" i="5"/>
  <c r="R100" i="6" s="1"/>
  <c r="R105" i="6" s="1"/>
  <c r="M6" i="20"/>
  <c r="P11" i="6"/>
  <c r="P7" i="6"/>
  <c r="P8" i="6"/>
  <c r="P17" i="6"/>
  <c r="P14" i="6"/>
  <c r="P235" i="5"/>
  <c r="Q111" i="20"/>
  <c r="R112" i="20" s="1"/>
  <c r="K23" i="20"/>
  <c r="L170" i="20"/>
  <c r="J56" i="10"/>
  <c r="J53" i="10" s="1"/>
  <c r="J59" i="10" s="1"/>
  <c r="I23" i="20"/>
  <c r="T10" i="6"/>
  <c r="X15" i="6"/>
  <c r="R16" i="6"/>
  <c r="U16" i="6"/>
  <c r="I64" i="10"/>
  <c r="R87" i="6"/>
  <c r="R89" i="6" s="1"/>
  <c r="AC235" i="5" l="1"/>
  <c r="D108" i="6" s="1"/>
  <c r="C108" i="20" s="1"/>
  <c r="AD235" i="5"/>
  <c r="D109" i="6" s="1"/>
  <c r="AB235" i="5"/>
  <c r="D106" i="6" s="1"/>
  <c r="C106" i="20" s="1"/>
  <c r="AA235" i="5"/>
  <c r="D104" i="6" s="1"/>
  <c r="AE235" i="5"/>
  <c r="D110" i="6" s="1"/>
  <c r="AF235" i="5"/>
  <c r="Z235" i="5"/>
  <c r="Q17" i="6"/>
  <c r="Q11" i="6"/>
  <c r="Q7" i="6"/>
  <c r="Q14" i="6"/>
  <c r="T18" i="6"/>
  <c r="T6" i="6" s="1"/>
  <c r="T17" i="6" s="1"/>
  <c r="S6" i="6"/>
  <c r="S17" i="6" s="1"/>
  <c r="P101" i="6"/>
  <c r="R103" i="6"/>
  <c r="V18" i="6"/>
  <c r="Q18" i="20" s="1"/>
  <c r="Q100" i="20"/>
  <c r="R112" i="6"/>
  <c r="R107" i="6"/>
  <c r="D111" i="6"/>
  <c r="C111" i="20" s="1"/>
  <c r="D112" i="20" s="1"/>
  <c r="M23" i="20"/>
  <c r="Y228" i="5"/>
  <c r="T111" i="6"/>
  <c r="X16" i="6"/>
  <c r="J64" i="10"/>
  <c r="T87" i="6"/>
  <c r="T89" i="6" s="1"/>
  <c r="Q86" i="6"/>
  <c r="R88" i="6" s="1"/>
  <c r="S11" i="6" l="1"/>
  <c r="S14" i="6"/>
  <c r="S7" i="6"/>
  <c r="O6" i="20"/>
  <c r="S8" i="6"/>
  <c r="T8" i="6"/>
  <c r="W18" i="6"/>
  <c r="T11" i="6"/>
  <c r="T7" i="6"/>
  <c r="T14" i="6"/>
  <c r="R101" i="6"/>
  <c r="C110" i="20"/>
  <c r="C109" i="20"/>
  <c r="Q58" i="15"/>
  <c r="C104" i="20"/>
  <c r="Y235" i="5"/>
  <c r="D100" i="6" s="1"/>
  <c r="D102" i="6"/>
  <c r="D102" i="20" s="1"/>
  <c r="S111" i="20"/>
  <c r="T112" i="20" s="1"/>
  <c r="T100" i="6"/>
  <c r="A18" i="15"/>
  <c r="S86" i="6"/>
  <c r="T88" i="6" s="1"/>
  <c r="D115" i="6" l="1"/>
  <c r="C115" i="20" s="1"/>
  <c r="O23" i="20"/>
  <c r="AF102" i="20"/>
  <c r="AF103" i="20" s="1"/>
  <c r="AD102" i="20"/>
  <c r="AD103" i="20" s="1"/>
  <c r="Z102" i="20"/>
  <c r="Z103" i="20" s="1"/>
  <c r="AB102" i="20"/>
  <c r="AB103" i="20" s="1"/>
  <c r="R102" i="20"/>
  <c r="R103" i="20" s="1"/>
  <c r="J102" i="20"/>
  <c r="J103" i="20" s="1"/>
  <c r="T102" i="20"/>
  <c r="T103" i="20" s="1"/>
  <c r="L102" i="20"/>
  <c r="L103" i="20" s="1"/>
  <c r="V102" i="20"/>
  <c r="V103" i="20" s="1"/>
  <c r="P102" i="20"/>
  <c r="P103" i="20" s="1"/>
  <c r="N102" i="20"/>
  <c r="N103" i="20" s="1"/>
  <c r="X102" i="20"/>
  <c r="X103" i="20" s="1"/>
  <c r="C102" i="20"/>
  <c r="D103" i="20" s="1"/>
  <c r="Q76" i="15"/>
  <c r="X76" i="15" s="1"/>
  <c r="Q74" i="15"/>
  <c r="X74" i="15" s="1"/>
  <c r="Y74" i="15" s="1"/>
  <c r="C63" i="16" s="1"/>
  <c r="T107" i="6"/>
  <c r="T105" i="6"/>
  <c r="T103" i="6"/>
  <c r="Y18" i="6"/>
  <c r="S100" i="20"/>
  <c r="T112" i="6"/>
  <c r="D105" i="6"/>
  <c r="D103" i="6"/>
  <c r="C100" i="20"/>
  <c r="X52" i="15"/>
  <c r="E18" i="6"/>
  <c r="D29" i="6" s="1"/>
  <c r="D101" i="6"/>
  <c r="D18" i="6"/>
  <c r="X58" i="15"/>
  <c r="D107" i="6"/>
  <c r="C100" i="6"/>
  <c r="C115" i="6" s="1"/>
  <c r="AE100" i="6"/>
  <c r="Q100" i="6"/>
  <c r="R113" i="6" s="1"/>
  <c r="R114" i="6" s="1"/>
  <c r="Y76" i="15" l="1"/>
  <c r="T101" i="6"/>
  <c r="S18" i="20"/>
  <c r="Z18" i="6"/>
  <c r="C23" i="16"/>
  <c r="F63" i="16" s="1"/>
  <c r="C18" i="20"/>
  <c r="D28" i="6"/>
  <c r="U100" i="6"/>
  <c r="U107" i="6" s="1"/>
  <c r="I100" i="6"/>
  <c r="I107" i="6" s="1"/>
  <c r="AC100" i="6"/>
  <c r="M100" i="6"/>
  <c r="K100" i="6"/>
  <c r="S100" i="6"/>
  <c r="AE107" i="6"/>
  <c r="AA100" i="6"/>
  <c r="AA107" i="6" s="1"/>
  <c r="AF113" i="6"/>
  <c r="AF114" i="6" s="1"/>
  <c r="AE103" i="6"/>
  <c r="AE105" i="6"/>
  <c r="D112" i="6"/>
  <c r="D113" i="6"/>
  <c r="D114" i="6" s="1"/>
  <c r="AP18" i="6"/>
  <c r="U18" i="6"/>
  <c r="Q105" i="6"/>
  <c r="Q107" i="6"/>
  <c r="Q103" i="6"/>
  <c r="Q112" i="6"/>
  <c r="C107" i="6"/>
  <c r="C105" i="6"/>
  <c r="C112" i="6"/>
  <c r="C101" i="6"/>
  <c r="C18" i="6"/>
  <c r="C103" i="6"/>
  <c r="Y71" i="15" l="1"/>
  <c r="C64" i="16"/>
  <c r="F64" i="16" s="1"/>
  <c r="Q101" i="6"/>
  <c r="AJ18" i="6"/>
  <c r="AB113" i="6"/>
  <c r="AB114" i="6" s="1"/>
  <c r="AA112" i="6"/>
  <c r="AA105" i="6"/>
  <c r="AA103" i="6"/>
  <c r="AA18" i="6"/>
  <c r="V113" i="6"/>
  <c r="V114" i="6" s="1"/>
  <c r="U112" i="6"/>
  <c r="U105" i="6"/>
  <c r="U103" i="6"/>
  <c r="O18" i="6"/>
  <c r="N113" i="6"/>
  <c r="N114" i="6" s="1"/>
  <c r="M112" i="6"/>
  <c r="M105" i="6"/>
  <c r="M103" i="6"/>
  <c r="AM18" i="6"/>
  <c r="AD113" i="6"/>
  <c r="AD114" i="6" s="1"/>
  <c r="AC103" i="6"/>
  <c r="AC105" i="6"/>
  <c r="M107" i="6"/>
  <c r="AC107" i="6"/>
  <c r="L18" i="6"/>
  <c r="L113" i="6"/>
  <c r="L114" i="6" s="1"/>
  <c r="K112" i="6"/>
  <c r="K105" i="6"/>
  <c r="K103" i="6"/>
  <c r="K107" i="6"/>
  <c r="X18" i="6"/>
  <c r="T113" i="6"/>
  <c r="T114" i="6" s="1"/>
  <c r="S112" i="6"/>
  <c r="S105" i="6"/>
  <c r="S103" i="6"/>
  <c r="S107" i="6"/>
  <c r="I18" i="6"/>
  <c r="J113" i="6"/>
  <c r="J114" i="6" s="1"/>
  <c r="I112" i="6"/>
  <c r="I105" i="6"/>
  <c r="I103" i="6"/>
  <c r="C29" i="20"/>
  <c r="D27" i="6"/>
  <c r="K101" i="6" l="1"/>
  <c r="M101" i="6"/>
  <c r="U101" i="6"/>
  <c r="AC101" i="6"/>
  <c r="AA101" i="6"/>
  <c r="I101" i="6"/>
  <c r="S101" i="6"/>
  <c r="C28" i="20"/>
  <c r="W100" i="6" l="1"/>
  <c r="W107" i="6" s="1"/>
  <c r="AD18" i="6" l="1"/>
  <c r="X113" i="6"/>
  <c r="X114" i="6" s="1"/>
  <c r="W112" i="6"/>
  <c r="W105" i="6"/>
  <c r="W103" i="6"/>
  <c r="Y100" i="6"/>
  <c r="W101" i="6" l="1"/>
  <c r="AG18" i="6"/>
  <c r="Z113" i="6"/>
  <c r="Z114" i="6" s="1"/>
  <c r="Y112" i="6"/>
  <c r="Y105" i="6"/>
  <c r="Y103" i="6"/>
  <c r="Y107" i="6"/>
  <c r="Y101" i="6" l="1"/>
  <c r="O100" i="6" l="1"/>
  <c r="O103" i="6" s="1"/>
  <c r="O112" i="6" l="1"/>
  <c r="P113" i="6"/>
  <c r="P114" i="6" s="1"/>
  <c r="O105" i="6"/>
  <c r="O107" i="6"/>
  <c r="R18" i="6"/>
  <c r="O101" i="6" l="1"/>
  <c r="K13" i="6" l="1"/>
  <c r="K35" i="6"/>
  <c r="K12" i="6" s="1"/>
  <c r="K6" i="6" l="1"/>
  <c r="K9" i="6"/>
  <c r="K7" i="6" l="1"/>
  <c r="K17" i="6"/>
  <c r="K8" i="6"/>
  <c r="K11" i="6"/>
  <c r="K10" i="6"/>
  <c r="K14" i="6"/>
  <c r="AR13" i="6"/>
  <c r="AR35" i="6"/>
  <c r="AR12" i="6" s="1"/>
  <c r="AR9" i="6" l="1"/>
  <c r="AR6" i="6"/>
  <c r="AR14" i="6" l="1"/>
  <c r="AR7" i="6"/>
  <c r="AR17" i="6"/>
  <c r="AR8" i="6"/>
  <c r="AR11" i="6"/>
  <c r="AR10" i="6"/>
  <c r="J35" i="18" l="1"/>
  <c r="N35" i="18" l="1"/>
  <c r="AA35" i="18"/>
  <c r="O35" i="18" l="1"/>
  <c r="V36" i="6" l="1"/>
  <c r="V35" i="6" s="1"/>
  <c r="Y36" i="6"/>
  <c r="Y13" i="6" s="1"/>
  <c r="AB36" i="6"/>
  <c r="AB35" i="6" s="1"/>
  <c r="AE36" i="6"/>
  <c r="AE13" i="6" s="1"/>
  <c r="AH36" i="6"/>
  <c r="AH35" i="6" s="1"/>
  <c r="AH74" i="6" l="1"/>
  <c r="Y35" i="20"/>
  <c r="Y74" i="6"/>
  <c r="V74" i="6"/>
  <c r="Q35" i="20"/>
  <c r="AE74" i="6"/>
  <c r="U35" i="20"/>
  <c r="AB74" i="6"/>
  <c r="AI36" i="6"/>
  <c r="AC36" i="6"/>
  <c r="W36" i="6"/>
  <c r="AF36" i="6"/>
  <c r="Z36" i="6"/>
  <c r="Z35" i="6" s="1"/>
  <c r="D13" i="6"/>
  <c r="O37" i="15" s="1"/>
  <c r="AH12" i="6"/>
  <c r="AB12" i="6"/>
  <c r="V12" i="6"/>
  <c r="AE35" i="6"/>
  <c r="Y35" i="6"/>
  <c r="AH13" i="6"/>
  <c r="AB13" i="6"/>
  <c r="V13" i="6"/>
  <c r="D35" i="6" l="1"/>
  <c r="Z13" i="6"/>
  <c r="Z74" i="6"/>
  <c r="W35" i="6"/>
  <c r="W13" i="6"/>
  <c r="W74" i="6"/>
  <c r="AF13" i="6"/>
  <c r="AF35" i="6"/>
  <c r="AF74" i="6"/>
  <c r="AC35" i="6"/>
  <c r="AC13" i="6"/>
  <c r="AC74" i="6"/>
  <c r="AI35" i="6"/>
  <c r="AI74" i="6"/>
  <c r="AI13" i="6"/>
  <c r="C21" i="16"/>
  <c r="C20" i="16" s="1"/>
  <c r="Y12" i="6"/>
  <c r="S35" i="20"/>
  <c r="V6" i="6"/>
  <c r="V9" i="6"/>
  <c r="Q12" i="20"/>
  <c r="AE12" i="6"/>
  <c r="W35" i="20"/>
  <c r="Y12" i="20"/>
  <c r="AH6" i="6"/>
  <c r="AH9" i="6"/>
  <c r="Z12" i="6"/>
  <c r="AB6" i="6"/>
  <c r="AB9" i="6"/>
  <c r="U12" i="20"/>
  <c r="D76" i="6" l="1"/>
  <c r="D77" i="6" s="1"/>
  <c r="R14" i="15"/>
  <c r="R9" i="15"/>
  <c r="R12" i="15"/>
  <c r="C19" i="16"/>
  <c r="R60" i="15"/>
  <c r="S60" i="15" s="1"/>
  <c r="R27" i="15"/>
  <c r="S27" i="15" s="1"/>
  <c r="R18" i="15"/>
  <c r="S18" i="15" s="1"/>
  <c r="R20" i="15"/>
  <c r="S20" i="15" s="1"/>
  <c r="R67" i="15"/>
  <c r="S67" i="15" s="1"/>
  <c r="R62" i="15"/>
  <c r="S62" i="15" s="1"/>
  <c r="R24" i="15"/>
  <c r="S24" i="15" s="1"/>
  <c r="E35" i="6"/>
  <c r="AB14" i="6"/>
  <c r="AH14" i="6"/>
  <c r="V14" i="6"/>
  <c r="C35" i="20"/>
  <c r="D12" i="6"/>
  <c r="D6" i="6" s="1"/>
  <c r="D23" i="6" s="1"/>
  <c r="AC12" i="6"/>
  <c r="AI12" i="6"/>
  <c r="AF12" i="6"/>
  <c r="W12" i="6"/>
  <c r="AH11" i="6"/>
  <c r="AH10" i="6"/>
  <c r="Y9" i="20"/>
  <c r="V17" i="6"/>
  <c r="Q6" i="20"/>
  <c r="V8" i="6"/>
  <c r="V7" i="6"/>
  <c r="Y6" i="6"/>
  <c r="Y9" i="6"/>
  <c r="S12" i="20"/>
  <c r="AB17" i="6"/>
  <c r="AB7" i="6"/>
  <c r="AB8" i="6"/>
  <c r="U6" i="20"/>
  <c r="AH17" i="6"/>
  <c r="AH8" i="6"/>
  <c r="AH7" i="6"/>
  <c r="Y6" i="20"/>
  <c r="V11" i="6"/>
  <c r="V10" i="6"/>
  <c r="Q9" i="20"/>
  <c r="AB11" i="6"/>
  <c r="AB10" i="6"/>
  <c r="U9" i="20"/>
  <c r="Z6" i="6"/>
  <c r="Z9" i="6"/>
  <c r="AE6" i="6"/>
  <c r="AE9" i="6"/>
  <c r="W12" i="20"/>
  <c r="E76" i="6" l="1"/>
  <c r="E77" i="6" s="1"/>
  <c r="R37" i="15"/>
  <c r="E12" i="6"/>
  <c r="E36" i="6"/>
  <c r="E13" i="6" s="1"/>
  <c r="F14" i="6" s="1"/>
  <c r="B28" i="6"/>
  <c r="C12" i="20"/>
  <c r="C76" i="20"/>
  <c r="C77" i="20" s="1"/>
  <c r="D9" i="6"/>
  <c r="W9" i="6"/>
  <c r="W6" i="6"/>
  <c r="AF6" i="6"/>
  <c r="AF9" i="6"/>
  <c r="AI6" i="6"/>
  <c r="AI9" i="6"/>
  <c r="AC6" i="6"/>
  <c r="AC9" i="6"/>
  <c r="D7" i="6"/>
  <c r="D19" i="6"/>
  <c r="C6" i="20"/>
  <c r="D17" i="6"/>
  <c r="U23" i="20"/>
  <c r="Y7" i="6"/>
  <c r="Y8" i="6"/>
  <c r="Y17" i="6"/>
  <c r="S6" i="20"/>
  <c r="AE11" i="6"/>
  <c r="AE10" i="6"/>
  <c r="W9" i="20"/>
  <c r="Z11" i="6"/>
  <c r="Z10" i="6"/>
  <c r="Y23" i="20"/>
  <c r="D14" i="6"/>
  <c r="AE7" i="6"/>
  <c r="AE8" i="6"/>
  <c r="AE17" i="6"/>
  <c r="W6" i="20"/>
  <c r="Z7" i="6"/>
  <c r="Z8" i="6"/>
  <c r="Z17" i="6"/>
  <c r="Y14" i="6"/>
  <c r="Q23" i="20"/>
  <c r="AE14" i="6"/>
  <c r="Z14" i="6"/>
  <c r="Y11" i="6"/>
  <c r="Y10" i="6"/>
  <c r="S9" i="20"/>
  <c r="W60" i="15" l="1"/>
  <c r="V14" i="15"/>
  <c r="V9" i="15"/>
  <c r="V12" i="15"/>
  <c r="V20" i="15"/>
  <c r="V24" i="15"/>
  <c r="V27" i="15"/>
  <c r="V18" i="15"/>
  <c r="B28" i="20"/>
  <c r="V60" i="15"/>
  <c r="W18" i="15"/>
  <c r="W67" i="15"/>
  <c r="C61" i="16" s="1"/>
  <c r="F61" i="16" s="1"/>
  <c r="V67" i="15"/>
  <c r="V62" i="15"/>
  <c r="V38" i="15"/>
  <c r="V37" i="15"/>
  <c r="D11" i="6"/>
  <c r="W27" i="15"/>
  <c r="C47" i="16" s="1"/>
  <c r="F47" i="16" s="1"/>
  <c r="W24" i="15"/>
  <c r="C46" i="16" s="1"/>
  <c r="F46" i="16" s="1"/>
  <c r="W20" i="15"/>
  <c r="C45" i="16" s="1"/>
  <c r="F45" i="16" s="1"/>
  <c r="C9" i="20"/>
  <c r="W62" i="15"/>
  <c r="C60" i="16" s="1"/>
  <c r="F60" i="16" s="1"/>
  <c r="E9" i="6"/>
  <c r="B29" i="6"/>
  <c r="E6" i="6"/>
  <c r="E23" i="6" s="1"/>
  <c r="D10" i="6"/>
  <c r="AC14" i="6"/>
  <c r="AF14" i="6"/>
  <c r="W14" i="6"/>
  <c r="AF11" i="6"/>
  <c r="AF10" i="6"/>
  <c r="W10" i="6"/>
  <c r="W11" i="6"/>
  <c r="AC7" i="6"/>
  <c r="AC8" i="6"/>
  <c r="AC17" i="6"/>
  <c r="AF7" i="6"/>
  <c r="AF17" i="6"/>
  <c r="AF8" i="6"/>
  <c r="AI10" i="6"/>
  <c r="AI11" i="6"/>
  <c r="AC10" i="6"/>
  <c r="AC11" i="6"/>
  <c r="AI17" i="6"/>
  <c r="AI14" i="6"/>
  <c r="AI7" i="6"/>
  <c r="AI8" i="6"/>
  <c r="W7" i="6"/>
  <c r="W17" i="6"/>
  <c r="W8" i="6"/>
  <c r="W23" i="20"/>
  <c r="S23" i="20"/>
  <c r="D8" i="6"/>
  <c r="D24" i="6"/>
  <c r="C23" i="20"/>
  <c r="E10" i="6" l="1"/>
  <c r="F11" i="6" s="1"/>
  <c r="E19" i="6"/>
  <c r="E7" i="6"/>
  <c r="E24" i="6" l="1"/>
  <c r="J39" i="18"/>
  <c r="N39" i="18" l="1"/>
  <c r="AA39" i="18"/>
  <c r="J36" i="18"/>
  <c r="AA36" i="18" l="1"/>
  <c r="O39" i="18"/>
  <c r="D29" i="20" l="1"/>
  <c r="B29" i="20" l="1"/>
  <c r="K11" i="11" l="1"/>
  <c r="C134" i="6" s="1"/>
  <c r="K10" i="11"/>
  <c r="F16" i="5" l="1"/>
  <c r="E277" i="5" s="1"/>
  <c r="F277" i="5" l="1"/>
  <c r="Z39" i="15"/>
  <c r="Z12" i="15"/>
  <c r="D162" i="20" l="1"/>
  <c r="M161" i="6"/>
  <c r="G51" i="5" l="1"/>
  <c r="B137" i="20"/>
  <c r="C137" i="6"/>
  <c r="AM50" i="6" s="1"/>
  <c r="AM51" i="6" s="1"/>
  <c r="P161" i="6"/>
  <c r="N161" i="6"/>
  <c r="Q161" i="6"/>
  <c r="R161" i="6"/>
  <c r="J161" i="6"/>
  <c r="L161" i="6"/>
  <c r="K161" i="6"/>
  <c r="D161" i="6"/>
  <c r="F23" i="5"/>
  <c r="E285" i="5" s="1"/>
  <c r="C27" i="16"/>
  <c r="H161" i="6"/>
  <c r="G161" i="6"/>
  <c r="I161" i="6"/>
  <c r="O161" i="6"/>
  <c r="D162" i="6"/>
  <c r="F285" i="5" l="1"/>
  <c r="B134" i="6"/>
  <c r="U50" i="6"/>
  <c r="U51" i="6" s="1"/>
  <c r="AD50" i="6"/>
  <c r="AD51" i="6" s="1"/>
  <c r="X50" i="6"/>
  <c r="X51" i="6" s="1"/>
  <c r="AJ50" i="6"/>
  <c r="AJ51" i="6" s="1"/>
  <c r="AP50" i="6"/>
  <c r="AP51" i="6" s="1"/>
  <c r="O50" i="6"/>
  <c r="O51" i="6" s="1"/>
  <c r="AA50" i="6"/>
  <c r="AA51" i="6" s="1"/>
  <c r="E137" i="6"/>
  <c r="E137" i="20" s="1"/>
  <c r="F137" i="20" s="1"/>
  <c r="L50" i="6"/>
  <c r="L51" i="6" s="1"/>
  <c r="C50" i="6"/>
  <c r="C51" i="6" s="1"/>
  <c r="AG50" i="6"/>
  <c r="R50" i="6"/>
  <c r="R51" i="6" s="1"/>
  <c r="I50" i="6"/>
  <c r="I51" i="6" s="1"/>
  <c r="C137" i="20"/>
  <c r="I161" i="20"/>
  <c r="H161" i="20"/>
  <c r="J161" i="20"/>
  <c r="K161" i="20"/>
  <c r="O161" i="20"/>
  <c r="Q161" i="20"/>
  <c r="L161" i="20"/>
  <c r="P161" i="20"/>
  <c r="M161" i="20"/>
  <c r="G161" i="20"/>
  <c r="D161" i="20"/>
  <c r="N161" i="20"/>
  <c r="R161" i="20"/>
  <c r="P137" i="6" l="1"/>
  <c r="P137" i="20" s="1"/>
  <c r="AP41" i="6"/>
  <c r="AP38" i="6" s="1"/>
  <c r="AP39" i="6" s="1"/>
  <c r="F9" i="15"/>
  <c r="F12" i="15" s="1"/>
  <c r="G137" i="6"/>
  <c r="G137" i="20" s="1"/>
  <c r="L137" i="6"/>
  <c r="L137" i="20" s="1"/>
  <c r="R137" i="6"/>
  <c r="R137" i="20" s="1"/>
  <c r="O137" i="6"/>
  <c r="O137" i="20" s="1"/>
  <c r="J137" i="6"/>
  <c r="J137" i="20" s="1"/>
  <c r="Q137" i="6"/>
  <c r="Q137" i="20" s="1"/>
  <c r="AG41" i="6"/>
  <c r="AG42" i="6" s="1"/>
  <c r="I41" i="6"/>
  <c r="I42" i="6" s="1"/>
  <c r="B134" i="20"/>
  <c r="R41" i="6"/>
  <c r="C41" i="6"/>
  <c r="AM41" i="6"/>
  <c r="AA41" i="6"/>
  <c r="AA42" i="6" s="1"/>
  <c r="B144" i="6"/>
  <c r="E134" i="6"/>
  <c r="G134" i="6" s="1"/>
  <c r="AJ41" i="6"/>
  <c r="U41" i="6"/>
  <c r="O41" i="6"/>
  <c r="O42" i="6" s="1"/>
  <c r="X41" i="6"/>
  <c r="X42" i="6" s="1"/>
  <c r="L41" i="6"/>
  <c r="L42" i="6" s="1"/>
  <c r="AD41" i="6"/>
  <c r="AG51" i="6"/>
  <c r="I137" i="6"/>
  <c r="I137" i="20" s="1"/>
  <c r="N137" i="6"/>
  <c r="N137" i="20" s="1"/>
  <c r="K137" i="6"/>
  <c r="K137" i="20" s="1"/>
  <c r="M137" i="6"/>
  <c r="M137" i="20" s="1"/>
  <c r="H137" i="6"/>
  <c r="H137" i="20" s="1"/>
  <c r="F137" i="6"/>
  <c r="G144" i="6" l="1"/>
  <c r="AP42" i="6"/>
  <c r="I38" i="6"/>
  <c r="I39" i="6" s="1"/>
  <c r="L134" i="6"/>
  <c r="L144" i="6" s="1"/>
  <c r="L38" i="6"/>
  <c r="L39" i="6" s="1"/>
  <c r="X38" i="6"/>
  <c r="X39" i="6" s="1"/>
  <c r="E144" i="6"/>
  <c r="F144" i="6" s="1"/>
  <c r="M134" i="6"/>
  <c r="M144" i="6" s="1"/>
  <c r="P134" i="6"/>
  <c r="P144" i="6" s="1"/>
  <c r="J134" i="6"/>
  <c r="J144" i="6" s="1"/>
  <c r="Q134" i="6"/>
  <c r="Q144" i="6" s="1"/>
  <c r="F134" i="6"/>
  <c r="O38" i="6"/>
  <c r="O39" i="6" s="1"/>
  <c r="AA38" i="6"/>
  <c r="R42" i="6"/>
  <c r="R38" i="6"/>
  <c r="R39" i="6" s="1"/>
  <c r="AG38" i="6"/>
  <c r="AD42" i="6"/>
  <c r="AD38" i="6"/>
  <c r="C42" i="6"/>
  <c r="C38" i="6"/>
  <c r="O134" i="6"/>
  <c r="O144" i="6" s="1"/>
  <c r="I134" i="6"/>
  <c r="I144" i="6" s="1"/>
  <c r="N134" i="6"/>
  <c r="N144" i="6" s="1"/>
  <c r="U42" i="6"/>
  <c r="U38" i="6"/>
  <c r="C134" i="20"/>
  <c r="B144" i="20"/>
  <c r="K134" i="6"/>
  <c r="K144" i="6" s="1"/>
  <c r="H134" i="6"/>
  <c r="H144" i="6" s="1"/>
  <c r="R134" i="6"/>
  <c r="R144" i="6" s="1"/>
  <c r="AJ42" i="6"/>
  <c r="AJ38" i="6"/>
  <c r="AJ39" i="6" s="1"/>
  <c r="AM42" i="6"/>
  <c r="AM38" i="6"/>
  <c r="AM39" i="6" s="1"/>
  <c r="S12" i="15" l="1"/>
  <c r="W12" i="15" s="1"/>
  <c r="C43" i="16" s="1"/>
  <c r="F43" i="16" s="1"/>
  <c r="X71" i="6"/>
  <c r="Y71" i="6" s="1"/>
  <c r="E134" i="20"/>
  <c r="AD71" i="6"/>
  <c r="AE71" i="6" s="1"/>
  <c r="AD39" i="6"/>
  <c r="U39" i="6"/>
  <c r="U71" i="6"/>
  <c r="V71" i="6" s="1"/>
  <c r="Z9" i="15"/>
  <c r="C39" i="6"/>
  <c r="A80" i="6"/>
  <c r="AG39" i="6"/>
  <c r="AG71" i="6"/>
  <c r="AH71" i="6" s="1"/>
  <c r="AA71" i="6"/>
  <c r="AB71" i="6" s="1"/>
  <c r="AA39" i="6"/>
  <c r="AC71" i="6" l="1"/>
  <c r="AC72" i="6" s="1"/>
  <c r="U71" i="20"/>
  <c r="V71" i="20" s="1"/>
  <c r="V72" i="20" s="1"/>
  <c r="AB72" i="6"/>
  <c r="Z71" i="6"/>
  <c r="Z72" i="6" s="1"/>
  <c r="S71" i="20"/>
  <c r="T71" i="20" s="1"/>
  <c r="T72" i="20" s="1"/>
  <c r="Y72" i="6"/>
  <c r="AI71" i="6"/>
  <c r="AI72" i="6" s="1"/>
  <c r="AH72" i="6"/>
  <c r="Y71" i="20"/>
  <c r="Z71" i="20" s="1"/>
  <c r="Z72" i="20" s="1"/>
  <c r="AF71" i="6"/>
  <c r="AF72" i="6" s="1"/>
  <c r="AE72" i="6"/>
  <c r="W71" i="20"/>
  <c r="X71" i="20" s="1"/>
  <c r="X72" i="20" s="1"/>
  <c r="W71" i="6"/>
  <c r="W72" i="6" s="1"/>
  <c r="V72" i="6"/>
  <c r="Q71" i="20"/>
  <c r="R71" i="20" s="1"/>
  <c r="R72" i="20" s="1"/>
  <c r="X72" i="6"/>
  <c r="X68" i="6"/>
  <c r="X69" i="6" s="1"/>
  <c r="AA68" i="6"/>
  <c r="AA69" i="6" s="1"/>
  <c r="AA72" i="6"/>
  <c r="AG72" i="6"/>
  <c r="AG68" i="6"/>
  <c r="AG69" i="6" s="1"/>
  <c r="AD68" i="6"/>
  <c r="AD69" i="6" s="1"/>
  <c r="AD72" i="6"/>
  <c r="U68" i="6"/>
  <c r="U69" i="6" s="1"/>
  <c r="U72" i="6"/>
  <c r="S9" i="15"/>
  <c r="W9" i="15" s="1"/>
  <c r="C42" i="16" s="1"/>
  <c r="F134" i="20"/>
  <c r="H134" i="20"/>
  <c r="H144" i="20" s="1"/>
  <c r="O134" i="20"/>
  <c r="O144" i="20" s="1"/>
  <c r="J134" i="20"/>
  <c r="J144" i="20" s="1"/>
  <c r="G134" i="20"/>
  <c r="G144" i="20" s="1"/>
  <c r="R134" i="20"/>
  <c r="R144" i="20" s="1"/>
  <c r="P134" i="20"/>
  <c r="P144" i="20" s="1"/>
  <c r="M134" i="20"/>
  <c r="M144" i="20" s="1"/>
  <c r="N134" i="20"/>
  <c r="N144" i="20" s="1"/>
  <c r="K134" i="20"/>
  <c r="K144" i="20" s="1"/>
  <c r="Q134" i="20"/>
  <c r="Q144" i="20" s="1"/>
  <c r="L134" i="20"/>
  <c r="L144" i="20" s="1"/>
  <c r="I134" i="20"/>
  <c r="I144" i="20" s="1"/>
  <c r="E144" i="20"/>
  <c r="F144" i="20" s="1"/>
  <c r="F42" i="16" l="1"/>
  <c r="Z37" i="15" l="1"/>
  <c r="Z38" i="15" l="1"/>
  <c r="Z32" i="15" l="1"/>
  <c r="AE35" i="15" l="1"/>
  <c r="Z35" i="15"/>
  <c r="V35" i="15"/>
  <c r="A34" i="15"/>
  <c r="AD34" i="15" s="1"/>
  <c r="AB34" i="15" l="1"/>
  <c r="F18" i="16" s="1"/>
  <c r="U35" i="15"/>
  <c r="W35" i="15" s="1"/>
  <c r="C50" i="16" s="1"/>
  <c r="F50" i="16" s="1"/>
  <c r="AE34" i="15" l="1"/>
  <c r="Z34" i="15"/>
  <c r="A35" i="15"/>
  <c r="AD35" i="15" s="1"/>
  <c r="A31" i="15" s="1"/>
  <c r="U34" i="15" l="1"/>
  <c r="V34" i="15"/>
  <c r="W34" i="15" l="1"/>
  <c r="C49" i="16" l="1"/>
  <c r="F49" i="16" s="1"/>
  <c r="AB48" i="15"/>
  <c r="AB43" i="15" l="1"/>
  <c r="Q48" i="15"/>
  <c r="X48" i="15" s="1"/>
  <c r="Y48" i="15" s="1"/>
  <c r="Z48" i="15"/>
  <c r="AE42" i="15" l="1"/>
  <c r="Q43" i="15"/>
  <c r="X43" i="15" s="1"/>
  <c r="Y43" i="15" s="1"/>
  <c r="Z43" i="15"/>
  <c r="AB49" i="15"/>
  <c r="Z49" i="15" l="1"/>
  <c r="AB44" i="15" l="1"/>
  <c r="M65" i="10" l="1"/>
  <c r="I65" i="10"/>
  <c r="H65" i="10"/>
  <c r="J65" i="10"/>
  <c r="R109" i="20"/>
  <c r="K65" i="10"/>
  <c r="C66" i="10"/>
  <c r="L65" i="10"/>
  <c r="G65" i="10"/>
  <c r="N109" i="20" s="1"/>
  <c r="E66" i="10"/>
  <c r="N65" i="10"/>
  <c r="O65" i="10"/>
  <c r="D109" i="20"/>
  <c r="Q49" i="15" s="1"/>
  <c r="X49" i="15" s="1"/>
  <c r="Y49" i="15" s="1"/>
  <c r="P109" i="20"/>
  <c r="AB109" i="20"/>
  <c r="Z109" i="20"/>
  <c r="Q44" i="15"/>
  <c r="X44" i="15" s="1"/>
  <c r="Y44" i="15" s="1"/>
  <c r="P65" i="10"/>
  <c r="AF109" i="20" s="1"/>
  <c r="Z44" i="15"/>
  <c r="V109" i="20"/>
  <c r="T109" i="20"/>
  <c r="X109" i="20"/>
  <c r="AD109" i="20"/>
  <c r="F66" i="10"/>
  <c r="L109" i="20"/>
  <c r="J109" i="20"/>
  <c r="AA47" i="15" l="1"/>
  <c r="AB50" i="15"/>
  <c r="Z50" i="15" s="1"/>
  <c r="AB45" i="15"/>
  <c r="AB42" i="15" s="1"/>
  <c r="Q45" i="15" l="1"/>
  <c r="X45" i="15" s="1"/>
  <c r="Y45" i="15" s="1"/>
  <c r="Y42" i="15" s="1"/>
  <c r="C54" i="16" s="1"/>
  <c r="F54" i="16" s="1"/>
  <c r="D110" i="20"/>
  <c r="Q50" i="15"/>
  <c r="X50" i="15" s="1"/>
  <c r="Y50" i="15" s="1"/>
  <c r="Z45" i="15"/>
  <c r="AB47" i="15"/>
  <c r="AE47" i="15" s="1"/>
  <c r="AA42" i="15"/>
  <c r="A42" i="15" l="1"/>
  <c r="AD42" i="15" s="1"/>
  <c r="A36" i="15" s="1"/>
  <c r="X110" i="20"/>
  <c r="R110" i="20"/>
  <c r="AF110" i="20"/>
  <c r="AD110" i="20"/>
  <c r="L110" i="20"/>
  <c r="Z110" i="20"/>
  <c r="AB110" i="20"/>
  <c r="T110" i="20"/>
  <c r="J110" i="20"/>
  <c r="N110" i="20"/>
  <c r="V110" i="20"/>
  <c r="P110" i="20"/>
  <c r="Y52" i="15"/>
  <c r="C56" i="16" s="1"/>
  <c r="F56" i="16" s="1"/>
  <c r="Y47" i="15"/>
  <c r="C55" i="16" s="1"/>
  <c r="F55" i="16" s="1"/>
  <c r="A47" i="15"/>
  <c r="AB55" i="15" l="1"/>
  <c r="Z55" i="15" s="1"/>
  <c r="Q55" i="15" l="1"/>
  <c r="X55" i="15" s="1"/>
  <c r="Y55" i="15" s="1"/>
  <c r="C57" i="16" s="1"/>
  <c r="F57" i="16" s="1"/>
  <c r="AB56" i="15"/>
  <c r="AE55" i="15"/>
  <c r="D104" i="20" l="1"/>
  <c r="J104" i="20" s="1"/>
  <c r="AD6" i="15"/>
  <c r="A6" i="15"/>
  <c r="A54" i="15"/>
  <c r="Z56" i="15"/>
  <c r="C50" i="4" s="1"/>
  <c r="Q56" i="15"/>
  <c r="AE56" i="15"/>
  <c r="D105" i="20" l="1"/>
  <c r="X56" i="15"/>
  <c r="Y56" i="15" s="1"/>
  <c r="Q54" i="15"/>
  <c r="J105" i="20"/>
  <c r="L104" i="20"/>
  <c r="C52" i="4"/>
  <c r="N104" i="20" l="1"/>
  <c r="L105" i="20"/>
  <c r="C58" i="16"/>
  <c r="F58" i="16" s="1"/>
  <c r="Y58" i="15"/>
  <c r="C59" i="16" s="1"/>
  <c r="F59" i="16" s="1"/>
  <c r="Y54" i="15" l="1"/>
  <c r="N105" i="20"/>
  <c r="P104" i="20"/>
  <c r="P105" i="20" l="1"/>
  <c r="R104" i="20"/>
  <c r="R105" i="20" l="1"/>
  <c r="T104" i="20"/>
  <c r="T105" i="20" l="1"/>
  <c r="V104" i="20"/>
  <c r="X104" i="20" l="1"/>
  <c r="V105" i="20"/>
  <c r="X105" i="20" l="1"/>
  <c r="Z104" i="20"/>
  <c r="Z105" i="20" l="1"/>
  <c r="AB104" i="20"/>
  <c r="AD104" i="20" l="1"/>
  <c r="AB105" i="20"/>
  <c r="AD105" i="20" l="1"/>
  <c r="AF104" i="20"/>
  <c r="AF105" i="20" l="1"/>
  <c r="O73" i="15" l="1"/>
  <c r="R73" i="15" l="1"/>
  <c r="S73" i="15" s="1"/>
  <c r="V73" i="15"/>
  <c r="W73" i="15" s="1"/>
  <c r="C62" i="16" s="1"/>
  <c r="F62" i="16" s="1"/>
  <c r="O71" i="15"/>
  <c r="V71" i="15" l="1"/>
  <c r="R71" i="15"/>
  <c r="S71" i="15" s="1"/>
  <c r="W71" i="15" s="1"/>
  <c r="N107" i="20" l="1"/>
  <c r="V107" i="20"/>
  <c r="AF107" i="20" l="1"/>
  <c r="D107" i="20"/>
  <c r="J101" i="20"/>
  <c r="L107" i="20"/>
  <c r="N101" i="20"/>
  <c r="V101" i="20"/>
  <c r="AD107" i="20"/>
  <c r="P101" i="20"/>
  <c r="Z107" i="20"/>
  <c r="R107" i="20"/>
  <c r="T107" i="20"/>
  <c r="X107" i="20" l="1"/>
  <c r="AB107" i="20"/>
  <c r="R101" i="20"/>
  <c r="L101" i="20"/>
  <c r="AD101" i="20"/>
  <c r="D101" i="20"/>
  <c r="T101" i="20"/>
  <c r="Z101" i="20"/>
  <c r="AF101" i="20"/>
  <c r="AB101" i="20" l="1"/>
  <c r="X101" i="20"/>
  <c r="AB20" i="20" l="1"/>
  <c r="X20" i="20"/>
  <c r="R20" i="20"/>
  <c r="AD20" i="20"/>
  <c r="Z20" i="20"/>
  <c r="AF20" i="20"/>
  <c r="T20" i="20"/>
  <c r="L20" i="20"/>
  <c r="V20" i="20"/>
  <c r="P20" i="20"/>
  <c r="N20" i="20"/>
  <c r="J20" i="20"/>
  <c r="X14" i="20"/>
  <c r="J107" i="20"/>
  <c r="T14" i="20"/>
  <c r="X37" i="20"/>
  <c r="Z14" i="20"/>
  <c r="P107" i="20"/>
  <c r="T37" i="20"/>
  <c r="P39" i="15"/>
  <c r="T39" i="15" s="1"/>
  <c r="U38" i="15" s="1"/>
  <c r="W38" i="15" s="1"/>
  <c r="C52" i="16" s="1"/>
  <c r="F52" i="16" s="1"/>
  <c r="V14" i="20"/>
  <c r="Z37" i="20"/>
  <c r="V37" i="20"/>
  <c r="U39" i="15" l="1"/>
  <c r="W39" i="15" s="1"/>
  <c r="C53" i="16" s="1"/>
  <c r="F53" i="16" s="1"/>
  <c r="V39" i="15"/>
  <c r="O7" i="15"/>
  <c r="S14" i="15"/>
  <c r="W14" i="15" s="1"/>
  <c r="C44" i="16" s="1"/>
  <c r="F44" i="16" s="1"/>
  <c r="U32" i="15"/>
  <c r="U31" i="15" s="1"/>
  <c r="R7" i="15" l="1"/>
  <c r="S7" i="15" s="1"/>
  <c r="V7" i="15"/>
  <c r="U36" i="15"/>
  <c r="U6" i="15" s="1"/>
  <c r="W7" i="15" l="1"/>
  <c r="J76" i="18" l="1"/>
  <c r="AA76" i="18" s="1"/>
  <c r="G49" i="5"/>
  <c r="E43" i="5" l="1"/>
  <c r="D179" i="20"/>
  <c r="D185" i="20" s="1"/>
  <c r="D182" i="6"/>
  <c r="D188" i="6" s="1"/>
  <c r="D41" i="15"/>
  <c r="D180" i="20"/>
  <c r="D186" i="20" s="1"/>
  <c r="E67" i="5"/>
  <c r="E278" i="5" s="1"/>
  <c r="E289" i="5" s="1"/>
  <c r="D181" i="6"/>
  <c r="D187" i="6" s="1"/>
  <c r="M189" i="20" l="1"/>
  <c r="Q189" i="20"/>
  <c r="I189" i="20"/>
  <c r="R189" i="20"/>
  <c r="N189" i="20"/>
  <c r="L189" i="20"/>
  <c r="P189" i="20"/>
  <c r="G189" i="20"/>
  <c r="K189" i="20"/>
  <c r="H189" i="20"/>
  <c r="D189" i="20"/>
  <c r="F151" i="20" s="1"/>
  <c r="D34" i="10" s="1"/>
  <c r="J189" i="20"/>
  <c r="O189" i="20"/>
  <c r="K178" i="20"/>
  <c r="R85" i="20" s="1"/>
  <c r="R178" i="20"/>
  <c r="AF85" i="20" s="1"/>
  <c r="J178" i="20"/>
  <c r="P85" i="20" s="1"/>
  <c r="Q178" i="20"/>
  <c r="AD85" i="20" s="1"/>
  <c r="D178" i="20"/>
  <c r="O178" i="20"/>
  <c r="Z85" i="20" s="1"/>
  <c r="M178" i="20"/>
  <c r="V85" i="20" s="1"/>
  <c r="H178" i="20"/>
  <c r="L85" i="20" s="1"/>
  <c r="G178" i="20"/>
  <c r="J85" i="20" s="1"/>
  <c r="I178" i="20"/>
  <c r="N85" i="20" s="1"/>
  <c r="L178" i="20"/>
  <c r="T85" i="20" s="1"/>
  <c r="P178" i="20"/>
  <c r="AB85" i="20" s="1"/>
  <c r="N178" i="20"/>
  <c r="X85" i="20" s="1"/>
  <c r="P190" i="6"/>
  <c r="D190" i="6"/>
  <c r="L190" i="6"/>
  <c r="Q190" i="6"/>
  <c r="N190" i="6"/>
  <c r="M190" i="6"/>
  <c r="K190" i="6"/>
  <c r="O190" i="6"/>
  <c r="R190" i="6"/>
  <c r="I190" i="6"/>
  <c r="G190" i="6"/>
  <c r="J190" i="6"/>
  <c r="H190" i="6"/>
  <c r="D189" i="6"/>
  <c r="O191" i="6"/>
  <c r="I191" i="6"/>
  <c r="M191" i="6"/>
  <c r="Q191" i="6"/>
  <c r="J191" i="6"/>
  <c r="D191" i="6"/>
  <c r="G191" i="6"/>
  <c r="K191" i="6"/>
  <c r="P191" i="6"/>
  <c r="H191" i="6"/>
  <c r="R191" i="6"/>
  <c r="L191" i="6"/>
  <c r="N191" i="6"/>
  <c r="F278" i="5"/>
  <c r="G188" i="20"/>
  <c r="M188" i="20"/>
  <c r="L188" i="20"/>
  <c r="O188" i="20"/>
  <c r="K188" i="20"/>
  <c r="Q188" i="20"/>
  <c r="D188" i="20"/>
  <c r="P188" i="20"/>
  <c r="I188" i="20"/>
  <c r="H188" i="20"/>
  <c r="R188" i="20"/>
  <c r="N188" i="20"/>
  <c r="J188" i="20"/>
  <c r="D187" i="20"/>
  <c r="J192" i="6" l="1"/>
  <c r="R62" i="6" s="1"/>
  <c r="Q192" i="6"/>
  <c r="AM62" i="6" s="1"/>
  <c r="R192" i="6"/>
  <c r="AP62" i="6" s="1"/>
  <c r="D192" i="6"/>
  <c r="C62" i="6" s="1"/>
  <c r="K192" i="6"/>
  <c r="U62" i="6" s="1"/>
  <c r="M192" i="6"/>
  <c r="AA62" i="6" s="1"/>
  <c r="O192" i="6"/>
  <c r="AG62" i="6" s="1"/>
  <c r="G192" i="6"/>
  <c r="I62" i="6" s="1"/>
  <c r="N192" i="6"/>
  <c r="AD62" i="6" s="1"/>
  <c r="P192" i="6"/>
  <c r="AJ62" i="6" s="1"/>
  <c r="L192" i="6"/>
  <c r="X62" i="6" s="1"/>
  <c r="I192" i="6"/>
  <c r="O62" i="6" s="1"/>
  <c r="F151" i="6"/>
  <c r="C34" i="10" s="1"/>
  <c r="H192" i="6"/>
  <c r="L62" i="6" s="1"/>
  <c r="T86" i="20"/>
  <c r="T87" i="20" s="1"/>
  <c r="T15" i="20"/>
  <c r="T16" i="20" s="1"/>
  <c r="T17" i="20" s="1"/>
  <c r="V86" i="20"/>
  <c r="V87" i="20" s="1"/>
  <c r="V15" i="20"/>
  <c r="V16" i="20" s="1"/>
  <c r="V17" i="20" s="1"/>
  <c r="P86" i="20"/>
  <c r="P87" i="20" s="1"/>
  <c r="P15" i="20"/>
  <c r="P16" i="20" s="1"/>
  <c r="P17" i="20" s="1"/>
  <c r="B290" i="5"/>
  <c r="G86" i="15"/>
  <c r="B292" i="5"/>
  <c r="C49" i="4"/>
  <c r="N86" i="20"/>
  <c r="N87" i="20" s="1"/>
  <c r="N15" i="20"/>
  <c r="N16" i="20" s="1"/>
  <c r="N17" i="20" s="1"/>
  <c r="Z86" i="20"/>
  <c r="Z87" i="20" s="1"/>
  <c r="Z15" i="20"/>
  <c r="Z16" i="20" s="1"/>
  <c r="Z17" i="20" s="1"/>
  <c r="AF86" i="20"/>
  <c r="AF87" i="20" s="1"/>
  <c r="AF15" i="20"/>
  <c r="AF16" i="20" s="1"/>
  <c r="AF17" i="20" s="1"/>
  <c r="D35" i="10"/>
  <c r="C52" i="17"/>
  <c r="D52" i="17" s="1"/>
  <c r="C53" i="17"/>
  <c r="D53" i="17" s="1"/>
  <c r="X86" i="20"/>
  <c r="X87" i="20" s="1"/>
  <c r="X15" i="20"/>
  <c r="X16" i="20" s="1"/>
  <c r="X17" i="20" s="1"/>
  <c r="J86" i="20"/>
  <c r="J87" i="20" s="1"/>
  <c r="J15" i="20"/>
  <c r="J16" i="20" s="1"/>
  <c r="J17" i="20" s="1"/>
  <c r="E87" i="20"/>
  <c r="D85" i="20"/>
  <c r="R86" i="20"/>
  <c r="R87" i="20" s="1"/>
  <c r="R15" i="20"/>
  <c r="R16" i="20" s="1"/>
  <c r="R17" i="20" s="1"/>
  <c r="H190" i="20"/>
  <c r="I190" i="20"/>
  <c r="R190" i="20"/>
  <c r="K190" i="20"/>
  <c r="J190" i="20"/>
  <c r="L190" i="20"/>
  <c r="G190" i="20"/>
  <c r="O190" i="20"/>
  <c r="M190" i="20"/>
  <c r="P190" i="20"/>
  <c r="N190" i="20"/>
  <c r="Q190" i="20"/>
  <c r="D190" i="20"/>
  <c r="AB86" i="20"/>
  <c r="AB87" i="20" s="1"/>
  <c r="AB15" i="20"/>
  <c r="AB16" i="20" s="1"/>
  <c r="AB17" i="20" s="1"/>
  <c r="L86" i="20"/>
  <c r="L87" i="20" s="1"/>
  <c r="L15" i="20"/>
  <c r="L16" i="20" s="1"/>
  <c r="L17" i="20" s="1"/>
  <c r="AD86" i="20"/>
  <c r="AD87" i="20" s="1"/>
  <c r="AD15" i="20"/>
  <c r="AD16" i="20" s="1"/>
  <c r="AD17" i="20" s="1"/>
  <c r="D93" i="20" l="1"/>
  <c r="D15" i="20"/>
  <c r="D86" i="20"/>
  <c r="F50" i="10"/>
  <c r="L49" i="10"/>
  <c r="C50" i="10"/>
  <c r="N49" i="10"/>
  <c r="O49" i="10"/>
  <c r="G49" i="10"/>
  <c r="K49" i="10"/>
  <c r="I49" i="10"/>
  <c r="D36" i="10"/>
  <c r="E50" i="10"/>
  <c r="P49" i="10"/>
  <c r="M49" i="10"/>
  <c r="H49" i="10"/>
  <c r="J49" i="10"/>
  <c r="O63" i="6"/>
  <c r="O65" i="6"/>
  <c r="I63" i="6"/>
  <c r="I65" i="6"/>
  <c r="C63" i="6"/>
  <c r="B80" i="6"/>
  <c r="C65" i="6"/>
  <c r="X63" i="6"/>
  <c r="X65" i="6"/>
  <c r="X35" i="6" s="1"/>
  <c r="Y62" i="6" s="1"/>
  <c r="AG63" i="6"/>
  <c r="AG65" i="6"/>
  <c r="AG35" i="6" s="1"/>
  <c r="AI62" i="6" s="1"/>
  <c r="AI63" i="6" s="1"/>
  <c r="AP63" i="6"/>
  <c r="AP65" i="6"/>
  <c r="AP35" i="6" s="1"/>
  <c r="L63" i="6"/>
  <c r="L65" i="6"/>
  <c r="L35" i="6" s="1"/>
  <c r="M62" i="6" s="1"/>
  <c r="AJ63" i="6"/>
  <c r="AJ65" i="6"/>
  <c r="AJ35" i="6" s="1"/>
  <c r="AA63" i="6"/>
  <c r="AA65" i="6"/>
  <c r="AA35" i="6" s="1"/>
  <c r="AC62" i="6" s="1"/>
  <c r="AC63" i="6" s="1"/>
  <c r="AM63" i="6"/>
  <c r="AM65" i="6"/>
  <c r="C35" i="16"/>
  <c r="C51" i="4"/>
  <c r="C53" i="4"/>
  <c r="C35" i="10"/>
  <c r="G33" i="10"/>
  <c r="AD63" i="6"/>
  <c r="AD65" i="6"/>
  <c r="AD35" i="6" s="1"/>
  <c r="U63" i="6"/>
  <c r="U65" i="6"/>
  <c r="U35" i="6" s="1"/>
  <c r="R63" i="6"/>
  <c r="R65" i="6"/>
  <c r="R35" i="6" s="1"/>
  <c r="D94" i="20" l="1"/>
  <c r="D87" i="20"/>
  <c r="E21" i="16"/>
  <c r="D22" i="16"/>
  <c r="D21" i="16"/>
  <c r="E22" i="16"/>
  <c r="V68" i="6"/>
  <c r="V38" i="6"/>
  <c r="U12" i="6"/>
  <c r="W68" i="6"/>
  <c r="W69" i="6" s="1"/>
  <c r="W73" i="6"/>
  <c r="W75" i="6" s="1"/>
  <c r="I40" i="10"/>
  <c r="I46" i="10" s="1"/>
  <c r="V73" i="6"/>
  <c r="V75" i="6" s="1"/>
  <c r="W38" i="6"/>
  <c r="V62" i="6"/>
  <c r="W62" i="6"/>
  <c r="W63" i="6" s="1"/>
  <c r="S68" i="6"/>
  <c r="R70" i="6"/>
  <c r="T68" i="6"/>
  <c r="R36" i="6"/>
  <c r="R12" i="6"/>
  <c r="T73" i="6"/>
  <c r="T75" i="6" s="1"/>
  <c r="S73" i="6"/>
  <c r="S75" i="6" s="1"/>
  <c r="H40" i="10"/>
  <c r="H46" i="10" s="1"/>
  <c r="T38" i="6"/>
  <c r="S38" i="6"/>
  <c r="T62" i="6"/>
  <c r="T63" i="6" s="1"/>
  <c r="S62" i="6"/>
  <c r="AQ68" i="6"/>
  <c r="AP12" i="6"/>
  <c r="AP36" i="6"/>
  <c r="P40" i="10"/>
  <c r="P46" i="10" s="1"/>
  <c r="AQ73" i="6"/>
  <c r="AQ75" i="6" s="1"/>
  <c r="AR38" i="6"/>
  <c r="AR68" i="6"/>
  <c r="AR69" i="6" s="1"/>
  <c r="AR73" i="6"/>
  <c r="AR75" i="6" s="1"/>
  <c r="AQ38" i="6"/>
  <c r="AQ62" i="6"/>
  <c r="AR62" i="6"/>
  <c r="AR63" i="6" s="1"/>
  <c r="M63" i="6"/>
  <c r="K62" i="20"/>
  <c r="L62" i="20" s="1"/>
  <c r="S62" i="20"/>
  <c r="T62" i="20" s="1"/>
  <c r="Y63" i="6"/>
  <c r="AE68" i="6"/>
  <c r="AD12" i="6"/>
  <c r="AF41" i="6"/>
  <c r="AF42" i="6" s="1"/>
  <c r="L40" i="10"/>
  <c r="L46" i="10" s="1"/>
  <c r="AF47" i="6"/>
  <c r="AF48" i="6" s="1"/>
  <c r="AF44" i="6"/>
  <c r="AF45" i="6" s="1"/>
  <c r="AF73" i="6"/>
  <c r="AF75" i="6" s="1"/>
  <c r="AF38" i="6"/>
  <c r="AF39" i="6" s="1"/>
  <c r="AE73" i="6"/>
  <c r="AE75" i="6" s="1"/>
  <c r="AF59" i="6"/>
  <c r="AF60" i="6" s="1"/>
  <c r="AF56" i="6"/>
  <c r="AF57" i="6" s="1"/>
  <c r="AE38" i="6"/>
  <c r="AF53" i="6"/>
  <c r="AF54" i="6" s="1"/>
  <c r="AF50" i="6"/>
  <c r="AF51" i="6" s="1"/>
  <c r="AF68" i="6"/>
  <c r="AF69" i="6" s="1"/>
  <c r="AF62" i="6"/>
  <c r="AF63" i="6" s="1"/>
  <c r="AE62" i="6"/>
  <c r="AK68" i="6"/>
  <c r="AJ12" i="6"/>
  <c r="AK38" i="6"/>
  <c r="AL38" i="6"/>
  <c r="AJ36" i="6"/>
  <c r="AL73" i="6"/>
  <c r="AL75" i="6" s="1"/>
  <c r="N40" i="10"/>
  <c r="N46" i="10" s="1"/>
  <c r="AK73" i="6"/>
  <c r="AK75" i="6" s="1"/>
  <c r="AL68" i="6"/>
  <c r="AL69" i="6" s="1"/>
  <c r="AL62" i="6"/>
  <c r="AL63" i="6" s="1"/>
  <c r="AK62" i="6"/>
  <c r="F94" i="15"/>
  <c r="E20" i="16"/>
  <c r="F89" i="15"/>
  <c r="F95" i="15"/>
  <c r="C36" i="16"/>
  <c r="F90" i="15" s="1"/>
  <c r="F93" i="15"/>
  <c r="F96" i="15"/>
  <c r="B81" i="15"/>
  <c r="D23" i="16"/>
  <c r="E23" i="16"/>
  <c r="F97" i="15"/>
  <c r="E24" i="16"/>
  <c r="D11" i="16" s="1"/>
  <c r="AM66" i="6"/>
  <c r="N62" i="6"/>
  <c r="N63" i="6" s="1"/>
  <c r="AH62" i="6"/>
  <c r="C80" i="6"/>
  <c r="C66" i="6"/>
  <c r="I66" i="6"/>
  <c r="O66" i="6"/>
  <c r="V65" i="6"/>
  <c r="U66" i="6"/>
  <c r="W65" i="6"/>
  <c r="W66" i="6" s="1"/>
  <c r="C37" i="16"/>
  <c r="F87" i="15"/>
  <c r="B80" i="15"/>
  <c r="F91" i="15"/>
  <c r="F88" i="15"/>
  <c r="F86" i="15"/>
  <c r="C33" i="16"/>
  <c r="C34" i="16" s="1"/>
  <c r="AA66" i="6"/>
  <c r="AB65" i="6"/>
  <c r="AC65" i="6"/>
  <c r="AC66" i="6" s="1"/>
  <c r="X66" i="6"/>
  <c r="Y65" i="6"/>
  <c r="Z65" i="6"/>
  <c r="Z66" i="6" s="1"/>
  <c r="I35" i="6"/>
  <c r="J65" i="6" s="1"/>
  <c r="AD66" i="6"/>
  <c r="AE65" i="6"/>
  <c r="AF65" i="6"/>
  <c r="AF66" i="6" s="1"/>
  <c r="AB68" i="6"/>
  <c r="AB73" i="6"/>
  <c r="AB75" i="6" s="1"/>
  <c r="AB38" i="6"/>
  <c r="AC68" i="6"/>
  <c r="AC69" i="6" s="1"/>
  <c r="AA12" i="6"/>
  <c r="AC38" i="6"/>
  <c r="K40" i="10"/>
  <c r="K46" i="10" s="1"/>
  <c r="AC73" i="6"/>
  <c r="AC75" i="6" s="1"/>
  <c r="AJ66" i="6"/>
  <c r="AK65" i="6"/>
  <c r="AL65" i="6"/>
  <c r="AL66" i="6" s="1"/>
  <c r="L70" i="6"/>
  <c r="M68" i="6"/>
  <c r="L12" i="6"/>
  <c r="N68" i="6"/>
  <c r="L36" i="6"/>
  <c r="M73" i="6"/>
  <c r="M75" i="6" s="1"/>
  <c r="N59" i="6"/>
  <c r="N60" i="6" s="1"/>
  <c r="N73" i="6"/>
  <c r="N75" i="6" s="1"/>
  <c r="M38" i="6"/>
  <c r="N38" i="6"/>
  <c r="F41" i="10"/>
  <c r="F47" i="10" s="1"/>
  <c r="AQ65" i="6"/>
  <c r="AP66" i="6"/>
  <c r="AR65" i="6"/>
  <c r="AR66" i="6" s="1"/>
  <c r="AH68" i="6"/>
  <c r="AG12" i="6"/>
  <c r="AH50" i="6"/>
  <c r="AH47" i="6"/>
  <c r="AI41" i="6"/>
  <c r="AI42" i="6" s="1"/>
  <c r="AH38" i="6"/>
  <c r="AI47" i="6"/>
  <c r="AI48" i="6" s="1"/>
  <c r="AI38" i="6"/>
  <c r="AI39" i="6" s="1"/>
  <c r="AI73" i="6"/>
  <c r="AI75" i="6" s="1"/>
  <c r="AI56" i="6"/>
  <c r="AI57" i="6" s="1"/>
  <c r="AI59" i="6"/>
  <c r="AI60" i="6" s="1"/>
  <c r="AI53" i="6"/>
  <c r="AI54" i="6" s="1"/>
  <c r="AI50" i="6"/>
  <c r="AI51" i="6" s="1"/>
  <c r="M40" i="10"/>
  <c r="M46" i="10" s="1"/>
  <c r="AI68" i="6"/>
  <c r="AI69" i="6" s="1"/>
  <c r="AI44" i="6"/>
  <c r="AI45" i="6" s="1"/>
  <c r="AH73" i="6"/>
  <c r="AH75" i="6" s="1"/>
  <c r="Y68" i="6"/>
  <c r="Z68" i="6"/>
  <c r="Z69" i="6" s="1"/>
  <c r="Y38" i="6"/>
  <c r="Y73" i="6"/>
  <c r="Y75" i="6" s="1"/>
  <c r="X12" i="6"/>
  <c r="Z73" i="6"/>
  <c r="Z75" i="6" s="1"/>
  <c r="Z38" i="6"/>
  <c r="J40" i="10"/>
  <c r="J46" i="10" s="1"/>
  <c r="O35" i="6"/>
  <c r="Q65" i="6" s="1"/>
  <c r="D16" i="20"/>
  <c r="D17" i="20" s="1"/>
  <c r="D27" i="20"/>
  <c r="R66" i="6"/>
  <c r="S65" i="6"/>
  <c r="T65" i="6"/>
  <c r="T66" i="6" s="1"/>
  <c r="P48" i="10"/>
  <c r="L48" i="10"/>
  <c r="O48" i="10"/>
  <c r="H48" i="10"/>
  <c r="K48" i="10"/>
  <c r="E49" i="10"/>
  <c r="C49" i="10"/>
  <c r="M48" i="10"/>
  <c r="J48" i="10"/>
  <c r="F49" i="10"/>
  <c r="I48" i="10"/>
  <c r="A35" i="10"/>
  <c r="N48" i="10"/>
  <c r="G48" i="10"/>
  <c r="C36" i="10"/>
  <c r="AM35" i="6"/>
  <c r="AO65" i="6" s="1"/>
  <c r="AO66" i="6" s="1"/>
  <c r="AB62" i="6"/>
  <c r="L66" i="6"/>
  <c r="M65" i="6"/>
  <c r="N65" i="6"/>
  <c r="N66" i="6" s="1"/>
  <c r="AG66" i="6"/>
  <c r="AH65" i="6"/>
  <c r="AI65" i="6"/>
  <c r="AI66" i="6" s="1"/>
  <c r="Z62" i="6"/>
  <c r="Z63" i="6" s="1"/>
  <c r="C35" i="6"/>
  <c r="D34" i="16" l="1"/>
  <c r="Q63" i="6"/>
  <c r="D20" i="16"/>
  <c r="D19" i="16" s="1"/>
  <c r="AH51" i="6"/>
  <c r="Y50" i="20"/>
  <c r="AH66" i="6"/>
  <c r="Y65" i="20"/>
  <c r="AH69" i="6"/>
  <c r="Y68" i="20"/>
  <c r="L13" i="6"/>
  <c r="L9" i="6"/>
  <c r="L6" i="6"/>
  <c r="L14" i="6" s="1"/>
  <c r="AK66" i="6"/>
  <c r="AA65" i="20"/>
  <c r="AC47" i="6"/>
  <c r="AC48" i="6" s="1"/>
  <c r="AC39" i="6"/>
  <c r="AC59" i="6"/>
  <c r="AC60" i="6" s="1"/>
  <c r="AC53" i="6"/>
  <c r="AC54" i="6" s="1"/>
  <c r="AC44" i="6"/>
  <c r="AC45" i="6" s="1"/>
  <c r="AC56" i="6"/>
  <c r="AC57" i="6" s="1"/>
  <c r="AC50" i="6"/>
  <c r="AC51" i="6" s="1"/>
  <c r="AC41" i="6"/>
  <c r="AC42" i="6" s="1"/>
  <c r="U65" i="20"/>
  <c r="AB66" i="6"/>
  <c r="P65" i="6"/>
  <c r="M65" i="20" s="1"/>
  <c r="J66" i="6"/>
  <c r="I65" i="20"/>
  <c r="AJ13" i="6"/>
  <c r="AJ6" i="6"/>
  <c r="AJ14" i="6" s="1"/>
  <c r="AJ9" i="6"/>
  <c r="T63" i="20"/>
  <c r="T64" i="20"/>
  <c r="AE62" i="20"/>
  <c r="AF62" i="20" s="1"/>
  <c r="AQ63" i="6"/>
  <c r="AR56" i="6"/>
  <c r="AR57" i="6" s="1"/>
  <c r="AR47" i="6"/>
  <c r="AR48" i="6" s="1"/>
  <c r="AR41" i="6"/>
  <c r="AR42" i="6" s="1"/>
  <c r="AR50" i="6"/>
  <c r="AR51" i="6" s="1"/>
  <c r="AR39" i="6"/>
  <c r="AR59" i="6"/>
  <c r="AR60" i="6" s="1"/>
  <c r="AR44" i="6"/>
  <c r="AR45" i="6" s="1"/>
  <c r="AR53" i="6"/>
  <c r="AR54" i="6" s="1"/>
  <c r="AP13" i="6"/>
  <c r="AP6" i="6"/>
  <c r="AP9" i="6"/>
  <c r="S56" i="6"/>
  <c r="O38" i="20"/>
  <c r="S39" i="6"/>
  <c r="S59" i="6"/>
  <c r="S50" i="6"/>
  <c r="S47" i="6"/>
  <c r="S44" i="6"/>
  <c r="S41" i="6"/>
  <c r="S53" i="6"/>
  <c r="W39" i="6"/>
  <c r="W59" i="6"/>
  <c r="W60" i="6" s="1"/>
  <c r="W41" i="6"/>
  <c r="W42" i="6" s="1"/>
  <c r="W44" i="6"/>
  <c r="W45" i="6" s="1"/>
  <c r="W50" i="6"/>
  <c r="W51" i="6" s="1"/>
  <c r="W56" i="6"/>
  <c r="W57" i="6" s="1"/>
  <c r="W47" i="6"/>
  <c r="W48" i="6" s="1"/>
  <c r="W53" i="6"/>
  <c r="W54" i="6" s="1"/>
  <c r="AN68" i="6"/>
  <c r="AM12" i="6"/>
  <c r="AN73" i="6"/>
  <c r="AN75" i="6" s="1"/>
  <c r="O40" i="10"/>
  <c r="O46" i="10" s="1"/>
  <c r="AM36" i="6"/>
  <c r="AO68" i="6"/>
  <c r="AO69" i="6" s="1"/>
  <c r="AO73" i="6"/>
  <c r="AO75" i="6" s="1"/>
  <c r="AN38" i="6"/>
  <c r="AO38" i="6"/>
  <c r="AO62" i="6"/>
  <c r="AO63" i="6" s="1"/>
  <c r="AN62" i="6"/>
  <c r="M74" i="6"/>
  <c r="N74" i="6"/>
  <c r="L81" i="15"/>
  <c r="C70" i="6"/>
  <c r="C36" i="6"/>
  <c r="D47" i="6"/>
  <c r="D50" i="6"/>
  <c r="E68" i="6"/>
  <c r="D73" i="6"/>
  <c r="D38" i="6"/>
  <c r="E73" i="6"/>
  <c r="C41" i="10"/>
  <c r="C47" i="10" s="1"/>
  <c r="D68" i="6"/>
  <c r="C12" i="6"/>
  <c r="C76" i="6"/>
  <c r="C77" i="6" s="1"/>
  <c r="E38" i="6"/>
  <c r="E62" i="6"/>
  <c r="E63" i="6" s="1"/>
  <c r="D62" i="6"/>
  <c r="U62" i="20"/>
  <c r="V62" i="20" s="1"/>
  <c r="AB63" i="6"/>
  <c r="Z39" i="6"/>
  <c r="Z53" i="6"/>
  <c r="Z54" i="6" s="1"/>
  <c r="Z44" i="6"/>
  <c r="Z45" i="6" s="1"/>
  <c r="Z59" i="6"/>
  <c r="Z60" i="6" s="1"/>
  <c r="Z50" i="6"/>
  <c r="Z51" i="6" s="1"/>
  <c r="Z47" i="6"/>
  <c r="Z48" i="6" s="1"/>
  <c r="Z56" i="6"/>
  <c r="Z57" i="6" s="1"/>
  <c r="Z41" i="6"/>
  <c r="Z42" i="6" s="1"/>
  <c r="Y39" i="6"/>
  <c r="Y56" i="6"/>
  <c r="Y41" i="6"/>
  <c r="Y59" i="6"/>
  <c r="Y50" i="6"/>
  <c r="S38" i="20"/>
  <c r="Y44" i="6"/>
  <c r="Y47" i="6"/>
  <c r="Y53" i="6"/>
  <c r="Y47" i="20"/>
  <c r="Z47" i="20" s="1"/>
  <c r="AH48" i="6"/>
  <c r="N39" i="6"/>
  <c r="N56" i="6"/>
  <c r="N57" i="6" s="1"/>
  <c r="N47" i="6"/>
  <c r="N48" i="6" s="1"/>
  <c r="N41" i="6"/>
  <c r="N42" i="6" s="1"/>
  <c r="N44" i="6"/>
  <c r="N45" i="6" s="1"/>
  <c r="N50" i="6"/>
  <c r="N51" i="6" s="1"/>
  <c r="N53" i="6"/>
  <c r="N54" i="6" s="1"/>
  <c r="M70" i="6"/>
  <c r="M69" i="6"/>
  <c r="K68" i="20"/>
  <c r="AA13" i="6"/>
  <c r="AA9" i="6"/>
  <c r="AA6" i="6"/>
  <c r="AA14" i="6" s="1"/>
  <c r="U68" i="20"/>
  <c r="AB69" i="6"/>
  <c r="P63" i="6"/>
  <c r="Y66" i="6"/>
  <c r="S65" i="20"/>
  <c r="Q66" i="6"/>
  <c r="P66" i="6"/>
  <c r="AN65" i="6"/>
  <c r="AL74" i="6"/>
  <c r="AK74" i="6"/>
  <c r="AA68" i="20"/>
  <c r="AK69" i="6"/>
  <c r="AD13" i="6"/>
  <c r="AD9" i="6"/>
  <c r="AD6" i="6"/>
  <c r="AD14" i="6" s="1"/>
  <c r="L63" i="20"/>
  <c r="L64" i="20" s="1"/>
  <c r="AQ56" i="6"/>
  <c r="AQ39" i="6"/>
  <c r="AQ41" i="6"/>
  <c r="AQ59" i="6"/>
  <c r="AQ50" i="6"/>
  <c r="AQ44" i="6"/>
  <c r="AQ53" i="6"/>
  <c r="AQ47" i="6"/>
  <c r="AE38" i="20"/>
  <c r="AQ69" i="6"/>
  <c r="AE68" i="20"/>
  <c r="T39" i="6"/>
  <c r="T50" i="6"/>
  <c r="T51" i="6" s="1"/>
  <c r="T41" i="6"/>
  <c r="T42" i="6" s="1"/>
  <c r="T56" i="6"/>
  <c r="T57" i="6" s="1"/>
  <c r="T47" i="6"/>
  <c r="T48" i="6" s="1"/>
  <c r="T44" i="6"/>
  <c r="T45" i="6" s="1"/>
  <c r="T59" i="6"/>
  <c r="T60" i="6" s="1"/>
  <c r="T53" i="6"/>
  <c r="T54" i="6" s="1"/>
  <c r="R13" i="6"/>
  <c r="R9" i="6"/>
  <c r="R6" i="6"/>
  <c r="R14" i="6" s="1"/>
  <c r="S69" i="6"/>
  <c r="O68" i="20"/>
  <c r="S70" i="6"/>
  <c r="U13" i="6"/>
  <c r="U9" i="6"/>
  <c r="U6" i="6"/>
  <c r="U14" i="6" s="1"/>
  <c r="E65" i="6"/>
  <c r="Y62" i="20"/>
  <c r="Z62" i="20" s="1"/>
  <c r="AH63" i="6"/>
  <c r="AL39" i="6"/>
  <c r="AL44" i="6"/>
  <c r="AL45" i="6" s="1"/>
  <c r="AL56" i="6"/>
  <c r="AL57" i="6" s="1"/>
  <c r="AL59" i="6"/>
  <c r="AL60" i="6" s="1"/>
  <c r="AL47" i="6"/>
  <c r="AL48" i="6" s="1"/>
  <c r="AL50" i="6"/>
  <c r="AL51" i="6" s="1"/>
  <c r="AL41" i="6"/>
  <c r="AL42" i="6" s="1"/>
  <c r="AL53" i="6"/>
  <c r="AL54" i="6" s="1"/>
  <c r="AE63" i="6"/>
  <c r="W62" i="20"/>
  <c r="X62" i="20" s="1"/>
  <c r="W68" i="20"/>
  <c r="AE69" i="6"/>
  <c r="S63" i="6"/>
  <c r="O62" i="20"/>
  <c r="P62" i="20" s="1"/>
  <c r="T74" i="6"/>
  <c r="S74" i="6"/>
  <c r="V56" i="6"/>
  <c r="V39" i="6"/>
  <c r="V59" i="6"/>
  <c r="V41" i="6"/>
  <c r="Q38" i="20"/>
  <c r="V50" i="6"/>
  <c r="V47" i="6"/>
  <c r="V44" i="6"/>
  <c r="V53" i="6"/>
  <c r="M39" i="6"/>
  <c r="M56" i="6"/>
  <c r="M50" i="6"/>
  <c r="M41" i="6"/>
  <c r="M59" i="6"/>
  <c r="M44" i="6"/>
  <c r="K38" i="20"/>
  <c r="M47" i="6"/>
  <c r="M53" i="6"/>
  <c r="M66" i="6"/>
  <c r="K65" i="20"/>
  <c r="S66" i="6"/>
  <c r="O65" i="20"/>
  <c r="Q48" i="6"/>
  <c r="Q45" i="6"/>
  <c r="P51" i="6"/>
  <c r="P48" i="6"/>
  <c r="Q54" i="6"/>
  <c r="Q51" i="6"/>
  <c r="P57" i="6"/>
  <c r="P54" i="6"/>
  <c r="O70" i="6"/>
  <c r="P45" i="6"/>
  <c r="Q57" i="6"/>
  <c r="P68" i="6"/>
  <c r="Q68" i="6"/>
  <c r="O12" i="6"/>
  <c r="O36" i="6"/>
  <c r="P73" i="6"/>
  <c r="P75" i="6" s="1"/>
  <c r="Q73" i="6"/>
  <c r="Q75" i="6" s="1"/>
  <c r="Q38" i="6"/>
  <c r="G40" i="10"/>
  <c r="G46" i="10" s="1"/>
  <c r="P38" i="6"/>
  <c r="P62" i="6"/>
  <c r="M62" i="20" s="1"/>
  <c r="N62" i="20" s="1"/>
  <c r="Q62" i="6"/>
  <c r="X13" i="6"/>
  <c r="X9" i="6"/>
  <c r="X6" i="6"/>
  <c r="X14" i="6" s="1"/>
  <c r="Y69" i="6"/>
  <c r="S68" i="20"/>
  <c r="AH39" i="6"/>
  <c r="AH56" i="6"/>
  <c r="AH44" i="6"/>
  <c r="Y38" i="20"/>
  <c r="AH41" i="6"/>
  <c r="AH59" i="6"/>
  <c r="AH53" i="6"/>
  <c r="AG13" i="6"/>
  <c r="AG6" i="6"/>
  <c r="AG14" i="6" s="1"/>
  <c r="AG9" i="6"/>
  <c r="AE65" i="20"/>
  <c r="AQ66" i="6"/>
  <c r="N69" i="6"/>
  <c r="N70" i="6"/>
  <c r="AB39" i="6"/>
  <c r="AB56" i="6"/>
  <c r="AB50" i="6"/>
  <c r="AB47" i="6"/>
  <c r="AB59" i="6"/>
  <c r="AB44" i="6"/>
  <c r="AB41" i="6"/>
  <c r="U38" i="20"/>
  <c r="AB53" i="6"/>
  <c r="AE66" i="6"/>
  <c r="W65" i="20"/>
  <c r="I70" i="6"/>
  <c r="J68" i="6"/>
  <c r="I12" i="6"/>
  <c r="K56" i="6"/>
  <c r="K57" i="6" s="1"/>
  <c r="I36" i="6"/>
  <c r="J73" i="6"/>
  <c r="J75" i="6" s="1"/>
  <c r="K68" i="6"/>
  <c r="J38" i="6"/>
  <c r="E41" i="10"/>
  <c r="E47" i="10" s="1"/>
  <c r="K38" i="6"/>
  <c r="K73" i="6"/>
  <c r="K75" i="6" s="1"/>
  <c r="J62" i="6"/>
  <c r="K62" i="6"/>
  <c r="K63" i="6" s="1"/>
  <c r="D5" i="16"/>
  <c r="C29" i="16"/>
  <c r="Q65" i="20"/>
  <c r="V66" i="6"/>
  <c r="K65" i="6"/>
  <c r="K66" i="6" s="1"/>
  <c r="D65" i="6"/>
  <c r="AK63" i="6"/>
  <c r="AA62" i="20"/>
  <c r="AB62" i="20" s="1"/>
  <c r="AK39" i="6"/>
  <c r="AK56" i="6"/>
  <c r="AK59" i="6"/>
  <c r="AK41" i="6"/>
  <c r="AK44" i="6"/>
  <c r="AK50" i="6"/>
  <c r="AA38" i="20"/>
  <c r="AK47" i="6"/>
  <c r="AK53" i="6"/>
  <c r="AE39" i="6"/>
  <c r="AE59" i="6"/>
  <c r="AE50" i="6"/>
  <c r="AE56" i="6"/>
  <c r="AE44" i="6"/>
  <c r="AE47" i="6"/>
  <c r="AE41" i="6"/>
  <c r="W38" i="20"/>
  <c r="AE53" i="6"/>
  <c r="AQ74" i="6"/>
  <c r="AR74" i="6"/>
  <c r="T70" i="6"/>
  <c r="T69" i="6"/>
  <c r="V63" i="6"/>
  <c r="Q62" i="20"/>
  <c r="R62" i="20" s="1"/>
  <c r="V69" i="6"/>
  <c r="Q68" i="20"/>
  <c r="AE54" i="6" l="1"/>
  <c r="W53" i="20"/>
  <c r="D66" i="6"/>
  <c r="C65" i="20"/>
  <c r="C30" i="16"/>
  <c r="C31" i="16"/>
  <c r="K69" i="6"/>
  <c r="K70" i="6"/>
  <c r="I6" i="6"/>
  <c r="I9" i="6"/>
  <c r="I13" i="6"/>
  <c r="U44" i="20"/>
  <c r="V44" i="20" s="1"/>
  <c r="AB45" i="6"/>
  <c r="U56" i="20"/>
  <c r="AB57" i="6"/>
  <c r="AH42" i="6"/>
  <c r="Y41" i="20"/>
  <c r="Z41" i="20" s="1"/>
  <c r="X10" i="6"/>
  <c r="X11" i="6"/>
  <c r="N63" i="20"/>
  <c r="N64" i="20" s="1"/>
  <c r="Q69" i="6"/>
  <c r="Q70" i="6"/>
  <c r="M45" i="6"/>
  <c r="K44" i="20"/>
  <c r="L44" i="20" s="1"/>
  <c r="K56" i="20"/>
  <c r="M57" i="6"/>
  <c r="V48" i="6"/>
  <c r="Q47" i="20"/>
  <c r="R47" i="20" s="1"/>
  <c r="V60" i="6"/>
  <c r="Q59" i="20"/>
  <c r="X68" i="20"/>
  <c r="X69" i="20" s="1"/>
  <c r="X70" i="20"/>
  <c r="Z64" i="20"/>
  <c r="Z63" i="20"/>
  <c r="AQ48" i="6"/>
  <c r="AE47" i="20"/>
  <c r="AF47" i="20" s="1"/>
  <c r="AQ60" i="6"/>
  <c r="AE59" i="20"/>
  <c r="Y45" i="6"/>
  <c r="S44" i="20"/>
  <c r="T44" i="20" s="1"/>
  <c r="Y42" i="6"/>
  <c r="S41" i="20"/>
  <c r="T41" i="20" s="1"/>
  <c r="V63" i="20"/>
  <c r="V64" i="20"/>
  <c r="E75" i="6"/>
  <c r="E74" i="6"/>
  <c r="D51" i="6"/>
  <c r="C50" i="20"/>
  <c r="AM13" i="6"/>
  <c r="AM9" i="6"/>
  <c r="AM6" i="6"/>
  <c r="AM14" i="6" s="1"/>
  <c r="S45" i="6"/>
  <c r="O44" i="20"/>
  <c r="P44" i="20" s="1"/>
  <c r="AP8" i="6"/>
  <c r="AP17" i="6"/>
  <c r="AP7" i="6"/>
  <c r="AR20" i="6"/>
  <c r="AQ20" i="6"/>
  <c r="AF63" i="20"/>
  <c r="AF64" i="20" s="1"/>
  <c r="Z67" i="20"/>
  <c r="R70" i="20"/>
  <c r="R68" i="20"/>
  <c r="R69" i="20" s="1"/>
  <c r="AK51" i="6"/>
  <c r="AA50" i="20"/>
  <c r="X40" i="20"/>
  <c r="W56" i="20"/>
  <c r="AE57" i="6"/>
  <c r="AK54" i="6"/>
  <c r="AA53" i="20"/>
  <c r="AK45" i="6"/>
  <c r="AA44" i="20"/>
  <c r="AB44" i="20" s="1"/>
  <c r="K44" i="6"/>
  <c r="K45" i="6" s="1"/>
  <c r="K39" i="6"/>
  <c r="K59" i="6"/>
  <c r="K60" i="6" s="1"/>
  <c r="K41" i="6"/>
  <c r="K42" i="6" s="1"/>
  <c r="K50" i="6"/>
  <c r="K51" i="6" s="1"/>
  <c r="K53" i="6"/>
  <c r="K54" i="6" s="1"/>
  <c r="K47" i="6"/>
  <c r="K48" i="6" s="1"/>
  <c r="J70" i="6"/>
  <c r="J69" i="6"/>
  <c r="I68" i="20"/>
  <c r="AB54" i="6"/>
  <c r="U53" i="20"/>
  <c r="AB60" i="6"/>
  <c r="U59" i="20"/>
  <c r="Z40" i="20"/>
  <c r="T70" i="20"/>
  <c r="T68" i="20"/>
  <c r="T69" i="20" s="1"/>
  <c r="P56" i="6"/>
  <c r="M56" i="20" s="1"/>
  <c r="P39" i="6"/>
  <c r="P41" i="6"/>
  <c r="P59" i="6"/>
  <c r="M38" i="20"/>
  <c r="P47" i="6"/>
  <c r="M47" i="20" s="1"/>
  <c r="N47" i="20" s="1"/>
  <c r="P50" i="6"/>
  <c r="M50" i="20" s="1"/>
  <c r="P44" i="6"/>
  <c r="M44" i="20" s="1"/>
  <c r="N44" i="20" s="1"/>
  <c r="P53" i="6"/>
  <c r="M53" i="20" s="1"/>
  <c r="M68" i="20"/>
  <c r="P69" i="6"/>
  <c r="P70" i="6"/>
  <c r="M54" i="6"/>
  <c r="K53" i="20"/>
  <c r="M60" i="6"/>
  <c r="K59" i="20"/>
  <c r="V51" i="6"/>
  <c r="Q50" i="20"/>
  <c r="P63" i="20"/>
  <c r="P64" i="20" s="1"/>
  <c r="X63" i="20"/>
  <c r="X64" i="20"/>
  <c r="E67" i="6"/>
  <c r="E66" i="6"/>
  <c r="R17" i="6"/>
  <c r="R8" i="6"/>
  <c r="R7" i="6"/>
  <c r="T20" i="6"/>
  <c r="S20" i="6"/>
  <c r="AF68" i="20"/>
  <c r="AF69" i="20" s="1"/>
  <c r="AF70" i="20" s="1"/>
  <c r="AQ54" i="6"/>
  <c r="AE53" i="20"/>
  <c r="AQ42" i="6"/>
  <c r="AE41" i="20"/>
  <c r="AF41" i="20" s="1"/>
  <c r="T67" i="20"/>
  <c r="V68" i="20"/>
  <c r="V69" i="20" s="1"/>
  <c r="V70" i="20"/>
  <c r="Z49" i="20"/>
  <c r="Z48" i="20"/>
  <c r="T40" i="20"/>
  <c r="Y57" i="6"/>
  <c r="S56" i="20"/>
  <c r="D63" i="6"/>
  <c r="C62" i="20"/>
  <c r="E4" i="15"/>
  <c r="B27" i="6"/>
  <c r="C4" i="15"/>
  <c r="C6" i="6"/>
  <c r="C9" i="6"/>
  <c r="C13" i="6"/>
  <c r="D44" i="6"/>
  <c r="D59" i="6"/>
  <c r="D53" i="6"/>
  <c r="D56" i="6"/>
  <c r="D39" i="6"/>
  <c r="C38" i="20"/>
  <c r="D41" i="6"/>
  <c r="C47" i="20"/>
  <c r="D48" i="6"/>
  <c r="AO39" i="6"/>
  <c r="AO47" i="6"/>
  <c r="AO48" i="6" s="1"/>
  <c r="AO50" i="6"/>
  <c r="AO51" i="6" s="1"/>
  <c r="AO56" i="6"/>
  <c r="AO57" i="6" s="1"/>
  <c r="AO53" i="6"/>
  <c r="AO54" i="6" s="1"/>
  <c r="AO41" i="6"/>
  <c r="AO42" i="6" s="1"/>
  <c r="AO59" i="6"/>
  <c r="AO60" i="6" s="1"/>
  <c r="AO44" i="6"/>
  <c r="AO45" i="6" s="1"/>
  <c r="AN74" i="6"/>
  <c r="AO74" i="6"/>
  <c r="AN69" i="6"/>
  <c r="AC68" i="20"/>
  <c r="S48" i="6"/>
  <c r="O47" i="20"/>
  <c r="P47" i="20" s="1"/>
  <c r="AJ17" i="6"/>
  <c r="AJ8" i="6"/>
  <c r="AJ7" i="6"/>
  <c r="AL20" i="6"/>
  <c r="AK20" i="6"/>
  <c r="W47" i="20"/>
  <c r="X47" i="20" s="1"/>
  <c r="AE48" i="6"/>
  <c r="AE45" i="6"/>
  <c r="W44" i="20"/>
  <c r="X44" i="20" s="1"/>
  <c r="AK57" i="6"/>
  <c r="AA56" i="20"/>
  <c r="R64" i="20"/>
  <c r="R63" i="20"/>
  <c r="W41" i="20"/>
  <c r="X41" i="20" s="1"/>
  <c r="AE42" i="6"/>
  <c r="AE51" i="6"/>
  <c r="W50" i="20"/>
  <c r="AK48" i="6"/>
  <c r="AA47" i="20"/>
  <c r="AB47" i="20" s="1"/>
  <c r="AK42" i="6"/>
  <c r="AA41" i="20"/>
  <c r="AB41" i="20" s="1"/>
  <c r="AB63" i="20"/>
  <c r="AB64" i="20" s="1"/>
  <c r="K74" i="6"/>
  <c r="J74" i="6"/>
  <c r="V40" i="20"/>
  <c r="AB48" i="6"/>
  <c r="U47" i="20"/>
  <c r="V47" i="20" s="1"/>
  <c r="AG11" i="6"/>
  <c r="AG10" i="6"/>
  <c r="AH54" i="6"/>
  <c r="Y53" i="20"/>
  <c r="AH45" i="6"/>
  <c r="Y44" i="20"/>
  <c r="Z44" i="20" s="1"/>
  <c r="P74" i="6"/>
  <c r="Q74" i="6"/>
  <c r="M48" i="6"/>
  <c r="K47" i="20"/>
  <c r="L47" i="20" s="1"/>
  <c r="K41" i="20"/>
  <c r="L41" i="20" s="1"/>
  <c r="M42" i="6"/>
  <c r="V54" i="6"/>
  <c r="Q53" i="20"/>
  <c r="R40" i="20"/>
  <c r="V57" i="6"/>
  <c r="Q56" i="20"/>
  <c r="U7" i="6"/>
  <c r="U17" i="6"/>
  <c r="W20" i="6"/>
  <c r="U8" i="6"/>
  <c r="V20" i="6"/>
  <c r="AE44" i="20"/>
  <c r="AF44" i="20" s="1"/>
  <c r="AQ45" i="6"/>
  <c r="AD8" i="6"/>
  <c r="AD7" i="6"/>
  <c r="AE20" i="6"/>
  <c r="AD17" i="6"/>
  <c r="AF20" i="6"/>
  <c r="AC65" i="20"/>
  <c r="AN66" i="6"/>
  <c r="AA17" i="6"/>
  <c r="AB20" i="6"/>
  <c r="AA8" i="6"/>
  <c r="AA7" i="6"/>
  <c r="AC20" i="6"/>
  <c r="L68" i="20"/>
  <c r="L69" i="20" s="1"/>
  <c r="L70" i="20" s="1"/>
  <c r="Y54" i="6"/>
  <c r="S53" i="20"/>
  <c r="Y51" i="6"/>
  <c r="S50" i="20"/>
  <c r="D69" i="6"/>
  <c r="D70" i="6"/>
  <c r="C68" i="20"/>
  <c r="D75" i="6"/>
  <c r="D74" i="6"/>
  <c r="AN39" i="6"/>
  <c r="AN50" i="6"/>
  <c r="AN47" i="6"/>
  <c r="AN59" i="6"/>
  <c r="AN56" i="6"/>
  <c r="AC38" i="20"/>
  <c r="AN44" i="6"/>
  <c r="AN41" i="6"/>
  <c r="AN53" i="6"/>
  <c r="S54" i="6"/>
  <c r="O53" i="20"/>
  <c r="S51" i="6"/>
  <c r="O50" i="20"/>
  <c r="S57" i="6"/>
  <c r="O56" i="20"/>
  <c r="AP14" i="6"/>
  <c r="M20" i="6"/>
  <c r="N20" i="6"/>
  <c r="L17" i="6"/>
  <c r="L8" i="6"/>
  <c r="L7" i="6"/>
  <c r="Z70" i="20"/>
  <c r="Z68" i="20"/>
  <c r="Z69" i="20" s="1"/>
  <c r="Z50" i="20"/>
  <c r="Z51" i="20" s="1"/>
  <c r="Z52" i="20"/>
  <c r="W59" i="20"/>
  <c r="AE60" i="6"/>
  <c r="AK60" i="6"/>
  <c r="AA59" i="20"/>
  <c r="R67" i="20"/>
  <c r="J63" i="6"/>
  <c r="I62" i="20"/>
  <c r="J62" i="20" s="1"/>
  <c r="J56" i="6"/>
  <c r="J39" i="6"/>
  <c r="J59" i="6"/>
  <c r="I38" i="20"/>
  <c r="J41" i="6"/>
  <c r="J47" i="6"/>
  <c r="J44" i="6"/>
  <c r="J50" i="6"/>
  <c r="J53" i="6"/>
  <c r="X67" i="20"/>
  <c r="AB42" i="6"/>
  <c r="U41" i="20"/>
  <c r="V41" i="20" s="1"/>
  <c r="U50" i="20"/>
  <c r="AB51" i="6"/>
  <c r="AG8" i="6"/>
  <c r="AG17" i="6"/>
  <c r="AG7" i="6"/>
  <c r="AI20" i="6"/>
  <c r="AH20" i="6"/>
  <c r="AH60" i="6"/>
  <c r="Y59" i="20"/>
  <c r="Y56" i="20"/>
  <c r="AH57" i="6"/>
  <c r="X8" i="6"/>
  <c r="X17" i="6"/>
  <c r="X7" i="6"/>
  <c r="Y20" i="6"/>
  <c r="Z20" i="6"/>
  <c r="Q47" i="6"/>
  <c r="Q39" i="6"/>
  <c r="Q59" i="6"/>
  <c r="Q60" i="6" s="1"/>
  <c r="Q50" i="6"/>
  <c r="Q56" i="6"/>
  <c r="Q53" i="6"/>
  <c r="Q44" i="6"/>
  <c r="Q41" i="6"/>
  <c r="Q42" i="6" s="1"/>
  <c r="O13" i="6"/>
  <c r="O9" i="6"/>
  <c r="O6" i="6"/>
  <c r="O14" i="6" s="1"/>
  <c r="M51" i="6"/>
  <c r="K50" i="20"/>
  <c r="Q44" i="20"/>
  <c r="R44" i="20" s="1"/>
  <c r="V45" i="6"/>
  <c r="Q41" i="20"/>
  <c r="R41" i="20" s="1"/>
  <c r="V42" i="6"/>
  <c r="U11" i="6"/>
  <c r="U10" i="6"/>
  <c r="P68" i="20"/>
  <c r="P69" i="20" s="1"/>
  <c r="P70" i="20" s="1"/>
  <c r="R10" i="6"/>
  <c r="R11" i="6"/>
  <c r="AE50" i="20"/>
  <c r="AQ51" i="6"/>
  <c r="AQ57" i="6"/>
  <c r="AE56" i="20"/>
  <c r="AD11" i="6"/>
  <c r="AD10" i="6"/>
  <c r="AB68" i="20"/>
  <c r="AB69" i="20" s="1"/>
  <c r="AB70" i="20" s="1"/>
  <c r="AA11" i="6"/>
  <c r="AA10" i="6"/>
  <c r="Y48" i="6"/>
  <c r="S47" i="20"/>
  <c r="T47" i="20" s="1"/>
  <c r="S59" i="20"/>
  <c r="Y60" i="6"/>
  <c r="E39" i="6"/>
  <c r="E53" i="6"/>
  <c r="E54" i="6" s="1"/>
  <c r="E41" i="6"/>
  <c r="E42" i="6" s="1"/>
  <c r="E59" i="6"/>
  <c r="E60" i="6" s="1"/>
  <c r="E44" i="6"/>
  <c r="E45" i="6" s="1"/>
  <c r="E50" i="6"/>
  <c r="E51" i="6" s="1"/>
  <c r="E56" i="6"/>
  <c r="E57" i="6" s="1"/>
  <c r="E47" i="6"/>
  <c r="E48" i="6" s="1"/>
  <c r="E69" i="6"/>
  <c r="E70" i="6"/>
  <c r="AN63" i="6"/>
  <c r="AC62" i="20"/>
  <c r="AD62" i="20" s="1"/>
  <c r="O41" i="20"/>
  <c r="P41" i="20" s="1"/>
  <c r="S42" i="6"/>
  <c r="S60" i="6"/>
  <c r="O59" i="20"/>
  <c r="AP10" i="6"/>
  <c r="AP11" i="6"/>
  <c r="AJ10" i="6"/>
  <c r="AJ11" i="6"/>
  <c r="V67" i="20"/>
  <c r="L10" i="6"/>
  <c r="L11" i="6"/>
  <c r="O32" i="15" l="1"/>
  <c r="V32" i="15" s="1"/>
  <c r="F13" i="6"/>
  <c r="E37" i="6"/>
  <c r="P42" i="20"/>
  <c r="P43" i="20" s="1"/>
  <c r="P59" i="20"/>
  <c r="P60" i="20" s="1"/>
  <c r="P61" i="20" s="1"/>
  <c r="T59" i="20"/>
  <c r="T60" i="20" s="1"/>
  <c r="T61" i="20"/>
  <c r="R42" i="20"/>
  <c r="R43" i="20"/>
  <c r="Z59" i="20"/>
  <c r="Z60" i="20" s="1"/>
  <c r="Z61" i="20"/>
  <c r="V50" i="20"/>
  <c r="V51" i="20" s="1"/>
  <c r="V52" i="20"/>
  <c r="J48" i="6"/>
  <c r="I47" i="20"/>
  <c r="J47" i="20" s="1"/>
  <c r="P56" i="20"/>
  <c r="P57" i="20" s="1"/>
  <c r="P58" i="20" s="1"/>
  <c r="P53" i="20"/>
  <c r="P54" i="20" s="1"/>
  <c r="P55" i="20" s="1"/>
  <c r="AC44" i="20"/>
  <c r="AD44" i="20" s="1"/>
  <c r="AN45" i="6"/>
  <c r="AN48" i="6"/>
  <c r="AC47" i="20"/>
  <c r="AD47" i="20" s="1"/>
  <c r="T50" i="20"/>
  <c r="T51" i="20" s="1"/>
  <c r="T52" i="20"/>
  <c r="AE21" i="6"/>
  <c r="AE22" i="6"/>
  <c r="AF45" i="20"/>
  <c r="AF46" i="20" s="1"/>
  <c r="Z55" i="20"/>
  <c r="Z53" i="20"/>
  <c r="Z54" i="20" s="1"/>
  <c r="V48" i="20"/>
  <c r="V49" i="20"/>
  <c r="AB42" i="20"/>
  <c r="AB43" i="20" s="1"/>
  <c r="X50" i="20"/>
  <c r="X52" i="20"/>
  <c r="X45" i="20"/>
  <c r="X46" i="20"/>
  <c r="D47" i="20"/>
  <c r="D48" i="20" s="1"/>
  <c r="D49" i="20" s="1"/>
  <c r="D57" i="6"/>
  <c r="C56" i="20"/>
  <c r="F15" i="6"/>
  <c r="C291" i="5" s="1"/>
  <c r="C292" i="5" s="1"/>
  <c r="AF42" i="20"/>
  <c r="AF43" i="20" s="1"/>
  <c r="T21" i="6"/>
  <c r="T22" i="6"/>
  <c r="L59" i="20"/>
  <c r="L60" i="20" s="1"/>
  <c r="L61" i="20" s="1"/>
  <c r="N68" i="20"/>
  <c r="N69" i="20" s="1"/>
  <c r="N70" i="20" s="1"/>
  <c r="N48" i="20"/>
  <c r="N49" i="20" s="1"/>
  <c r="X58" i="20"/>
  <c r="X56" i="20"/>
  <c r="X57" i="20" s="1"/>
  <c r="R59" i="20"/>
  <c r="R60" i="20" s="1"/>
  <c r="R61" i="20"/>
  <c r="T48" i="20"/>
  <c r="T49" i="20"/>
  <c r="AF50" i="20"/>
  <c r="AF51" i="20" s="1"/>
  <c r="AF52" i="20"/>
  <c r="P20" i="6"/>
  <c r="O7" i="6"/>
  <c r="O17" i="6"/>
  <c r="O8" i="6"/>
  <c r="Q20" i="6"/>
  <c r="Z21" i="6"/>
  <c r="Z22" i="6"/>
  <c r="V42" i="20"/>
  <c r="V43" i="20"/>
  <c r="J54" i="6"/>
  <c r="I53" i="20"/>
  <c r="J42" i="6"/>
  <c r="I41" i="20"/>
  <c r="J41" i="20" s="1"/>
  <c r="J57" i="6"/>
  <c r="I56" i="20"/>
  <c r="N21" i="6"/>
  <c r="N22" i="6"/>
  <c r="AN51" i="6"/>
  <c r="AC50" i="20"/>
  <c r="D68" i="20"/>
  <c r="D80" i="20" s="1"/>
  <c r="V21" i="6"/>
  <c r="V22" i="6"/>
  <c r="L42" i="20"/>
  <c r="L43" i="20" s="1"/>
  <c r="P48" i="20"/>
  <c r="P49" i="20" s="1"/>
  <c r="D42" i="6"/>
  <c r="C41" i="20"/>
  <c r="C53" i="20"/>
  <c r="D54" i="6"/>
  <c r="C11" i="6"/>
  <c r="C10" i="6"/>
  <c r="F10" i="6" s="1"/>
  <c r="T56" i="20"/>
  <c r="T57" i="20" s="1"/>
  <c r="T58" i="20"/>
  <c r="N53" i="20"/>
  <c r="N54" i="20" s="1"/>
  <c r="N55" i="20" s="1"/>
  <c r="N56" i="20"/>
  <c r="N57" i="20" s="1"/>
  <c r="N58" i="20" s="1"/>
  <c r="V59" i="20"/>
  <c r="V60" i="20" s="1"/>
  <c r="V61" i="20"/>
  <c r="J68" i="20"/>
  <c r="J69" i="20" s="1"/>
  <c r="J70" i="20" s="1"/>
  <c r="AB53" i="20"/>
  <c r="AB54" i="20" s="1"/>
  <c r="AB55" i="20" s="1"/>
  <c r="AM7" i="6"/>
  <c r="AM17" i="6"/>
  <c r="AM8" i="6"/>
  <c r="AO20" i="6"/>
  <c r="AN20" i="6"/>
  <c r="D50" i="20"/>
  <c r="D51" i="20" s="1"/>
  <c r="D52" i="20"/>
  <c r="T45" i="20"/>
  <c r="T46" i="20"/>
  <c r="AF48" i="20"/>
  <c r="AF49" i="20" s="1"/>
  <c r="L56" i="20"/>
  <c r="L57" i="20" s="1"/>
  <c r="L58" i="20" s="1"/>
  <c r="V56" i="20"/>
  <c r="V57" i="20" s="1"/>
  <c r="V58" i="20"/>
  <c r="I11" i="6"/>
  <c r="I10" i="6"/>
  <c r="AF56" i="20"/>
  <c r="AF57" i="20" s="1"/>
  <c r="AF58" i="20" s="1"/>
  <c r="R45" i="20"/>
  <c r="R46" i="20"/>
  <c r="O11" i="6"/>
  <c r="O10" i="6"/>
  <c r="Y22" i="6"/>
  <c r="Y21" i="6"/>
  <c r="AH22" i="6"/>
  <c r="AH21" i="6"/>
  <c r="J51" i="6"/>
  <c r="I50" i="20"/>
  <c r="J63" i="20"/>
  <c r="J64" i="20" s="1"/>
  <c r="AB59" i="20"/>
  <c r="AB60" i="20" s="1"/>
  <c r="AB61" i="20" s="1"/>
  <c r="M21" i="6"/>
  <c r="M22" i="6"/>
  <c r="P50" i="20"/>
  <c r="P52" i="20"/>
  <c r="AN54" i="6"/>
  <c r="AC53" i="20"/>
  <c r="AC56" i="20"/>
  <c r="AN57" i="6"/>
  <c r="T55" i="20"/>
  <c r="T53" i="20"/>
  <c r="T54" i="20" s="1"/>
  <c r="AB22" i="6"/>
  <c r="AB21" i="6"/>
  <c r="AF22" i="6"/>
  <c r="AF21" i="6"/>
  <c r="R58" i="20"/>
  <c r="R56" i="20"/>
  <c r="R57" i="20" s="1"/>
  <c r="R55" i="20"/>
  <c r="R53" i="20"/>
  <c r="R54" i="20" s="1"/>
  <c r="L48" i="20"/>
  <c r="L49" i="20" s="1"/>
  <c r="Z46" i="20"/>
  <c r="Z45" i="20"/>
  <c r="AB48" i="20"/>
  <c r="AB49" i="20" s="1"/>
  <c r="AB56" i="20"/>
  <c r="AB57" i="20" s="1"/>
  <c r="AB58" i="20" s="1"/>
  <c r="AK21" i="6"/>
  <c r="AK22" i="6"/>
  <c r="D60" i="6"/>
  <c r="C59" i="20"/>
  <c r="AP19" i="6"/>
  <c r="L19" i="6"/>
  <c r="X19" i="6"/>
  <c r="C19" i="6"/>
  <c r="AG19" i="6"/>
  <c r="AJ19" i="6"/>
  <c r="AD19" i="6"/>
  <c r="AA19" i="6"/>
  <c r="O19" i="6"/>
  <c r="AM19" i="6"/>
  <c r="C17" i="6"/>
  <c r="I19" i="6"/>
  <c r="R19" i="6"/>
  <c r="U19" i="6"/>
  <c r="C23" i="6"/>
  <c r="E20" i="6"/>
  <c r="C7" i="6"/>
  <c r="C24" i="6" s="1"/>
  <c r="D20" i="6"/>
  <c r="AF53" i="20"/>
  <c r="AF54" i="20" s="1"/>
  <c r="AF55" i="20" s="1"/>
  <c r="R50" i="20"/>
  <c r="R52" i="20"/>
  <c r="L53" i="20"/>
  <c r="L54" i="20" s="1"/>
  <c r="L55" i="20" s="1"/>
  <c r="N45" i="20"/>
  <c r="N46" i="20" s="1"/>
  <c r="P60" i="6"/>
  <c r="M59" i="20"/>
  <c r="AQ21" i="6"/>
  <c r="AQ22" i="6"/>
  <c r="AM11" i="6"/>
  <c r="AM10" i="6"/>
  <c r="R48" i="20"/>
  <c r="R49" i="20"/>
  <c r="L45" i="20"/>
  <c r="L46" i="20" s="1"/>
  <c r="Z42" i="20"/>
  <c r="Z43" i="20"/>
  <c r="J20" i="6"/>
  <c r="I17" i="6"/>
  <c r="I8" i="6"/>
  <c r="I7" i="6"/>
  <c r="K20" i="6"/>
  <c r="X55" i="20"/>
  <c r="X53" i="20"/>
  <c r="X54" i="20" s="1"/>
  <c r="AD63" i="20"/>
  <c r="AD64" i="20" s="1"/>
  <c r="L50" i="20"/>
  <c r="L52" i="20"/>
  <c r="Z56" i="20"/>
  <c r="Z58" i="20"/>
  <c r="AI21" i="6"/>
  <c r="AI22" i="6"/>
  <c r="I44" i="20"/>
  <c r="J44" i="20" s="1"/>
  <c r="J45" i="6"/>
  <c r="J60" i="6"/>
  <c r="I59" i="20"/>
  <c r="X59" i="20"/>
  <c r="X60" i="20" s="1"/>
  <c r="X61" i="20"/>
  <c r="AN42" i="6"/>
  <c r="AC41" i="20"/>
  <c r="AD41" i="20" s="1"/>
  <c r="AN60" i="6"/>
  <c r="AC59" i="20"/>
  <c r="AC21" i="6"/>
  <c r="AC22" i="6"/>
  <c r="W22" i="6"/>
  <c r="W21" i="6"/>
  <c r="X43" i="20"/>
  <c r="X42" i="20"/>
  <c r="X49" i="20"/>
  <c r="X48" i="20"/>
  <c r="AL21" i="6"/>
  <c r="AL22" i="6"/>
  <c r="AD68" i="20"/>
  <c r="AD69" i="20" s="1"/>
  <c r="AD70" i="20" s="1"/>
  <c r="D37" i="6"/>
  <c r="D45" i="6"/>
  <c r="C44" i="20"/>
  <c r="C14" i="6"/>
  <c r="D62" i="20"/>
  <c r="D63" i="20" s="1"/>
  <c r="D64" i="20" s="1"/>
  <c r="S22" i="6"/>
  <c r="S21" i="6"/>
  <c r="N50" i="20"/>
  <c r="N51" i="20" s="1"/>
  <c r="N52" i="20"/>
  <c r="P42" i="6"/>
  <c r="M41" i="20"/>
  <c r="N41" i="20" s="1"/>
  <c r="V55" i="20"/>
  <c r="V53" i="20"/>
  <c r="V54" i="20" s="1"/>
  <c r="AB45" i="20"/>
  <c r="AB46" i="20" s="1"/>
  <c r="AB50" i="20"/>
  <c r="AB52" i="20"/>
  <c r="AR21" i="6"/>
  <c r="AR22" i="6"/>
  <c r="P45" i="20"/>
  <c r="P46" i="20" s="1"/>
  <c r="T42" i="20"/>
  <c r="T43" i="20"/>
  <c r="AF59" i="20"/>
  <c r="AF60" i="20" s="1"/>
  <c r="AF61" i="20" s="1"/>
  <c r="V45" i="20"/>
  <c r="V46" i="20"/>
  <c r="I14" i="6"/>
  <c r="R32" i="15" l="1"/>
  <c r="L38" i="20"/>
  <c r="AB38" i="20"/>
  <c r="AB65" i="20" s="1"/>
  <c r="AB66" i="20" s="1"/>
  <c r="AB67" i="20" s="1"/>
  <c r="Z38" i="20"/>
  <c r="Z65" i="20" s="1"/>
  <c r="Z66" i="20" s="1"/>
  <c r="R38" i="20"/>
  <c r="R65" i="20" s="1"/>
  <c r="R66" i="20" s="1"/>
  <c r="C8" i="6"/>
  <c r="L51" i="20"/>
  <c r="D69" i="20"/>
  <c r="D70" i="20" s="1"/>
  <c r="P38" i="20"/>
  <c r="P39" i="20" s="1"/>
  <c r="P40" i="20" s="1"/>
  <c r="AD42" i="20"/>
  <c r="AD43" i="20" s="1"/>
  <c r="J45" i="20"/>
  <c r="J46" i="20" s="1"/>
  <c r="Z57" i="20"/>
  <c r="L65" i="20"/>
  <c r="L66" i="20" s="1"/>
  <c r="L67" i="20" s="1"/>
  <c r="L39" i="20"/>
  <c r="L40" i="20" s="1"/>
  <c r="E21" i="6"/>
  <c r="E22" i="6"/>
  <c r="D59" i="20"/>
  <c r="D60" i="20" s="1"/>
  <c r="D61" i="20" s="1"/>
  <c r="P51" i="20"/>
  <c r="D56" i="20"/>
  <c r="D57" i="20" s="1"/>
  <c r="D58" i="20" s="1"/>
  <c r="AD48" i="20"/>
  <c r="AD49" i="20" s="1"/>
  <c r="J59" i="20"/>
  <c r="J60" i="20" s="1"/>
  <c r="J61" i="20" s="1"/>
  <c r="N59" i="20"/>
  <c r="N60" i="20" s="1"/>
  <c r="N61" i="20" s="1"/>
  <c r="R51" i="20"/>
  <c r="AD56" i="20"/>
  <c r="AD57" i="20" s="1"/>
  <c r="AD58" i="20" s="1"/>
  <c r="J50" i="20"/>
  <c r="J52" i="20"/>
  <c r="AN22" i="6"/>
  <c r="AN21" i="6"/>
  <c r="D53" i="20"/>
  <c r="D54" i="20" s="1"/>
  <c r="D55" i="20" s="1"/>
  <c r="J56" i="20"/>
  <c r="J57" i="20" s="1"/>
  <c r="J58" i="20" s="1"/>
  <c r="J53" i="20"/>
  <c r="J54" i="20" s="1"/>
  <c r="J55" i="20" s="1"/>
  <c r="X38" i="20"/>
  <c r="B80" i="20"/>
  <c r="J21" i="6"/>
  <c r="J22" i="6"/>
  <c r="D22" i="6"/>
  <c r="D21" i="6"/>
  <c r="AD53" i="20"/>
  <c r="AD54" i="20" s="1"/>
  <c r="AD55" i="20" s="1"/>
  <c r="AO22" i="6"/>
  <c r="AO21" i="6"/>
  <c r="D41" i="20"/>
  <c r="AF38" i="20"/>
  <c r="J48" i="20"/>
  <c r="J49" i="20" s="1"/>
  <c r="V38" i="20"/>
  <c r="D44" i="20"/>
  <c r="D45" i="20" s="1"/>
  <c r="D46" i="20" s="1"/>
  <c r="AD59" i="20"/>
  <c r="AD60" i="20" s="1"/>
  <c r="AD61" i="20" s="1"/>
  <c r="K22" i="6"/>
  <c r="K21" i="6"/>
  <c r="AB51" i="20"/>
  <c r="N42" i="20"/>
  <c r="N43" i="20" s="1"/>
  <c r="AD50" i="20"/>
  <c r="AD51" i="20" s="1"/>
  <c r="AD52" i="20"/>
  <c r="J42" i="20"/>
  <c r="J43" i="20" s="1"/>
  <c r="Q22" i="6"/>
  <c r="Q21" i="6"/>
  <c r="P21" i="6"/>
  <c r="P22" i="6"/>
  <c r="X51" i="20"/>
  <c r="T38" i="20"/>
  <c r="AD45" i="20"/>
  <c r="AD46" i="20" s="1"/>
  <c r="AB39" i="20" l="1"/>
  <c r="AB40" i="20" s="1"/>
  <c r="P65" i="20"/>
  <c r="P66" i="20" s="1"/>
  <c r="P67" i="20" s="1"/>
  <c r="N38" i="20"/>
  <c r="N65" i="20" s="1"/>
  <c r="N66" i="20" s="1"/>
  <c r="N67" i="20" s="1"/>
  <c r="R39" i="20"/>
  <c r="Z39" i="20"/>
  <c r="D38" i="20"/>
  <c r="D39" i="20" s="1"/>
  <c r="D40" i="20" s="1"/>
  <c r="X65" i="20"/>
  <c r="X66" i="20" s="1"/>
  <c r="X39" i="20"/>
  <c r="J38" i="20"/>
  <c r="V65" i="20"/>
  <c r="V66" i="20" s="1"/>
  <c r="V39" i="20"/>
  <c r="T65" i="20"/>
  <c r="T66" i="20" s="1"/>
  <c r="T39" i="20"/>
  <c r="D42" i="20"/>
  <c r="D43" i="20" s="1"/>
  <c r="S32" i="15"/>
  <c r="R31" i="15"/>
  <c r="S37" i="15" s="1"/>
  <c r="AB35" i="20"/>
  <c r="AD38" i="20"/>
  <c r="AF65" i="20"/>
  <c r="AF66" i="20" s="1"/>
  <c r="AF67" i="20" s="1"/>
  <c r="AF39" i="20"/>
  <c r="AF40" i="20" s="1"/>
  <c r="R35" i="20"/>
  <c r="J51" i="20"/>
  <c r="L35" i="20"/>
  <c r="Z35" i="20"/>
  <c r="P35" i="20" l="1"/>
  <c r="N39" i="20"/>
  <c r="N40" i="20" s="1"/>
  <c r="D65" i="20"/>
  <c r="D35" i="20" s="1"/>
  <c r="C42" i="10" s="1"/>
  <c r="C48" i="10" s="1"/>
  <c r="C51" i="10" s="1"/>
  <c r="D108" i="20" s="1"/>
  <c r="A80" i="20"/>
  <c r="AF35" i="20"/>
  <c r="AF36" i="20" s="1"/>
  <c r="AF37" i="20" s="1"/>
  <c r="AB36" i="20"/>
  <c r="AB37" i="20" s="1"/>
  <c r="AB12" i="20"/>
  <c r="N41" i="10"/>
  <c r="N47" i="10" s="1"/>
  <c r="N50" i="10" s="1"/>
  <c r="AB108" i="20" s="1"/>
  <c r="AB106" i="20" s="1"/>
  <c r="AB100" i="20" s="1"/>
  <c r="AB18" i="20" s="1"/>
  <c r="AB19" i="20" s="1"/>
  <c r="N35" i="20"/>
  <c r="X35" i="20"/>
  <c r="R12" i="20"/>
  <c r="R36" i="20"/>
  <c r="R37" i="20" s="1"/>
  <c r="I41" i="10"/>
  <c r="I47" i="10" s="1"/>
  <c r="I50" i="10" s="1"/>
  <c r="R108" i="20" s="1"/>
  <c r="R106" i="20" s="1"/>
  <c r="R100" i="20" s="1"/>
  <c r="R18" i="20" s="1"/>
  <c r="R19" i="20" s="1"/>
  <c r="S36" i="15"/>
  <c r="W37" i="15"/>
  <c r="V35" i="20"/>
  <c r="J65" i="20"/>
  <c r="J66" i="20" s="1"/>
  <c r="J67" i="20" s="1"/>
  <c r="J39" i="20"/>
  <c r="J40" i="20" s="1"/>
  <c r="Z36" i="20"/>
  <c r="M41" i="10"/>
  <c r="M47" i="10" s="1"/>
  <c r="M50" i="10" s="1"/>
  <c r="Z108" i="20" s="1"/>
  <c r="Z106" i="20" s="1"/>
  <c r="Z100" i="20" s="1"/>
  <c r="Z18" i="20" s="1"/>
  <c r="Z19" i="20" s="1"/>
  <c r="Z12" i="20"/>
  <c r="P36" i="20"/>
  <c r="P37" i="20" s="1"/>
  <c r="P12" i="20"/>
  <c r="H41" i="10"/>
  <c r="H47" i="10" s="1"/>
  <c r="H50" i="10" s="1"/>
  <c r="P108" i="20" s="1"/>
  <c r="P106" i="20" s="1"/>
  <c r="P100" i="20" s="1"/>
  <c r="P18" i="20" s="1"/>
  <c r="P19" i="20" s="1"/>
  <c r="AD65" i="20"/>
  <c r="AD66" i="20" s="1"/>
  <c r="AD67" i="20" s="1"/>
  <c r="AD39" i="20"/>
  <c r="AD40" i="20" s="1"/>
  <c r="S31" i="15"/>
  <c r="W32" i="15"/>
  <c r="T35" i="20"/>
  <c r="L36" i="20"/>
  <c r="L37" i="20" s="1"/>
  <c r="L12" i="20"/>
  <c r="F42" i="10"/>
  <c r="F48" i="10" s="1"/>
  <c r="F51" i="10" s="1"/>
  <c r="L108" i="20" s="1"/>
  <c r="L106" i="20" s="1"/>
  <c r="L100" i="20" s="1"/>
  <c r="L18" i="20" s="1"/>
  <c r="L19" i="20" s="1"/>
  <c r="D66" i="20" l="1"/>
  <c r="D67" i="20" s="1"/>
  <c r="C80" i="20"/>
  <c r="D76" i="20"/>
  <c r="D77" i="20" s="1"/>
  <c r="AF12" i="20"/>
  <c r="AF13" i="20" s="1"/>
  <c r="AF14" i="20" s="1"/>
  <c r="D36" i="20"/>
  <c r="D37" i="20" s="1"/>
  <c r="J35" i="20"/>
  <c r="E42" i="10" s="1"/>
  <c r="E48" i="10" s="1"/>
  <c r="E51" i="10" s="1"/>
  <c r="J108" i="20" s="1"/>
  <c r="J106" i="20" s="1"/>
  <c r="J100" i="20" s="1"/>
  <c r="J18" i="20" s="1"/>
  <c r="J19" i="20" s="1"/>
  <c r="D12" i="20"/>
  <c r="D9" i="20" s="1"/>
  <c r="D10" i="20" s="1"/>
  <c r="D11" i="20" s="1"/>
  <c r="P41" i="10"/>
  <c r="P47" i="10" s="1"/>
  <c r="P50" i="10" s="1"/>
  <c r="AF108" i="20" s="1"/>
  <c r="AF106" i="20" s="1"/>
  <c r="AF100" i="20" s="1"/>
  <c r="AF18" i="20" s="1"/>
  <c r="AF19" i="20" s="1"/>
  <c r="S6" i="15"/>
  <c r="W31" i="15"/>
  <c r="C48" i="16"/>
  <c r="F48" i="16" s="1"/>
  <c r="AD35" i="20"/>
  <c r="Z13" i="20"/>
  <c r="Z6" i="20"/>
  <c r="Z9" i="20"/>
  <c r="Z10" i="20" s="1"/>
  <c r="Z11" i="20" s="1"/>
  <c r="AF9" i="20"/>
  <c r="AF10" i="20" s="1"/>
  <c r="AF11" i="20" s="1"/>
  <c r="N36" i="20"/>
  <c r="N37" i="20" s="1"/>
  <c r="N12" i="20"/>
  <c r="G41" i="10"/>
  <c r="G47" i="10" s="1"/>
  <c r="G50" i="10" s="1"/>
  <c r="N108" i="20" s="1"/>
  <c r="N106" i="20" s="1"/>
  <c r="N100" i="20" s="1"/>
  <c r="N18" i="20" s="1"/>
  <c r="N19" i="20" s="1"/>
  <c r="L13" i="20"/>
  <c r="L14" i="20" s="1"/>
  <c r="L9" i="20"/>
  <c r="L10" i="20" s="1"/>
  <c r="L11" i="20" s="1"/>
  <c r="L6" i="20"/>
  <c r="V36" i="20"/>
  <c r="V12" i="20"/>
  <c r="K41" i="10"/>
  <c r="K47" i="10" s="1"/>
  <c r="K50" i="10" s="1"/>
  <c r="V108" i="20" s="1"/>
  <c r="V106" i="20" s="1"/>
  <c r="V100" i="20" s="1"/>
  <c r="V18" i="20" s="1"/>
  <c r="V19" i="20" s="1"/>
  <c r="Q32" i="15"/>
  <c r="D106" i="20"/>
  <c r="D100" i="20" s="1"/>
  <c r="P6" i="20"/>
  <c r="P13" i="20"/>
  <c r="P14" i="20" s="1"/>
  <c r="P9" i="20"/>
  <c r="P10" i="20" s="1"/>
  <c r="P11" i="20" s="1"/>
  <c r="W36" i="15"/>
  <c r="C51" i="16"/>
  <c r="F51" i="16" s="1"/>
  <c r="R9" i="20"/>
  <c r="R10" i="20" s="1"/>
  <c r="R11" i="20" s="1"/>
  <c r="R13" i="20"/>
  <c r="R14" i="20" s="1"/>
  <c r="R6" i="20"/>
  <c r="AB13" i="20"/>
  <c r="AB14" i="20" s="1"/>
  <c r="AB9" i="20"/>
  <c r="AB10" i="20" s="1"/>
  <c r="AB11" i="20" s="1"/>
  <c r="AB6" i="20"/>
  <c r="T36" i="20"/>
  <c r="T12" i="20"/>
  <c r="J41" i="10"/>
  <c r="J47" i="10" s="1"/>
  <c r="J50" i="10" s="1"/>
  <c r="T108" i="20" s="1"/>
  <c r="T106" i="20" s="1"/>
  <c r="T100" i="20" s="1"/>
  <c r="T18" i="20" s="1"/>
  <c r="T19" i="20" s="1"/>
  <c r="X36" i="20"/>
  <c r="X12" i="20"/>
  <c r="L41" i="10"/>
  <c r="L47" i="10" s="1"/>
  <c r="L50" i="10" s="1"/>
  <c r="X108" i="20" s="1"/>
  <c r="X106" i="20" s="1"/>
  <c r="X100" i="20" s="1"/>
  <c r="X18" i="20" s="1"/>
  <c r="X19" i="20" s="1"/>
  <c r="E51" i="16" l="1"/>
  <c r="D51" i="16" s="1"/>
  <c r="E48" i="16"/>
  <c r="D48" i="16" s="1"/>
  <c r="E53" i="16"/>
  <c r="D53" i="16" s="1"/>
  <c r="E46" i="16"/>
  <c r="D46" i="16" s="1"/>
  <c r="E49" i="16"/>
  <c r="D49" i="16" s="1"/>
  <c r="E55" i="16"/>
  <c r="D55" i="16" s="1"/>
  <c r="E50" i="16"/>
  <c r="D50" i="16" s="1"/>
  <c r="E52" i="16"/>
  <c r="D52" i="16" s="1"/>
  <c r="E54" i="16"/>
  <c r="D54" i="16" s="1"/>
  <c r="E47" i="16"/>
  <c r="D47" i="16" s="1"/>
  <c r="E45" i="16"/>
  <c r="D45" i="16" s="1"/>
  <c r="E44" i="16"/>
  <c r="D44" i="16" s="1"/>
  <c r="E56" i="16"/>
  <c r="D56" i="16" s="1"/>
  <c r="E62" i="16"/>
  <c r="D62" i="16" s="1"/>
  <c r="E63" i="16"/>
  <c r="D63" i="16" s="1"/>
  <c r="E43" i="16"/>
  <c r="D43" i="16" s="1"/>
  <c r="E61" i="16"/>
  <c r="D61" i="16" s="1"/>
  <c r="E64" i="16"/>
  <c r="D64" i="16" s="1"/>
  <c r="E42" i="16"/>
  <c r="D42" i="16" s="1"/>
  <c r="E60" i="16"/>
  <c r="D60" i="16" s="1"/>
  <c r="E59" i="16"/>
  <c r="D59" i="16" s="1"/>
  <c r="E57" i="16"/>
  <c r="D57" i="16" s="1"/>
  <c r="E58" i="16"/>
  <c r="D58" i="16" s="1"/>
  <c r="J36" i="20"/>
  <c r="J37" i="20" s="1"/>
  <c r="J12" i="20"/>
  <c r="J9" i="20" s="1"/>
  <c r="J10" i="20" s="1"/>
  <c r="J11" i="20" s="1"/>
  <c r="D13" i="20"/>
  <c r="D14" i="20" s="1"/>
  <c r="B27" i="20"/>
  <c r="AF6" i="20"/>
  <c r="AF7" i="20" s="1"/>
  <c r="AF8" i="20" s="1"/>
  <c r="T13" i="20"/>
  <c r="T6" i="20"/>
  <c r="T9" i="20"/>
  <c r="T10" i="20" s="1"/>
  <c r="T11" i="20" s="1"/>
  <c r="P7" i="20"/>
  <c r="P8" i="20" s="1"/>
  <c r="P23" i="20"/>
  <c r="P24" i="20" s="1"/>
  <c r="V13" i="20"/>
  <c r="V6" i="20"/>
  <c r="V9" i="20"/>
  <c r="V10" i="20" s="1"/>
  <c r="V11" i="20" s="1"/>
  <c r="R7" i="20"/>
  <c r="R8" i="20" s="1"/>
  <c r="R23" i="20"/>
  <c r="R24" i="20" s="1"/>
  <c r="D115" i="20"/>
  <c r="D18" i="20"/>
  <c r="J13" i="20"/>
  <c r="J14" i="20" s="1"/>
  <c r="AD36" i="20"/>
  <c r="AD37" i="20" s="1"/>
  <c r="AD12" i="20"/>
  <c r="O41" i="10"/>
  <c r="O47" i="10" s="1"/>
  <c r="O50" i="10" s="1"/>
  <c r="AD108" i="20" s="1"/>
  <c r="AD106" i="20" s="1"/>
  <c r="AD100" i="20" s="1"/>
  <c r="AD18" i="20" s="1"/>
  <c r="AD19" i="20" s="1"/>
  <c r="X6" i="20"/>
  <c r="X13" i="20"/>
  <c r="X9" i="20"/>
  <c r="X10" i="20" s="1"/>
  <c r="X11" i="20" s="1"/>
  <c r="AB7" i="20"/>
  <c r="AB8" i="20" s="1"/>
  <c r="AB23" i="20"/>
  <c r="AB24" i="20" s="1"/>
  <c r="Q31" i="15"/>
  <c r="X32" i="15"/>
  <c r="L7" i="20"/>
  <c r="L8" i="20" s="1"/>
  <c r="L23" i="20"/>
  <c r="L24" i="20" s="1"/>
  <c r="N13" i="20"/>
  <c r="N14" i="20" s="1"/>
  <c r="N9" i="20"/>
  <c r="N10" i="20" s="1"/>
  <c r="N11" i="20" s="1"/>
  <c r="N6" i="20"/>
  <c r="Z23" i="20"/>
  <c r="Z24" i="20" s="1"/>
  <c r="Z7" i="20"/>
  <c r="Z8" i="20" s="1"/>
  <c r="W6" i="15"/>
  <c r="J6" i="20" l="1"/>
  <c r="AF23" i="20"/>
  <c r="AF24" i="20" s="1"/>
  <c r="X31" i="15"/>
  <c r="Y32" i="15"/>
  <c r="Y31" i="15" s="1"/>
  <c r="Y6" i="15" s="1"/>
  <c r="AD9" i="20"/>
  <c r="AD10" i="20" s="1"/>
  <c r="AD11" i="20" s="1"/>
  <c r="AD6" i="20"/>
  <c r="AD13" i="20"/>
  <c r="AD14" i="20" s="1"/>
  <c r="V7" i="20"/>
  <c r="V8" i="20" s="1"/>
  <c r="V23" i="20"/>
  <c r="V24" i="20" s="1"/>
  <c r="N7" i="20"/>
  <c r="N8" i="20" s="1"/>
  <c r="N23" i="20"/>
  <c r="N24" i="20" s="1"/>
  <c r="C27" i="20"/>
  <c r="D19" i="20"/>
  <c r="D20" i="20" s="1"/>
  <c r="D6" i="20"/>
  <c r="T7" i="20"/>
  <c r="T8" i="20" s="1"/>
  <c r="T23" i="20"/>
  <c r="T24" i="20" s="1"/>
  <c r="X7" i="20"/>
  <c r="X8" i="20" s="1"/>
  <c r="X23" i="20"/>
  <c r="X24" i="20" s="1"/>
  <c r="J7" i="20"/>
  <c r="J8" i="20" s="1"/>
  <c r="J23" i="20"/>
  <c r="J24" i="20" s="1"/>
  <c r="D7" i="20" l="1"/>
  <c r="D23" i="20"/>
  <c r="AD7" i="20"/>
  <c r="AD8" i="20" s="1"/>
  <c r="AD23" i="20"/>
  <c r="AD24" i="20" s="1"/>
  <c r="D24" i="20" l="1"/>
  <c r="D8" i="20"/>
</calcChain>
</file>

<file path=xl/comments1.xml><?xml version="1.0" encoding="utf-8"?>
<comments xmlns="http://schemas.openxmlformats.org/spreadsheetml/2006/main">
  <authors>
    <author>Anna D. Myshak</author>
  </authors>
  <commentList>
    <comment ref="Q32" authorId="0" shapeId="0">
      <text>
        <r>
          <rPr>
            <b/>
            <sz val="9"/>
            <color indexed="81"/>
            <rFont val="Tahoma"/>
            <family val="2"/>
            <charset val="204"/>
          </rPr>
          <t>Anna D. Myshak:</t>
        </r>
        <r>
          <rPr>
            <sz val="9"/>
            <color indexed="81"/>
            <rFont val="Tahoma"/>
            <family val="2"/>
            <charset val="204"/>
          </rPr>
          <t xml:space="preserve">
экономия, если насосы ГВС и/или отопления уже были (заменены на новые) и рост, если их не было</t>
        </r>
      </text>
    </comment>
    <comment ref="D57" authorId="0" shapeId="0">
      <text>
        <r>
          <rPr>
            <sz val="9"/>
            <color indexed="81"/>
            <rFont val="Tahoma"/>
            <family val="2"/>
            <charset val="204"/>
          </rPr>
          <t>Укажите мощность новых лифтов</t>
        </r>
      </text>
    </comment>
  </commentList>
</comments>
</file>

<file path=xl/comments2.xml><?xml version="1.0" encoding="utf-8"?>
<comments xmlns="http://schemas.openxmlformats.org/spreadsheetml/2006/main">
  <authors>
    <author>Anna D. Myshak</author>
  </authors>
  <commentList>
    <comment ref="E35" authorId="0" shapeId="0">
      <text>
        <r>
          <rPr>
            <b/>
            <sz val="9"/>
            <color indexed="81"/>
            <rFont val="Tahoma"/>
            <family val="2"/>
            <charset val="204"/>
          </rPr>
          <t>Anna D. Myshak:</t>
        </r>
        <r>
          <rPr>
            <sz val="9"/>
            <color indexed="81"/>
            <rFont val="Tahoma"/>
            <family val="2"/>
            <charset val="204"/>
          </rPr>
          <t xml:space="preserve">
здесь на гсоп корр-ся только инф, трансп, и трубопров.потери</t>
        </r>
      </text>
    </comment>
  </commentList>
</comments>
</file>

<file path=xl/comments3.xml><?xml version="1.0" encoding="utf-8"?>
<comments xmlns="http://schemas.openxmlformats.org/spreadsheetml/2006/main">
  <authors>
    <author>Anna D. Myshak</author>
  </authors>
  <commentList>
    <comment ref="D85" authorId="0" shapeId="0">
      <text>
        <r>
          <rPr>
            <b/>
            <sz val="9"/>
            <color indexed="81"/>
            <rFont val="Tahoma"/>
            <family val="2"/>
            <charset val="204"/>
          </rPr>
          <t>Anna D. Myshak:</t>
        </r>
        <r>
          <rPr>
            <sz val="9"/>
            <color indexed="81"/>
            <rFont val="Tahoma"/>
            <family val="2"/>
            <charset val="204"/>
          </rPr>
          <t xml:space="preserve">
здесь влияет рег.давл, цирк тп, ремонт тп, и АИТП</t>
        </r>
      </text>
    </comment>
    <comment ref="E85" authorId="0" shapeId="0">
      <text>
        <r>
          <rPr>
            <b/>
            <sz val="9"/>
            <color indexed="81"/>
            <rFont val="Tahoma"/>
            <family val="2"/>
            <charset val="204"/>
          </rPr>
          <t>Anna D. Myshak:</t>
        </r>
        <r>
          <rPr>
            <sz val="9"/>
            <color indexed="81"/>
            <rFont val="Tahoma"/>
            <family val="2"/>
            <charset val="204"/>
          </rPr>
          <t xml:space="preserve">
расход тепла на нагрев воды (строка 87) по нормативным температурам с учетом Ктп</t>
        </r>
      </text>
    </comment>
    <comment ref="D108" authorId="0" shapeId="0">
      <text>
        <r>
          <rPr>
            <b/>
            <sz val="9"/>
            <color indexed="81"/>
            <rFont val="Tahoma"/>
            <family val="2"/>
            <charset val="204"/>
          </rPr>
          <t>Anna D. Myshak:</t>
        </r>
        <r>
          <rPr>
            <sz val="9"/>
            <color indexed="81"/>
            <rFont val="Tahoma"/>
            <family val="2"/>
            <charset val="204"/>
          </rPr>
          <t xml:space="preserve">
если изначально насоса в отоплении не было, то он появится (т.к.АИТП или АУУ)
</t>
        </r>
      </text>
    </comment>
  </commentList>
</comments>
</file>

<file path=xl/comments4.xml><?xml version="1.0" encoding="utf-8"?>
<comments xmlns="http://schemas.openxmlformats.org/spreadsheetml/2006/main">
  <authors>
    <author>Anna Myshak</author>
  </authors>
  <commentList>
    <comment ref="C58" authorId="0" shapeId="0">
      <text>
        <r>
          <rPr>
            <b/>
            <sz val="9"/>
            <color indexed="81"/>
            <rFont val="Tahoma"/>
            <family val="2"/>
            <charset val="204"/>
          </rPr>
          <t>Anna Myshak:</t>
        </r>
        <r>
          <rPr>
            <sz val="9"/>
            <color indexed="81"/>
            <rFont val="Tahoma"/>
            <family val="2"/>
            <charset val="204"/>
          </rPr>
          <t xml:space="preserve">
кабина эконом Мослифт</t>
        </r>
      </text>
    </comment>
    <comment ref="D58" authorId="0" shapeId="0">
      <text>
        <r>
          <rPr>
            <b/>
            <sz val="9"/>
            <color indexed="81"/>
            <rFont val="Tahoma"/>
            <family val="2"/>
            <charset val="204"/>
          </rPr>
          <t>Anna Myshak:</t>
        </r>
        <r>
          <rPr>
            <sz val="9"/>
            <color indexed="81"/>
            <rFont val="Tahoma"/>
            <family val="2"/>
            <charset val="204"/>
          </rPr>
          <t xml:space="preserve">
Сопутствующие (лебедка, червячная пара, прочее)</t>
        </r>
      </text>
    </comment>
  </commentList>
</comments>
</file>

<file path=xl/sharedStrings.xml><?xml version="1.0" encoding="utf-8"?>
<sst xmlns="http://schemas.openxmlformats.org/spreadsheetml/2006/main" count="5353" uniqueCount="1948">
  <si>
    <t>Алтайский край</t>
  </si>
  <si>
    <t>Алейск</t>
  </si>
  <si>
    <t>Республика Дагестан</t>
  </si>
  <si>
    <t>Барнаул</t>
  </si>
  <si>
    <t>Родино</t>
  </si>
  <si>
    <t>Рубцовск</t>
  </si>
  <si>
    <t>Славгород</t>
  </si>
  <si>
    <t>Тогул</t>
  </si>
  <si>
    <t>Змеиногорск</t>
  </si>
  <si>
    <t>Беля</t>
  </si>
  <si>
    <t>Катанда</t>
  </si>
  <si>
    <t>Кош-Агач</t>
  </si>
  <si>
    <t>Онгудай</t>
  </si>
  <si>
    <t>Амурская область</t>
  </si>
  <si>
    <t>Белогорск</t>
  </si>
  <si>
    <t>Благовещенск</t>
  </si>
  <si>
    <t>Бомнак</t>
  </si>
  <si>
    <t>Братолюбовка</t>
  </si>
  <si>
    <t>Бысса</t>
  </si>
  <si>
    <t>Черняево</t>
  </si>
  <si>
    <t>Дамбуки</t>
  </si>
  <si>
    <t>Экимчан</t>
  </si>
  <si>
    <t>Ерофей Павлович</t>
  </si>
  <si>
    <t>Гош</t>
  </si>
  <si>
    <t>Огорон</t>
  </si>
  <si>
    <t>Поярково</t>
  </si>
  <si>
    <t>Шимановск</t>
  </si>
  <si>
    <t>Сковородино</t>
  </si>
  <si>
    <t>Средняя Нюкжа</t>
  </si>
  <si>
    <t>Свободный</t>
  </si>
  <si>
    <t>Тыган-Уркан</t>
  </si>
  <si>
    <t>Тында</t>
  </si>
  <si>
    <t>Унаха</t>
  </si>
  <si>
    <t>Усть-Нюкжа</t>
  </si>
  <si>
    <t>Завитинск</t>
  </si>
  <si>
    <t>Зея</t>
  </si>
  <si>
    <t>Архангельская область</t>
  </si>
  <si>
    <t>Архангельск</t>
  </si>
  <si>
    <t>Борковская</t>
  </si>
  <si>
    <t>Емецк</t>
  </si>
  <si>
    <t>Котлас</t>
  </si>
  <si>
    <t>Койнас</t>
  </si>
  <si>
    <t>Мезень</t>
  </si>
  <si>
    <t>Онега</t>
  </si>
  <si>
    <t>Астраханская область</t>
  </si>
  <si>
    <t>Астрахань</t>
  </si>
  <si>
    <t>Верхний Баскунчак</t>
  </si>
  <si>
    <t>Белгородская область</t>
  </si>
  <si>
    <t>Белгород</t>
  </si>
  <si>
    <t>Курская область</t>
  </si>
  <si>
    <t>Брянская область</t>
  </si>
  <si>
    <t>Брянск</t>
  </si>
  <si>
    <t>Московская область</t>
  </si>
  <si>
    <t>Челябинская область</t>
  </si>
  <si>
    <t>Челябинск</t>
  </si>
  <si>
    <t>Томская область</t>
  </si>
  <si>
    <t>Нязепетровск</t>
  </si>
  <si>
    <t>Верхнеуральск</t>
  </si>
  <si>
    <t>Чукотский автономный округ</t>
  </si>
  <si>
    <t>Анадырь</t>
  </si>
  <si>
    <t>Березово</t>
  </si>
  <si>
    <t>Эньмувеем</t>
  </si>
  <si>
    <t>Марково</t>
  </si>
  <si>
    <t>Омолон</t>
  </si>
  <si>
    <t>Островное</t>
  </si>
  <si>
    <t>Усть-Олой</t>
  </si>
  <si>
    <t>Чебоксары</t>
  </si>
  <si>
    <t>Нижегородская область</t>
  </si>
  <si>
    <t>Республика Ингушетия</t>
  </si>
  <si>
    <t>Магас</t>
  </si>
  <si>
    <t>Назрань</t>
  </si>
  <si>
    <t>Иркутская область</t>
  </si>
  <si>
    <t>Алыгджер</t>
  </si>
  <si>
    <t>Бодайбо</t>
  </si>
  <si>
    <t>Братск</t>
  </si>
  <si>
    <t>Ичера</t>
  </si>
  <si>
    <t>Ика</t>
  </si>
  <si>
    <t>Иркутск</t>
  </si>
  <si>
    <t>Киренск</t>
  </si>
  <si>
    <t>Мама</t>
  </si>
  <si>
    <t>Непа</t>
  </si>
  <si>
    <t>Невон</t>
  </si>
  <si>
    <t>Орлинга</t>
  </si>
  <si>
    <t>Перевоз</t>
  </si>
  <si>
    <t>Преображенка</t>
  </si>
  <si>
    <t>Слюдянка</t>
  </si>
  <si>
    <t>Тайшет</t>
  </si>
  <si>
    <t>Тулун</t>
  </si>
  <si>
    <t>Верхняя Гутара</t>
  </si>
  <si>
    <t>Ербогачен</t>
  </si>
  <si>
    <t>Жигалово</t>
  </si>
  <si>
    <t>Ивановская область</t>
  </si>
  <si>
    <t>Иваново</t>
  </si>
  <si>
    <t>Кинешма</t>
  </si>
  <si>
    <t>Южно-Сухокумск</t>
  </si>
  <si>
    <t>Еврейская автономная область</t>
  </si>
  <si>
    <t>Биробиджан</t>
  </si>
  <si>
    <t>Облучье</t>
  </si>
  <si>
    <t>Республика Кабардино-Балкария</t>
  </si>
  <si>
    <t>Нальчик</t>
  </si>
  <si>
    <t>Калининградская область</t>
  </si>
  <si>
    <t>Калининград</t>
  </si>
  <si>
    <t>Калужская область</t>
  </si>
  <si>
    <t>Калуга</t>
  </si>
  <si>
    <t>Ключи</t>
  </si>
  <si>
    <t>Козыревск</t>
  </si>
  <si>
    <t>Кроноки</t>
  </si>
  <si>
    <t>Начики</t>
  </si>
  <si>
    <t>Октябрьская</t>
  </si>
  <si>
    <t>Семлячики</t>
  </si>
  <si>
    <t>Соболево</t>
  </si>
  <si>
    <t>Ука</t>
  </si>
  <si>
    <t>Черкесск</t>
  </si>
  <si>
    <t>Кемеровская область</t>
  </si>
  <si>
    <t>Кемерово</t>
  </si>
  <si>
    <t>Киселевск</t>
  </si>
  <si>
    <t>Кондома</t>
  </si>
  <si>
    <t>Мариинск</t>
  </si>
  <si>
    <t>Тайга</t>
  </si>
  <si>
    <t>Топки</t>
  </si>
  <si>
    <t>Усть-Кабырза</t>
  </si>
  <si>
    <t>Хабаровский край</t>
  </si>
  <si>
    <t>Аян</t>
  </si>
  <si>
    <t>Байдуков</t>
  </si>
  <si>
    <t>Бикин</t>
  </si>
  <si>
    <t>Бира</t>
  </si>
  <si>
    <t>Чумикан</t>
  </si>
  <si>
    <t>Де-Кастри</t>
  </si>
  <si>
    <t>Джаорэ</t>
  </si>
  <si>
    <t>Энкэн</t>
  </si>
  <si>
    <t>Гроссевичи</t>
  </si>
  <si>
    <t>Гвасюги</t>
  </si>
  <si>
    <t>Им. Полины Осипенко</t>
  </si>
  <si>
    <t>Хабаровск</t>
  </si>
  <si>
    <t>Комсомольск-на-Амуре</t>
  </si>
  <si>
    <t>Нижнетамбовское</t>
  </si>
  <si>
    <t>Охотск</t>
  </si>
  <si>
    <t>Сизиман</t>
  </si>
  <si>
    <t>Советская Гавань</t>
  </si>
  <si>
    <t>Средний Ургал</t>
  </si>
  <si>
    <t>Троицкое</t>
  </si>
  <si>
    <t>Вязьма</t>
  </si>
  <si>
    <t>Кировская область</t>
  </si>
  <si>
    <t>Савали</t>
  </si>
  <si>
    <t>Вятка</t>
  </si>
  <si>
    <t>Республика Коми</t>
  </si>
  <si>
    <t>Печора</t>
  </si>
  <si>
    <t>Петрунь</t>
  </si>
  <si>
    <t>Сыктывкар</t>
  </si>
  <si>
    <t>Ухта</t>
  </si>
  <si>
    <t>Усть-Щугор</t>
  </si>
  <si>
    <t>Усть-Цильма</t>
  </si>
  <si>
    <t>Усть-Уса</t>
  </si>
  <si>
    <t>Вендинга</t>
  </si>
  <si>
    <t>Воркута</t>
  </si>
  <si>
    <t>Костромская область</t>
  </si>
  <si>
    <t>Чухлома</t>
  </si>
  <si>
    <t>Кострома</t>
  </si>
  <si>
    <t>Шарья</t>
  </si>
  <si>
    <t>Краснодарский край</t>
  </si>
  <si>
    <t>Красная Поляна</t>
  </si>
  <si>
    <t>Краснодар</t>
  </si>
  <si>
    <t>Приморско-Ахтарск</t>
  </si>
  <si>
    <t>Сочи</t>
  </si>
  <si>
    <t>Тихорецк</t>
  </si>
  <si>
    <t>Красноярский край</t>
  </si>
  <si>
    <t>Ачинск</t>
  </si>
  <si>
    <t>Агата</t>
  </si>
  <si>
    <t>Боготол</t>
  </si>
  <si>
    <t>Богучаны</t>
  </si>
  <si>
    <t>Енисейск</t>
  </si>
  <si>
    <t>Игарка</t>
  </si>
  <si>
    <t>Канск</t>
  </si>
  <si>
    <t>Кежма</t>
  </si>
  <si>
    <t>Красноярск</t>
  </si>
  <si>
    <t>Минусинск</t>
  </si>
  <si>
    <t>Таимба</t>
  </si>
  <si>
    <t>Туруханск</t>
  </si>
  <si>
    <t>Вельмо</t>
  </si>
  <si>
    <t>Верхнеимбатск</t>
  </si>
  <si>
    <t>Волочанка</t>
  </si>
  <si>
    <t>Ярцево</t>
  </si>
  <si>
    <t>Курганская область</t>
  </si>
  <si>
    <t>Курган</t>
  </si>
  <si>
    <t>Курск</t>
  </si>
  <si>
    <t>Ленинградская область</t>
  </si>
  <si>
    <t>Свирица</t>
  </si>
  <si>
    <t>Тихвин</t>
  </si>
  <si>
    <t>Липецкая область</t>
  </si>
  <si>
    <t>Липецк</t>
  </si>
  <si>
    <t>Магаданская область</t>
  </si>
  <si>
    <t>Аркагала</t>
  </si>
  <si>
    <t>Брохово</t>
  </si>
  <si>
    <t>Омсукчан</t>
  </si>
  <si>
    <t>Палатка</t>
  </si>
  <si>
    <t>Среднекан</t>
  </si>
  <si>
    <t>Сусуман</t>
  </si>
  <si>
    <t>Республика Марий Эл</t>
  </si>
  <si>
    <t>Йошкар-Ола</t>
  </si>
  <si>
    <t>Москва</t>
  </si>
  <si>
    <t>Дмитров</t>
  </si>
  <si>
    <t>Кашира</t>
  </si>
  <si>
    <t>Мурманская область</t>
  </si>
  <si>
    <t>Кандалакша</t>
  </si>
  <si>
    <t>Ковдор</t>
  </si>
  <si>
    <t>Краснощелье</t>
  </si>
  <si>
    <t>Ловозеро</t>
  </si>
  <si>
    <t>Мончегорск</t>
  </si>
  <si>
    <t>Мурманск</t>
  </si>
  <si>
    <t>Пулозеро</t>
  </si>
  <si>
    <t>Пялица</t>
  </si>
  <si>
    <t>Терско-Орловский</t>
  </si>
  <si>
    <t>Териберка</t>
  </si>
  <si>
    <t>Умба</t>
  </si>
  <si>
    <t>Вайда-Губа</t>
  </si>
  <si>
    <t>Юкспор</t>
  </si>
  <si>
    <t>Ходовариха</t>
  </si>
  <si>
    <t>Хоседа-Хард</t>
  </si>
  <si>
    <t>Индига</t>
  </si>
  <si>
    <t>Канин Нос</t>
  </si>
  <si>
    <t>Коткино</t>
  </si>
  <si>
    <t>Нарьян-Мар</t>
  </si>
  <si>
    <t>Варандей</t>
  </si>
  <si>
    <t>Арзамас</t>
  </si>
  <si>
    <t>Нижний Новгород</t>
  </si>
  <si>
    <t>Выкса</t>
  </si>
  <si>
    <t>Новгородская область</t>
  </si>
  <si>
    <t>Боровичи</t>
  </si>
  <si>
    <t>Новгород</t>
  </si>
  <si>
    <t>Новосибирская область</t>
  </si>
  <si>
    <t>Барабинск</t>
  </si>
  <si>
    <t>Болотное</t>
  </si>
  <si>
    <t>Чулым</t>
  </si>
  <si>
    <t>Кочки</t>
  </si>
  <si>
    <t>Купино</t>
  </si>
  <si>
    <t>Кыштовка</t>
  </si>
  <si>
    <t>Новосибирск</t>
  </si>
  <si>
    <t>Татарск</t>
  </si>
  <si>
    <t>Омская область</t>
  </si>
  <si>
    <t>Черлак</t>
  </si>
  <si>
    <t>Омск</t>
  </si>
  <si>
    <t>Тара</t>
  </si>
  <si>
    <t>Оренбургская область</t>
  </si>
  <si>
    <t>Кувандык</t>
  </si>
  <si>
    <t>Оренбург</t>
  </si>
  <si>
    <t>Сорочинск</t>
  </si>
  <si>
    <t>Орловская область</t>
  </si>
  <si>
    <t>Орел</t>
  </si>
  <si>
    <t>Пензенская область</t>
  </si>
  <si>
    <t>Саратовская область</t>
  </si>
  <si>
    <t>Пенза</t>
  </si>
  <si>
    <t>Чердынь</t>
  </si>
  <si>
    <t>Ножовка</t>
  </si>
  <si>
    <t>Пермь</t>
  </si>
  <si>
    <t>Приморский край</t>
  </si>
  <si>
    <t>Забайкальский край</t>
  </si>
  <si>
    <t>Анучино</t>
  </si>
  <si>
    <t>Астраханка</t>
  </si>
  <si>
    <t>Чугуевка</t>
  </si>
  <si>
    <t>Дальнереченск</t>
  </si>
  <si>
    <t>Красный Яр</t>
  </si>
  <si>
    <t>Мельничное</t>
  </si>
  <si>
    <t>Партизанск</t>
  </si>
  <si>
    <t>Рудная Пристань</t>
  </si>
  <si>
    <t>Владивосток</t>
  </si>
  <si>
    <t>Псковская область</t>
  </si>
  <si>
    <t>Псков</t>
  </si>
  <si>
    <t>Республика Адыгея</t>
  </si>
  <si>
    <t>Майкоп</t>
  </si>
  <si>
    <t>Республика Башкортостан</t>
  </si>
  <si>
    <t>Белорецк</t>
  </si>
  <si>
    <t>Дуван</t>
  </si>
  <si>
    <t>Мелеуз</t>
  </si>
  <si>
    <t>Уфа</t>
  </si>
  <si>
    <t>Янаул</t>
  </si>
  <si>
    <t>Республика Бурятия</t>
  </si>
  <si>
    <t>Бабушкин</t>
  </si>
  <si>
    <t>Баргузин</t>
  </si>
  <si>
    <t>Хоринск</t>
  </si>
  <si>
    <t>Кяхта</t>
  </si>
  <si>
    <t>Монды</t>
  </si>
  <si>
    <t>Нижнеангарск</t>
  </si>
  <si>
    <t>Улан-Удэ</t>
  </si>
  <si>
    <t>Дербент</t>
  </si>
  <si>
    <t>Махачкала</t>
  </si>
  <si>
    <t>Элиста</t>
  </si>
  <si>
    <t>Абакан</t>
  </si>
  <si>
    <t>Шира</t>
  </si>
  <si>
    <t>Республика Мордовия</t>
  </si>
  <si>
    <t>Саранск</t>
  </si>
  <si>
    <t>Владикавказ</t>
  </si>
  <si>
    <t>Ростовская область</t>
  </si>
  <si>
    <t>Миллерово</t>
  </si>
  <si>
    <t>Волгоградская область</t>
  </si>
  <si>
    <t>Рязанская область</t>
  </si>
  <si>
    <t>Рязань</t>
  </si>
  <si>
    <t>Сахалинская область</t>
  </si>
  <si>
    <t>Долинск</t>
  </si>
  <si>
    <t>Кировское</t>
  </si>
  <si>
    <t>Корсаков</t>
  </si>
  <si>
    <t>Курильск</t>
  </si>
  <si>
    <t>Макаров</t>
  </si>
  <si>
    <t>Невельск</t>
  </si>
  <si>
    <t>Ноглики</t>
  </si>
  <si>
    <t>Оха</t>
  </si>
  <si>
    <t>Погиби</t>
  </si>
  <si>
    <t>Поронайск</t>
  </si>
  <si>
    <t>Самарская область</t>
  </si>
  <si>
    <t>Самара</t>
  </si>
  <si>
    <t>Александров Гай</t>
  </si>
  <si>
    <t>Балашов</t>
  </si>
  <si>
    <t>Саратов</t>
  </si>
  <si>
    <t>Смоленская область</t>
  </si>
  <si>
    <t>Смоленск</t>
  </si>
  <si>
    <t>Ставропольский край</t>
  </si>
  <si>
    <t>Арзгир</t>
  </si>
  <si>
    <t>Кисловодск</t>
  </si>
  <si>
    <t>Невинномысск</t>
  </si>
  <si>
    <t>Пятигорск</t>
  </si>
  <si>
    <t>Ставрополь</t>
  </si>
  <si>
    <t>Свердловская область</t>
  </si>
  <si>
    <t>Ивдель</t>
  </si>
  <si>
    <t>Каменск-Уральский</t>
  </si>
  <si>
    <t>Туринск</t>
  </si>
  <si>
    <t>Верхотурье</t>
  </si>
  <si>
    <t>Екатеринбург</t>
  </si>
  <si>
    <t>Тамбовская область</t>
  </si>
  <si>
    <t>Тамбов</t>
  </si>
  <si>
    <t>Грозный</t>
  </si>
  <si>
    <t>Республика Карелия</t>
  </si>
  <si>
    <t>Кемь</t>
  </si>
  <si>
    <t>Лоухи</t>
  </si>
  <si>
    <t>Олонец</t>
  </si>
  <si>
    <t>Паданы</t>
  </si>
  <si>
    <t>Петрозаводск</t>
  </si>
  <si>
    <t>Сортавала</t>
  </si>
  <si>
    <t>Республика Саха (Якутия)</t>
  </si>
  <si>
    <t>Алдан</t>
  </si>
  <si>
    <t>Аллах-Юнь</t>
  </si>
  <si>
    <t>Амга</t>
  </si>
  <si>
    <t>Батамай</t>
  </si>
  <si>
    <t>Бердигястях</t>
  </si>
  <si>
    <t>Буяга</t>
  </si>
  <si>
    <t>Чульман</t>
  </si>
  <si>
    <t>Чурапча</t>
  </si>
  <si>
    <t>Дружина</t>
  </si>
  <si>
    <t>Джалинда</t>
  </si>
  <si>
    <t>Джарджан</t>
  </si>
  <si>
    <t>Джикимда</t>
  </si>
  <si>
    <t>Екючю</t>
  </si>
  <si>
    <t>Исить</t>
  </si>
  <si>
    <t>Кюсюр</t>
  </si>
  <si>
    <t>Ленск</t>
  </si>
  <si>
    <t>Нагорный</t>
  </si>
  <si>
    <t>Нера</t>
  </si>
  <si>
    <t>Нюрба</t>
  </si>
  <si>
    <t>Нюя</t>
  </si>
  <si>
    <t>Олекминск</t>
  </si>
  <si>
    <t>Оленек</t>
  </si>
  <si>
    <t>Оймякон</t>
  </si>
  <si>
    <t>Сангар</t>
  </si>
  <si>
    <t>Саскылах</t>
  </si>
  <si>
    <t>Шелагонцы</t>
  </si>
  <si>
    <t>Среднеколымск</t>
  </si>
  <si>
    <t>Сухана</t>
  </si>
  <si>
    <t>Сунтар</t>
  </si>
  <si>
    <t>Сюльдюкар</t>
  </si>
  <si>
    <t>Токо</t>
  </si>
  <si>
    <t>Томмот</t>
  </si>
  <si>
    <t>Томпо</t>
  </si>
  <si>
    <t>Тяня</t>
  </si>
  <si>
    <t>Усть-Мая</t>
  </si>
  <si>
    <t>Усть-Миль</t>
  </si>
  <si>
    <t>Усть-Мома</t>
  </si>
  <si>
    <t>Верхоянск</t>
  </si>
  <si>
    <t>Вилюйск</t>
  </si>
  <si>
    <t>Витим</t>
  </si>
  <si>
    <t>Воронцово</t>
  </si>
  <si>
    <t>Якутск</t>
  </si>
  <si>
    <t>Жиганск</t>
  </si>
  <si>
    <t>Зырянка</t>
  </si>
  <si>
    <t>Республика Татарстан</t>
  </si>
  <si>
    <t>Бугульма</t>
  </si>
  <si>
    <t>Елабуга</t>
  </si>
  <si>
    <t>Казань</t>
  </si>
  <si>
    <t>Колпашево</t>
  </si>
  <si>
    <t>Средний Васюган</t>
  </si>
  <si>
    <t>Томск</t>
  </si>
  <si>
    <t>Усть-Озерное</t>
  </si>
  <si>
    <t>Тульская область</t>
  </si>
  <si>
    <t>Тула</t>
  </si>
  <si>
    <t>Кызыл</t>
  </si>
  <si>
    <t>Тверская область</t>
  </si>
  <si>
    <t>Бежецк</t>
  </si>
  <si>
    <t>Ржев</t>
  </si>
  <si>
    <t>Тверь</t>
  </si>
  <si>
    <t>Тюменская область</t>
  </si>
  <si>
    <t>Леуши</t>
  </si>
  <si>
    <t>Марресаля</t>
  </si>
  <si>
    <t>Октябрьское</t>
  </si>
  <si>
    <t>Сосьва</t>
  </si>
  <si>
    <t>Тюмень</t>
  </si>
  <si>
    <t>Угут</t>
  </si>
  <si>
    <t>Глазов</t>
  </si>
  <si>
    <t>Ижевск</t>
  </si>
  <si>
    <t>Сарапул</t>
  </si>
  <si>
    <t>Ульяновская область</t>
  </si>
  <si>
    <t>Сурское</t>
  </si>
  <si>
    <t>Ульяновск</t>
  </si>
  <si>
    <t>Владимирская область</t>
  </si>
  <si>
    <t>Муром</t>
  </si>
  <si>
    <t>Владимир</t>
  </si>
  <si>
    <t>Эльтон</t>
  </si>
  <si>
    <t>Камышин</t>
  </si>
  <si>
    <t>Костычевка</t>
  </si>
  <si>
    <t>Котельниково</t>
  </si>
  <si>
    <t>Новоаннинский</t>
  </si>
  <si>
    <t>Волгоград</t>
  </si>
  <si>
    <t>Бабаево</t>
  </si>
  <si>
    <t>Вологодская область</t>
  </si>
  <si>
    <t>Тотьма</t>
  </si>
  <si>
    <t>Вологда</t>
  </si>
  <si>
    <t>Воронежская область</t>
  </si>
  <si>
    <t>Воронеж</t>
  </si>
  <si>
    <t>Надым</t>
  </si>
  <si>
    <t>Салехард</t>
  </si>
  <si>
    <t>Уренгой</t>
  </si>
  <si>
    <t>Ярославская область</t>
  </si>
  <si>
    <t>Ярославль</t>
  </si>
  <si>
    <t>Агинское</t>
  </si>
  <si>
    <t>Акша</t>
  </si>
  <si>
    <t>Борзя</t>
  </si>
  <si>
    <t>Чара</t>
  </si>
  <si>
    <t>Чита</t>
  </si>
  <si>
    <t>Дарасун</t>
  </si>
  <si>
    <t>Калакан</t>
  </si>
  <si>
    <t>Красный Чикой</t>
  </si>
  <si>
    <t>Могоча</t>
  </si>
  <si>
    <t>Нерчинск</t>
  </si>
  <si>
    <t>Средний Калар</t>
  </si>
  <si>
    <t>Тунгокочен</t>
  </si>
  <si>
    <t>Тупик</t>
  </si>
  <si>
    <t>Интервал постройки</t>
  </si>
  <si>
    <t>Площадь</t>
  </si>
  <si>
    <t>Идент</t>
  </si>
  <si>
    <t>К-7</t>
  </si>
  <si>
    <t>Нет в списке</t>
  </si>
  <si>
    <t>Тип (серия)</t>
  </si>
  <si>
    <t>1920-1929</t>
  </si>
  <si>
    <t>1930-1939</t>
  </si>
  <si>
    <t>1940-1949</t>
  </si>
  <si>
    <t>1950-1959</t>
  </si>
  <si>
    <t>1960-1969</t>
  </si>
  <si>
    <t>1970-1979</t>
  </si>
  <si>
    <t>1980-1989</t>
  </si>
  <si>
    <t>1990-1999</t>
  </si>
  <si>
    <t>2000-2009</t>
  </si>
  <si>
    <t>Город</t>
  </si>
  <si>
    <t>Республика Калмыкия</t>
  </si>
  <si>
    <t>Регионы</t>
  </si>
  <si>
    <t>Регион</t>
  </si>
  <si>
    <t>Пожалуйста, выберите</t>
  </si>
  <si>
    <t>ГСОП</t>
  </si>
  <si>
    <t>ГСОП (интервал)</t>
  </si>
  <si>
    <t>Интервал</t>
  </si>
  <si>
    <t>Помещения</t>
  </si>
  <si>
    <t>есть</t>
  </si>
  <si>
    <t>нет</t>
  </si>
  <si>
    <t>Технология системы отопления (центральное отопление)</t>
  </si>
  <si>
    <t>Контрольно-измерительные системы (многоквартирные и частные дома с центральным отоплением)</t>
  </si>
  <si>
    <t>Тип вентиляции</t>
  </si>
  <si>
    <t>Однотрубная система</t>
  </si>
  <si>
    <t>Датчики и фасадная система саморегулирования или поквартирное регулирование</t>
  </si>
  <si>
    <t>Естественная</t>
  </si>
  <si>
    <t>Двухтрубная система</t>
  </si>
  <si>
    <t>Датчики и централизованная система регулирования</t>
  </si>
  <si>
    <t>Механическая - сбалансированная</t>
  </si>
  <si>
    <t>Датчики без систем саморегулирования</t>
  </si>
  <si>
    <t>Механическая - только поддув</t>
  </si>
  <si>
    <t>Фасадная система саморегулирования или поквартирное регулирование без датчиков</t>
  </si>
  <si>
    <t>Централизованная система регулирования без датчиков</t>
  </si>
  <si>
    <t>Нет ни датчиков, ни системы регулирования</t>
  </si>
  <si>
    <t>Октябрь</t>
  </si>
  <si>
    <t>Ср темп за окт</t>
  </si>
  <si>
    <t>ГС</t>
  </si>
  <si>
    <t>Прод-ть ОП</t>
  </si>
  <si>
    <t>Ноябрь</t>
  </si>
  <si>
    <t>Декабрь</t>
  </si>
  <si>
    <t>Январь</t>
  </si>
  <si>
    <t>Февраль</t>
  </si>
  <si>
    <t>Март</t>
  </si>
  <si>
    <t>Апрель</t>
  </si>
  <si>
    <t>м2</t>
  </si>
  <si>
    <t>м</t>
  </si>
  <si>
    <t>м3</t>
  </si>
  <si>
    <t>То же, с полотенцесушителями</t>
  </si>
  <si>
    <t>кВтч</t>
  </si>
  <si>
    <t>qвн</t>
  </si>
  <si>
    <t>вт/м2</t>
  </si>
  <si>
    <t>Акв/N</t>
  </si>
  <si>
    <t>площадь на жителя</t>
  </si>
  <si>
    <t>м2/ч</t>
  </si>
  <si>
    <t>са</t>
  </si>
  <si>
    <t>удельная теплоемкость воздуха</t>
  </si>
  <si>
    <t>кдж/кгС</t>
  </si>
  <si>
    <t>кг/м3</t>
  </si>
  <si>
    <t>pв</t>
  </si>
  <si>
    <t>плотность воздуха при расч темп внутр возд</t>
  </si>
  <si>
    <t>Кси</t>
  </si>
  <si>
    <t>К-т эфф-ти авторегулирования подачи теплоты</t>
  </si>
  <si>
    <t>ню</t>
  </si>
  <si>
    <t>к-т снижения теплопоступлений за счет тепловой инерции</t>
  </si>
  <si>
    <t>Lвент</t>
  </si>
  <si>
    <t>Вт/м2</t>
  </si>
  <si>
    <t>Стены</t>
  </si>
  <si>
    <t>Сумма огр констр</t>
  </si>
  <si>
    <t>м2*С/Вт</t>
  </si>
  <si>
    <t>К-т положения</t>
  </si>
  <si>
    <t>Подвал</t>
  </si>
  <si>
    <t>Чердак</t>
  </si>
  <si>
    <t>Теплый подвал</t>
  </si>
  <si>
    <t>Теплый чердак</t>
  </si>
  <si>
    <t>расход наружного приточного воздуха пдля вентиляции, поступающего через клапаны в наружных орграждения х или путем открывания оконэ</t>
  </si>
  <si>
    <t>Кок</t>
  </si>
  <si>
    <t>к-т влияния встречного теплового потока</t>
  </si>
  <si>
    <t xml:space="preserve">коэффициент, учитывающий повышенную инфильтрацию наружного воздуха в квартирах с низкой герметичностью окон и инфильтрацию наружного воздуха через воздухопроницаемые элементы </t>
  </si>
  <si>
    <t>м3/чел</t>
  </si>
  <si>
    <t>beta</t>
  </si>
  <si>
    <t>Трансмиссионные потери</t>
  </si>
  <si>
    <t>продолжительность ОП</t>
  </si>
  <si>
    <t>Вт/С</t>
  </si>
  <si>
    <t>удельная величина бытовых теплопоступлений</t>
  </si>
  <si>
    <t>к-т, учитывающий дополнительные теплопотери системы отопления</t>
  </si>
  <si>
    <t>ноябрь</t>
  </si>
  <si>
    <t>декабрь</t>
  </si>
  <si>
    <t>январь</t>
  </si>
  <si>
    <t>февраль</t>
  </si>
  <si>
    <t>март</t>
  </si>
  <si>
    <t>апрель</t>
  </si>
  <si>
    <t>оп</t>
  </si>
  <si>
    <t>ОП</t>
  </si>
  <si>
    <t>ГВС</t>
  </si>
  <si>
    <t xml:space="preserve">нормируемый средний за год </t>
  </si>
  <si>
    <t>сутки</t>
  </si>
  <si>
    <t>a</t>
  </si>
  <si>
    <t>коэффициент, учитывающий снижение уровня водоразбора в летний период</t>
  </si>
  <si>
    <t>количество суток работы системы горячего водоснабжения в году с учетом отключения на профилактику в течение 2 недель</t>
  </si>
  <si>
    <t xml:space="preserve">Расчетный часовой в средние сутки за неделю в отопительный период расход горячей воды многоквартирным домом </t>
  </si>
  <si>
    <t>Расчетный максимально часовой за сутки наибольшего водопотребления в отопительный период расход горячей воды многоквартирным домом</t>
  </si>
  <si>
    <r>
      <t xml:space="preserve">Число жителей </t>
    </r>
    <r>
      <rPr>
        <i/>
        <sz val="12"/>
        <color theme="1"/>
        <rFont val="Times New Roman"/>
        <family val="1"/>
        <charset val="204"/>
      </rPr>
      <t>m</t>
    </r>
  </si>
  <si>
    <r>
      <t xml:space="preserve">Значение коэффициента </t>
    </r>
    <r>
      <rPr>
        <i/>
        <sz val="12"/>
        <color theme="1"/>
        <rFont val="Times New Roman"/>
        <family val="1"/>
        <charset val="204"/>
      </rPr>
      <t>k</t>
    </r>
    <r>
      <rPr>
        <i/>
        <vertAlign val="subscript"/>
        <sz val="12"/>
        <color theme="1"/>
        <rFont val="Times New Roman"/>
        <family val="1"/>
        <charset val="204"/>
      </rPr>
      <t>час</t>
    </r>
  </si>
  <si>
    <t>Удельный среднечасовой за отопительный период расход тепловой энергии на ГВС</t>
  </si>
  <si>
    <t xml:space="preserve">tгв </t>
  </si>
  <si>
    <t>коэффициент, учитывающий потери тепловой энергии трубопроводами системы ГВС</t>
  </si>
  <si>
    <r>
      <t xml:space="preserve">Коэффициент </t>
    </r>
    <r>
      <rPr>
        <i/>
        <sz val="12"/>
        <color theme="1"/>
        <rFont val="Times New Roman"/>
        <family val="1"/>
        <charset val="204"/>
      </rPr>
      <t>k</t>
    </r>
    <r>
      <rPr>
        <vertAlign val="subscript"/>
        <sz val="12"/>
        <color theme="1"/>
        <rFont val="Times New Roman"/>
        <family val="1"/>
        <charset val="204"/>
      </rPr>
      <t>тр</t>
    </r>
  </si>
  <si>
    <t>при наличии сетей горячего водоснабжения после ЦТП</t>
  </si>
  <si>
    <t>без сетей горячего водоснабжения</t>
  </si>
  <si>
    <t>С изолированными стояками без полотенцесушителей</t>
  </si>
  <si>
    <t>С неизолированными стояками и полотенцесушителями</t>
  </si>
  <si>
    <r>
      <t>м</t>
    </r>
    <r>
      <rPr>
        <vertAlign val="superscript"/>
        <sz val="11"/>
        <color theme="1"/>
        <rFont val="Calibri"/>
        <family val="2"/>
        <charset val="204"/>
        <scheme val="minor"/>
      </rPr>
      <t>3</t>
    </r>
    <r>
      <rPr>
        <sz val="11"/>
        <color theme="1"/>
        <rFont val="Calibri"/>
        <family val="2"/>
        <charset val="204"/>
        <scheme val="minor"/>
      </rPr>
      <t xml:space="preserve">/ч </t>
    </r>
  </si>
  <si>
    <r>
      <t>t</t>
    </r>
    <r>
      <rPr>
        <i/>
        <vertAlign val="subscript"/>
        <sz val="11"/>
        <color theme="1"/>
        <rFont val="Calibri"/>
        <family val="2"/>
        <charset val="204"/>
        <scheme val="minor"/>
      </rPr>
      <t>хв</t>
    </r>
    <r>
      <rPr>
        <sz val="11"/>
        <color theme="1"/>
        <rFont val="Calibri"/>
        <family val="2"/>
        <charset val="204"/>
        <scheme val="minor"/>
      </rPr>
      <t xml:space="preserve"> </t>
    </r>
  </si>
  <si>
    <r>
      <t>k</t>
    </r>
    <r>
      <rPr>
        <vertAlign val="subscript"/>
        <sz val="11"/>
        <color theme="1"/>
        <rFont val="Calibri"/>
        <family val="2"/>
        <charset val="204"/>
        <scheme val="minor"/>
      </rPr>
      <t>тр</t>
    </r>
    <r>
      <rPr>
        <sz val="11"/>
        <color theme="1"/>
        <rFont val="Calibri"/>
        <family val="2"/>
        <charset val="204"/>
        <scheme val="minor"/>
      </rPr>
      <t xml:space="preserve"> </t>
    </r>
  </si>
  <si>
    <r>
      <t>м</t>
    </r>
    <r>
      <rPr>
        <vertAlign val="superscript"/>
        <sz val="11"/>
        <color theme="1"/>
        <rFont val="Calibri"/>
        <family val="2"/>
        <charset val="204"/>
        <scheme val="minor"/>
      </rPr>
      <t>2</t>
    </r>
    <r>
      <rPr>
        <sz val="11"/>
        <color theme="1"/>
        <rFont val="Calibri"/>
        <family val="2"/>
        <charset val="204"/>
        <scheme val="minor"/>
      </rPr>
      <t>/чел</t>
    </r>
  </si>
  <si>
    <t>А</t>
  </si>
  <si>
    <t>ч</t>
  </si>
  <si>
    <t>Тип помещения</t>
  </si>
  <si>
    <t>Максимальная нормируемая освещен-ность, лк</t>
  </si>
  <si>
    <r>
      <t>Максимально допу-стимая удельная мощность, Вт/м</t>
    </r>
    <r>
      <rPr>
        <vertAlign val="superscript"/>
        <sz val="12"/>
        <color theme="1"/>
        <rFont val="Times New Roman"/>
        <family val="1"/>
        <charset val="204"/>
      </rPr>
      <t>2</t>
    </r>
    <r>
      <rPr>
        <sz val="12"/>
        <color theme="1"/>
        <rFont val="Times New Roman"/>
        <family val="1"/>
        <charset val="204"/>
      </rPr>
      <t>,    не более</t>
    </r>
  </si>
  <si>
    <t>Входные вестибюли, лифтовые холлы</t>
  </si>
  <si>
    <t xml:space="preserve">Лестницы, поэтажные межквартирные коридоры </t>
  </si>
  <si>
    <t>Технические чердаки и подполья</t>
  </si>
  <si>
    <t>Объект</t>
  </si>
  <si>
    <t>Режим работы</t>
  </si>
  <si>
    <t>Географичес-кая широта</t>
  </si>
  <si>
    <r>
      <t>z</t>
    </r>
    <r>
      <rPr>
        <vertAlign val="subscript"/>
        <sz val="12"/>
        <color rgb="FF000000"/>
        <rFont val="Times New Roman"/>
        <family val="1"/>
        <charset val="204"/>
      </rPr>
      <t>осв</t>
    </r>
    <r>
      <rPr>
        <vertAlign val="superscript"/>
        <sz val="12"/>
        <color rgb="FF000000"/>
        <rFont val="Times New Roman"/>
        <family val="1"/>
        <charset val="204"/>
      </rPr>
      <t>год</t>
    </r>
    <r>
      <rPr>
        <sz val="12"/>
        <color rgb="FF000000"/>
        <rFont val="Times New Roman"/>
        <family val="1"/>
        <charset val="204"/>
      </rPr>
      <t>, ч</t>
    </r>
  </si>
  <si>
    <t>Освещение общедомовых помещений:</t>
  </si>
  <si>
    <t>с естественным освещением</t>
  </si>
  <si>
    <t>лестничная клетка</t>
  </si>
  <si>
    <t xml:space="preserve"> вестибюль 1-го этажа лифтовый холл</t>
  </si>
  <si>
    <t>любая</t>
  </si>
  <si>
    <t>То же без естественного       освещения</t>
  </si>
  <si>
    <t>межквартирный коридор, лифтовой холл</t>
  </si>
  <si>
    <t>техподполье</t>
  </si>
  <si>
    <t>технический чердак</t>
  </si>
  <si>
    <t>машинное помещение лифтов</t>
  </si>
  <si>
    <t>Лифты</t>
  </si>
  <si>
    <t>−</t>
  </si>
  <si>
    <t>Таблица 8.3 – КПД передачи электродвигателя</t>
  </si>
  <si>
    <t>Тип передачи</t>
  </si>
  <si>
    <r>
      <t xml:space="preserve">Значение </t>
    </r>
    <r>
      <rPr>
        <i/>
        <sz val="12"/>
        <color theme="1"/>
        <rFont val="Times New Roman"/>
        <family val="1"/>
        <charset val="204"/>
      </rPr>
      <t>η</t>
    </r>
    <r>
      <rPr>
        <i/>
        <vertAlign val="subscript"/>
        <sz val="12"/>
        <color theme="1"/>
        <rFont val="Times New Roman"/>
        <family val="1"/>
        <charset val="204"/>
      </rPr>
      <t>пер</t>
    </r>
  </si>
  <si>
    <t>Насадка на вал электродвигателя</t>
  </si>
  <si>
    <t>Ременная</t>
  </si>
  <si>
    <t>0,94-0,98</t>
  </si>
  <si>
    <t>Муфтовая</t>
  </si>
  <si>
    <t>0,97-0,99</t>
  </si>
  <si>
    <t>Редукторная</t>
  </si>
  <si>
    <t>0,88-0,96</t>
  </si>
  <si>
    <t>КПД передачи электродвигателя</t>
  </si>
  <si>
    <t>I и II</t>
  </si>
  <si>
    <t>III и IV</t>
  </si>
  <si>
    <t>С водопроводом и канализацией без ванн</t>
  </si>
  <si>
    <t>То же, с газоснабжением</t>
  </si>
  <si>
    <t>С водопроводом, канализацией и ваннами с водонагревателями, работающими на твердом топливе</t>
  </si>
  <si>
    <t>То же, с газовыми водонагревателями</t>
  </si>
  <si>
    <t>С централизованным горячим водоснабжением и сидячими ваннами</t>
  </si>
  <si>
    <t>То же, с ваннами длиной более 1500-1700 мм</t>
  </si>
  <si>
    <t>Материалы стен</t>
  </si>
  <si>
    <t>Материалы чердачных перекрытий</t>
  </si>
  <si>
    <t>Материалы подвальных перекрытий</t>
  </si>
  <si>
    <t>И-209А</t>
  </si>
  <si>
    <t>Текущий</t>
  </si>
  <si>
    <t>Окна квартир</t>
  </si>
  <si>
    <t>Окна ЛЛУ</t>
  </si>
  <si>
    <t>Материалы</t>
  </si>
  <si>
    <t>Кабардино-Балкарская Республика</t>
  </si>
  <si>
    <t>Камчатская область</t>
  </si>
  <si>
    <t>Карачаево-Черкесская Республика</t>
  </si>
  <si>
    <t>Москва г.</t>
  </si>
  <si>
    <t>Ненецкий АО (Архангельская область)</t>
  </si>
  <si>
    <t>Пермская область</t>
  </si>
  <si>
    <t>республика Алтай</t>
  </si>
  <si>
    <t>Республика Северная Осетия</t>
  </si>
  <si>
    <t>Республика Тыва</t>
  </si>
  <si>
    <t>Республика Хакассия</t>
  </si>
  <si>
    <t>Санкт-Петербург г.</t>
  </si>
  <si>
    <t>Удмуртская Республика</t>
  </si>
  <si>
    <t>Ханты-Мансийский автономный округ (Югра)</t>
  </si>
  <si>
    <t>Чеченская Республика</t>
  </si>
  <si>
    <t xml:space="preserve">Чувашская Республика </t>
  </si>
  <si>
    <t>Ямало-Ненецкий автономный округ</t>
  </si>
  <si>
    <t>Республика Крым</t>
  </si>
  <si>
    <t>Севастополь г.</t>
  </si>
  <si>
    <t>Бийск-Зональная</t>
  </si>
  <si>
    <t>Архара</t>
  </si>
  <si>
    <t>Норский Склад</t>
  </si>
  <si>
    <t>Вытегра</t>
  </si>
  <si>
    <t>Никольск</t>
  </si>
  <si>
    <t>Александровский Завод</t>
  </si>
  <si>
    <t>Нерчинский Завод</t>
  </si>
  <si>
    <t>Дубровское</t>
  </si>
  <si>
    <t>Зима</t>
  </si>
  <si>
    <t>Илимск</t>
  </si>
  <si>
    <t>Наканно</t>
  </si>
  <si>
    <t>Саянск</t>
  </si>
  <si>
    <t>Усть-Ордынский</t>
  </si>
  <si>
    <t>Апука</t>
  </si>
  <si>
    <t>Ича</t>
  </si>
  <si>
    <t xml:space="preserve">Корф </t>
  </si>
  <si>
    <t>Лопатка, мыс</t>
  </si>
  <si>
    <t>Мильково</t>
  </si>
  <si>
    <t>о.Беринга</t>
  </si>
  <si>
    <t xml:space="preserve">Оссора </t>
  </si>
  <si>
    <t>Петропавловск- Камчатский</t>
  </si>
  <si>
    <t xml:space="preserve">Усть- Воямполка </t>
  </si>
  <si>
    <t>Усть- Хайрюзово</t>
  </si>
  <si>
    <t>Усть-Камчатск</t>
  </si>
  <si>
    <t>Тисуль</t>
  </si>
  <si>
    <t>Нагорское</t>
  </si>
  <si>
    <t>Байкит</t>
  </si>
  <si>
    <t>Ванавара</t>
  </si>
  <si>
    <t>Диксон</t>
  </si>
  <si>
    <t xml:space="preserve">Дудинка </t>
  </si>
  <si>
    <t xml:space="preserve">Ессей </t>
  </si>
  <si>
    <t>Тура</t>
  </si>
  <si>
    <t>Хатанга</t>
  </si>
  <si>
    <t xml:space="preserve">Челюскин, мыс </t>
  </si>
  <si>
    <t>Магадан (Нагаева, бухта)</t>
  </si>
  <si>
    <t>Ниванкюль</t>
  </si>
  <si>
    <t>Карасук</t>
  </si>
  <si>
    <t>Иссык-Куль</t>
  </si>
  <si>
    <t>Земетчино</t>
  </si>
  <si>
    <t>Бисер</t>
  </si>
  <si>
    <t>Агзу</t>
  </si>
  <si>
    <t>Богополь</t>
  </si>
  <si>
    <t>Кировский</t>
  </si>
  <si>
    <t>Маргаритово</t>
  </si>
  <si>
    <t>Посьет</t>
  </si>
  <si>
    <t>Сосуново</t>
  </si>
  <si>
    <t>Великие Луки</t>
  </si>
  <si>
    <t>Сосново- Озерское</t>
  </si>
  <si>
    <t>Уакит</t>
  </si>
  <si>
    <t>Реболы</t>
  </si>
  <si>
    <t>Объячево</t>
  </si>
  <si>
    <t>Троицко- Печорское</t>
  </si>
  <si>
    <t>Иэма</t>
  </si>
  <si>
    <t>Крест- Хальджай</t>
  </si>
  <si>
    <t>Охотский Перевоз</t>
  </si>
  <si>
    <t>Сюрен-Кюель</t>
  </si>
  <si>
    <t>Туой-Хая</t>
  </si>
  <si>
    <t>Эйик</t>
  </si>
  <si>
    <t>Ростов-на- Дону</t>
  </si>
  <si>
    <t>Санкт- Петербург</t>
  </si>
  <si>
    <t>Александровск- Сахалинский</t>
  </si>
  <si>
    <t>Рыбновск</t>
  </si>
  <si>
    <t>Холмск</t>
  </si>
  <si>
    <t>Южно- Курильск</t>
  </si>
  <si>
    <t>Южно- Сахалинск</t>
  </si>
  <si>
    <t>Шамары</t>
  </si>
  <si>
    <t>Александровское</t>
  </si>
  <si>
    <t>Демьянское</t>
  </si>
  <si>
    <t>Вяземский</t>
  </si>
  <si>
    <t>Екатерино- Никольское</t>
  </si>
  <si>
    <t>Николаевск- на-Амуре</t>
  </si>
  <si>
    <t>Софийский Прииск</t>
  </si>
  <si>
    <t>Кондинское — Ханты Мансийский АО</t>
  </si>
  <si>
    <t>Сургут — Ханты-Мансийский АО</t>
  </si>
  <si>
    <t>Ханты- Мансийск</t>
  </si>
  <si>
    <t>Порецкое</t>
  </si>
  <si>
    <t xml:space="preserve">Тарко-Сале </t>
  </si>
  <si>
    <t>Ай-Петри</t>
  </si>
  <si>
    <t>Клепинино</t>
  </si>
  <si>
    <t>Симферополь</t>
  </si>
  <si>
    <t>Феодосия</t>
  </si>
  <si>
    <t>Ялта</t>
  </si>
  <si>
    <t>Ср темп за ноя</t>
  </si>
  <si>
    <t>Ср темп за дек</t>
  </si>
  <si>
    <t>Ср темп за янв</t>
  </si>
  <si>
    <t>Ср темп за фев</t>
  </si>
  <si>
    <t>Ср темп за март</t>
  </si>
  <si>
    <t>Ср темп за апрель</t>
  </si>
  <si>
    <t>июль</t>
  </si>
  <si>
    <t>август</t>
  </si>
  <si>
    <t>сентябрь</t>
  </si>
  <si>
    <t xml:space="preserve">Ср темп </t>
  </si>
  <si>
    <t>май</t>
  </si>
  <si>
    <t>июнь</t>
  </si>
  <si>
    <t>Ср темп</t>
  </si>
  <si>
    <t>октябрь</t>
  </si>
  <si>
    <t>Тип системы ГВС</t>
  </si>
  <si>
    <t>Из стояки</t>
  </si>
  <si>
    <t>Полотенцесушители</t>
  </si>
  <si>
    <t>Сети ГВС после ЦТП</t>
  </si>
  <si>
    <t>ЦГВС</t>
  </si>
  <si>
    <t>Газовые</t>
  </si>
  <si>
    <t>Тв топл</t>
  </si>
  <si>
    <t>Ванны 1,5+</t>
  </si>
  <si>
    <t>макс нагрузка гвс</t>
  </si>
  <si>
    <t>однотруб</t>
  </si>
  <si>
    <t>двутруб</t>
  </si>
  <si>
    <t>трубы</t>
  </si>
  <si>
    <t>За ОП</t>
  </si>
  <si>
    <t>Сопротивление</t>
  </si>
  <si>
    <t>темп-ра наружная расчетная</t>
  </si>
  <si>
    <t>t черд</t>
  </si>
  <si>
    <t>t подв</t>
  </si>
  <si>
    <t>Kпов инф</t>
  </si>
  <si>
    <t>-</t>
  </si>
  <si>
    <t>С</t>
  </si>
  <si>
    <t>дней</t>
  </si>
  <si>
    <t>С-дн</t>
  </si>
  <si>
    <t xml:space="preserve">факт площадь квартир на одного жителя </t>
  </si>
  <si>
    <r>
      <t xml:space="preserve">Средняя температура наружного воздуха за отопительный период, </t>
    </r>
    <r>
      <rPr>
        <b/>
        <vertAlign val="superscript"/>
        <sz val="11"/>
        <color theme="1"/>
        <rFont val="Calibri"/>
        <family val="2"/>
        <charset val="204"/>
        <scheme val="minor"/>
      </rPr>
      <t>о</t>
    </r>
    <r>
      <rPr>
        <b/>
        <sz val="11"/>
        <color theme="1"/>
        <rFont val="Calibri"/>
        <family val="2"/>
        <scheme val="minor"/>
      </rPr>
      <t>С</t>
    </r>
  </si>
  <si>
    <t>Субъект Российской Федерации</t>
  </si>
  <si>
    <t>Город (населенный пункт)</t>
  </si>
  <si>
    <t>Число этажей, ед</t>
  </si>
  <si>
    <t>Число жителей, чел</t>
  </si>
  <si>
    <t>Общие данные по многоквартирному дому (МКД)</t>
  </si>
  <si>
    <t>Типовая строительная серия</t>
  </si>
  <si>
    <t>Материал и конструктивное исполнение окон в местах общего пользования</t>
  </si>
  <si>
    <t>Подвал или техническое подполье</t>
  </si>
  <si>
    <t>Способ расчета</t>
  </si>
  <si>
    <t>Детальный</t>
  </si>
  <si>
    <t>в квартирах</t>
  </si>
  <si>
    <t>в местах общего пользования</t>
  </si>
  <si>
    <t>Расчетные (нормативные) значения температур внутреннего воздуха</t>
  </si>
  <si>
    <t>Вид системы отопления</t>
  </si>
  <si>
    <t>Система отопления МКД</t>
  </si>
  <si>
    <t>Коэффициент эффективности автоматического регулирования подачи тепловой энергии в систему отопления</t>
  </si>
  <si>
    <t>Однотрубная система отопления без терморегулирующих клапанов (термостатов) при непосредственном присоединении к тепловой сети</t>
  </si>
  <si>
    <t>Двухтрубная система отопления без терморегулирующих клапанов (термостатов) при непосредственном присоединении к тепловой сети</t>
  </si>
  <si>
    <t>Однотрубная система отопления с терморегулирующими клапанами (термостатами) при непосредственном присоединении к тепловой сети</t>
  </si>
  <si>
    <t>Двухтрубная система отопления с терморегулирующими клапанами (термостатами) при непосредственном присоединении к тепловой сети</t>
  </si>
  <si>
    <t xml:space="preserve">Однотрубная система отопления без терморегулирующих клапанов (термостатов) при наличии элеваторного узла </t>
  </si>
  <si>
    <t xml:space="preserve">Двухтрубная система отопления без терморегулирующих клапанов (термостатов) при наличии элеваторного узла </t>
  </si>
  <si>
    <t>Однотрубная система отопления с терморегулирующими клапанами (термостатами) при наличии элеваторного узла</t>
  </si>
  <si>
    <t>Двухтрубная система отопления с терморегулирующими клапанами (термостатами) при наличии элеваторного узла</t>
  </si>
  <si>
    <t>Однотрубная система отопления без терморегулирующих клапанов (термостатов) при наличии автоматизированного  узла управления системой отопления (АУУ СО)</t>
  </si>
  <si>
    <t xml:space="preserve">Двухтрубная система отопления без терморегулирующих клапанов (термостатов) при наличии автоматизированного узла управления системой отопления (АУУ СО) </t>
  </si>
  <si>
    <t>Однотрубная система отопления с терморегулирующими клапанами (термостатами) при наличии автоматизированного  узла управления системой отопления (АУУ СО)</t>
  </si>
  <si>
    <t xml:space="preserve">Двухтрубная система отопления с терморегулирующими клапанами (термостатами) при наличии автоматизированного узла управления системой отопления (АУУ СО) </t>
  </si>
  <si>
    <t>Однотрубная система отопления без терморегулирующих клапанов (термостатов) при наличии автоматизированного  индивидуального теплового пункта (АИТП)</t>
  </si>
  <si>
    <t xml:space="preserve">Двухтрубная система отопления без терморегулирующих клапанов (термостатов) при наличии автоматизированного индивидуального теплового пункта (АИТП) </t>
  </si>
  <si>
    <t>Однотрубная система отопления с терморегулирующими клапанами (термостатами) при наличии автоматизированного индивидуального теплового пункта  (АИТП)</t>
  </si>
  <si>
    <t xml:space="preserve">Двухтрубная система отопления с терморегулирующими клапанами (термостатами) при наличии автоматизированного индивидуального теплового пункта (АИТП) </t>
  </si>
  <si>
    <t>Система горячего водоснабжения МКД</t>
  </si>
  <si>
    <t>Расчетные (нормативные) значения температур горячей и холодной воды</t>
  </si>
  <si>
    <t xml:space="preserve">Месяц, когда происходит плановое прекращение горячей воды </t>
  </si>
  <si>
    <t>Вид горячего водоснабжения</t>
  </si>
  <si>
    <t>Коэффициент, учитывающий изменение среднего расхода воды на горячее водоснабжение в неотопительный (летний) период по отношению к отопительному периоду</t>
  </si>
  <si>
    <t>л/(сут*чел)</t>
  </si>
  <si>
    <t>Норма расхода горячей воды в средние сутки</t>
  </si>
  <si>
    <t>Тип системы горячего водоснабжения</t>
  </si>
  <si>
    <t>С полотенцесушителями в ванных комнатах и изолированными стояками горячей воды</t>
  </si>
  <si>
    <t>Без полотенцесушителей в ванных комнатах и изолированными стояками горячей воды</t>
  </si>
  <si>
    <t>С полотенцесушителями в ванных комнатах и неизолированными стояками горячей воды</t>
  </si>
  <si>
    <t>Без полотенцесушителей в ванных комнатах и неизолированными стояками горячей воды</t>
  </si>
  <si>
    <t>При наличии наружной сети горячего водоснабжения (после центрального теплового пункта или источника теплоснабжения)</t>
  </si>
  <si>
    <r>
      <t>Коэффициент К</t>
    </r>
    <r>
      <rPr>
        <b/>
        <vertAlign val="subscript"/>
        <sz val="11"/>
        <color theme="1"/>
        <rFont val="Calibri"/>
        <family val="2"/>
        <charset val="204"/>
        <scheme val="minor"/>
      </rPr>
      <t>тп</t>
    </r>
  </si>
  <si>
    <t>Схема централизованной системы горячего водоснабжения</t>
  </si>
  <si>
    <t>Элеваторный узел</t>
  </si>
  <si>
    <t>АУУ СО</t>
  </si>
  <si>
    <t>АИТП</t>
  </si>
  <si>
    <t>Термостаты</t>
  </si>
  <si>
    <t>Без (непоср)</t>
  </si>
  <si>
    <t>Месяцы</t>
  </si>
  <si>
    <t>Май</t>
  </si>
  <si>
    <t>Июнь</t>
  </si>
  <si>
    <t>Июль</t>
  </si>
  <si>
    <t>Август</t>
  </si>
  <si>
    <t>Сентябрь</t>
  </si>
  <si>
    <t xml:space="preserve">Год постройки </t>
  </si>
  <si>
    <t xml:space="preserve"> с повышенными требованиями к благоустройству</t>
  </si>
  <si>
    <t xml:space="preserve"> оборудовано умывальниками, мойками, душами и ваннами  с квартирными регуляторами давления</t>
  </si>
  <si>
    <t>оборудовано умывальниками, мойками, душами и ваннами длиной от 1500 до 1700 мм</t>
  </si>
  <si>
    <t>оборудовано умывальниками, мойками и душами</t>
  </si>
  <si>
    <t>оборудовано умывальниками, мойками, душами и сидячими ваннами</t>
  </si>
  <si>
    <t>оборудованное умывальниками, мойками, душами и ваннами  с квартирными регуляторами давления</t>
  </si>
  <si>
    <t xml:space="preserve"> свыше 12 этажей с повышенными требованиями к благоустройству</t>
  </si>
  <si>
    <t>оборудованное умывальниками, мойками, душами и ваннами длиной от 1500 до 1700 мм</t>
  </si>
  <si>
    <t>оборудованное умывальниками, мойками, душами и сидячими ваннами</t>
  </si>
  <si>
    <t xml:space="preserve">с централизованным горячим водоснабжением, </t>
  </si>
  <si>
    <t>Число окон в квартирах</t>
  </si>
  <si>
    <t>Таблица 1</t>
  </si>
  <si>
    <t>Источник: РМД 23-16-2012 "Рекомендации по обеспечению энергетической эффективности жилых и общественных зданий"</t>
  </si>
  <si>
    <t>Таблица 2</t>
  </si>
  <si>
    <t>Наименование силового оборудования</t>
  </si>
  <si>
    <t>Электрическая мощность, кВт</t>
  </si>
  <si>
    <t>Период работы в течении года, час</t>
  </si>
  <si>
    <t>Период работы при применении более совершенной программы управления, час</t>
  </si>
  <si>
    <t>Лифтовое оборудование (лифт)</t>
  </si>
  <si>
    <t>минимальное значение</t>
  </si>
  <si>
    <t>823 (не внушает доверия)</t>
  </si>
  <si>
    <t>максимальное значение</t>
  </si>
  <si>
    <t>среднее значение</t>
  </si>
  <si>
    <t>Наименование показателя</t>
  </si>
  <si>
    <t>Ед. изм,</t>
  </si>
  <si>
    <t>от 1 до 3 включительно</t>
  </si>
  <si>
    <t>от 4 до 6 включительно</t>
  </si>
  <si>
    <t>от 7 до 10 включительно</t>
  </si>
  <si>
    <t>от 11 до 15 включительно</t>
  </si>
  <si>
    <t xml:space="preserve">свыше 15 </t>
  </si>
  <si>
    <t>Базовый уровень удельного годового расход электроэнергии на системы инженерного обеспечения жилых зданий</t>
  </si>
  <si>
    <t>кВт*ч</t>
  </si>
  <si>
    <t>Источник: ГОСТ Р 54964-2012 "Оценка соответствия.  Экологические требования к объектам недвижимости"</t>
  </si>
  <si>
    <t>Количество этажей (этажность)</t>
  </si>
  <si>
    <t>Число подъездов (секций)</t>
  </si>
  <si>
    <t>Площадь мест общего пользования</t>
  </si>
  <si>
    <t>Высота этажа</t>
  </si>
  <si>
    <t>Площадь наружных стен</t>
  </si>
  <si>
    <r>
      <t xml:space="preserve">Количество окон </t>
    </r>
    <r>
      <rPr>
        <sz val="11"/>
        <color theme="1"/>
        <rFont val="Calibri"/>
        <family val="2"/>
        <charset val="204"/>
        <scheme val="minor"/>
      </rPr>
      <t>и балконных дверей (всего), в том числе:</t>
    </r>
  </si>
  <si>
    <t>Количество окон и балконных дверей в жилых помещениях (квартирах)</t>
  </si>
  <si>
    <r>
      <t xml:space="preserve">Количество окон </t>
    </r>
    <r>
      <rPr>
        <sz val="11"/>
        <color theme="1"/>
        <rFont val="Calibri"/>
        <family val="2"/>
        <charset val="204"/>
        <scheme val="minor"/>
      </rPr>
      <t>в местах общего пользования</t>
    </r>
  </si>
  <si>
    <r>
      <t xml:space="preserve">Площадь окон </t>
    </r>
    <r>
      <rPr>
        <sz val="11"/>
        <color theme="1"/>
        <rFont val="Calibri"/>
        <family val="2"/>
        <charset val="204"/>
        <scheme val="minor"/>
      </rPr>
      <t>и балконных дверей (всего), в том числе:</t>
    </r>
  </si>
  <si>
    <t>Площадь окон и балконных дверей в жилых помещениях (квартирах)</t>
  </si>
  <si>
    <r>
      <t xml:space="preserve">Площадь окон </t>
    </r>
    <r>
      <rPr>
        <sz val="11"/>
        <color theme="1"/>
        <rFont val="Calibri"/>
        <family val="2"/>
        <charset val="204"/>
        <scheme val="minor"/>
      </rPr>
      <t>в местах общего пользования</t>
    </r>
  </si>
  <si>
    <t>Количество входных наружных дверей</t>
  </si>
  <si>
    <t>Площадь  входных наружных дверей</t>
  </si>
  <si>
    <t>Площадь  перекрытия над подвалом или техническим подпольем</t>
  </si>
  <si>
    <t>ед</t>
  </si>
  <si>
    <t>Число замененных окон</t>
  </si>
  <si>
    <t>Число окон в МОП</t>
  </si>
  <si>
    <t>Длина</t>
  </si>
  <si>
    <t>Ширина</t>
  </si>
  <si>
    <t>Ограждающие конструкции</t>
  </si>
  <si>
    <t>Окна</t>
  </si>
  <si>
    <t>Двери</t>
  </si>
  <si>
    <t>Таблица 3</t>
  </si>
  <si>
    <t>Наименование насосного оборудования</t>
  </si>
  <si>
    <t>Значение</t>
  </si>
  <si>
    <t>Примечание</t>
  </si>
  <si>
    <t>Насосы системы отопления</t>
  </si>
  <si>
    <r>
      <t xml:space="preserve">Удельная производительность насоса (для температурного графика 95/70 </t>
    </r>
    <r>
      <rPr>
        <vertAlign val="superscript"/>
        <sz val="10"/>
        <color theme="1"/>
        <rFont val="Times New Roman"/>
        <family val="1"/>
        <charset val="204"/>
      </rPr>
      <t>о</t>
    </r>
    <r>
      <rPr>
        <sz val="10"/>
        <color theme="1"/>
        <rFont val="Times New Roman"/>
        <family val="1"/>
        <charset val="204"/>
      </rPr>
      <t>С)</t>
    </r>
  </si>
  <si>
    <t>т/Гкал</t>
  </si>
  <si>
    <r>
      <t xml:space="preserve">28,57 т/Гкал - для температурного графика 105/70 </t>
    </r>
    <r>
      <rPr>
        <vertAlign val="superscript"/>
        <sz val="9"/>
        <color theme="1"/>
        <rFont val="Times New Roman"/>
        <family val="1"/>
        <charset val="204"/>
      </rPr>
      <t>о</t>
    </r>
    <r>
      <rPr>
        <sz val="9"/>
        <color theme="1"/>
        <rFont val="Times New Roman"/>
        <family val="1"/>
        <charset val="204"/>
      </rPr>
      <t>С</t>
    </r>
  </si>
  <si>
    <t>то же</t>
  </si>
  <si>
    <t>м3/кВт*ч</t>
  </si>
  <si>
    <t>Годовой расход теплоносителя, циркулирующий через насос системы отопления</t>
  </si>
  <si>
    <t>Удельная производительность умножается на величину тепловых потерь (всего теплопотери)</t>
  </si>
  <si>
    <t xml:space="preserve">Напор насоса </t>
  </si>
  <si>
    <t>КПД насоса системы отопления</t>
  </si>
  <si>
    <t>Обычно КПД  стандартного насоса находится в пределе 65-85%</t>
  </si>
  <si>
    <t>Принято, когда насос находится на одном валу с двигателем</t>
  </si>
  <si>
    <t>Удельное потребление электроэнергии насосом системы отопления</t>
  </si>
  <si>
    <t>кВт*ч/м3</t>
  </si>
  <si>
    <t>Циркуляционные насосы системы горячего водоснабжения</t>
  </si>
  <si>
    <t>м3/ч</t>
  </si>
  <si>
    <t>Коэффициент циркуляции</t>
  </si>
  <si>
    <t>Принимается 30-40% от среднего расхода горячей воды</t>
  </si>
  <si>
    <t>Производительность циркуляционного насоса системы горячего водоснабжения</t>
  </si>
  <si>
    <t>Период работы циркуляционного насоса</t>
  </si>
  <si>
    <t xml:space="preserve">Принимается равным времени работы системы ГВС в течении года </t>
  </si>
  <si>
    <t>Потребление электроэнергии насосом системы горячего водоснабжения</t>
  </si>
  <si>
    <t>Таблица 4</t>
  </si>
  <si>
    <t>Коэффициент часовой неравномерности водопотребления (аппроксимация)</t>
  </si>
  <si>
    <t>Доступно</t>
  </si>
  <si>
    <t>Ошибка</t>
  </si>
  <si>
    <t>Выбрано</t>
  </si>
  <si>
    <t>До ремонта</t>
  </si>
  <si>
    <t>После ремонта</t>
  </si>
  <si>
    <t>До</t>
  </si>
  <si>
    <t>После</t>
  </si>
  <si>
    <t>Материал</t>
  </si>
  <si>
    <t>Qогр,</t>
  </si>
  <si>
    <t>температура отапл,чердака</t>
  </si>
  <si>
    <t>температура отапл,подвала</t>
  </si>
  <si>
    <t xml:space="preserve">g гв,ср,сут,от,п,ж,расч </t>
  </si>
  <si>
    <t>л/(чел,*сут,)</t>
  </si>
  <si>
    <t xml:space="preserve">aгв,табл,А,2 </t>
  </si>
  <si>
    <t>Gгв,ср</t>
  </si>
  <si>
    <t>Gгв,макс</t>
  </si>
  <si>
    <t>qгв,ср,ч</t>
  </si>
  <si>
    <t>температура горячей воды; (СанПиН 2,1,4,2496 )</t>
  </si>
  <si>
    <t>температура холодной воды; (СанПиН 2,1,4,2496 )</t>
  </si>
  <si>
    <t xml:space="preserve">Азас,норм </t>
  </si>
  <si>
    <t>Азас,факт</t>
  </si>
  <si>
    <t>о,Беринга</t>
  </si>
  <si>
    <t>Санкт-Петербург г,</t>
  </si>
  <si>
    <t>Им, Полины Осипенко</t>
  </si>
  <si>
    <t xml:space="preserve">*Where data was not available for a certain region (Ingushetia, Kurgan, Karachay-Cherkessia,Ulyanovsk), data from adjacent regions were used, </t>
  </si>
  <si>
    <t>Ед, изм,</t>
  </si>
  <si>
    <t xml:space="preserve">таблица А,2 СП 30,13330) </t>
  </si>
  <si>
    <t>Ед, изм</t>
  </si>
  <si>
    <t>м,вод,ст</t>
  </si>
  <si>
    <t>6-7 м,вод,ст -  для систем отопления с зависимым подключением к тепловой сети; 8-10 м,вод,ст - для систем отопления с независимым подключенем к тепловой сети</t>
  </si>
  <si>
    <t>10-12 м,вод,ст - для циркуляционных насосов системы горячего водоснабжения</t>
  </si>
  <si>
    <t>Б</t>
  </si>
  <si>
    <t>кирпич</t>
  </si>
  <si>
    <t>керамзитобетонная 1-слойная панель</t>
  </si>
  <si>
    <t xml:space="preserve"> ж/б 3-х слойная панель с утеплителем</t>
  </si>
  <si>
    <t>крупноблочные</t>
  </si>
  <si>
    <t>дерево</t>
  </si>
  <si>
    <t>ПВХ</t>
  </si>
  <si>
    <t>алюминий</t>
  </si>
  <si>
    <t>ж/б панель 1-слойная с утеплителем</t>
  </si>
  <si>
    <t>ж/б панель 3-слойная с утеплителем</t>
  </si>
  <si>
    <t>к/б панель 1-слойная с утеплителем</t>
  </si>
  <si>
    <t>к/б панель 3-слойная с утеплителем</t>
  </si>
  <si>
    <r>
      <t>Таблица 3. Приведенное сопротивление теплопередаче окон, балконных дверей и фонарей</t>
    </r>
    <r>
      <rPr>
        <sz val="9"/>
        <color rgb="FF000000"/>
        <rFont val="Verdana"/>
        <family val="2"/>
        <charset val="204"/>
      </rPr>
      <t> (справочное)</t>
    </r>
  </si>
  <si>
    <t>Заполнение светового проема</t>
  </si>
  <si>
    <r>
      <t>Приведенное сопротивление теплопередаче R</t>
    </r>
    <r>
      <rPr>
        <b/>
        <vertAlign val="subscript"/>
        <sz val="8"/>
        <color rgb="FF00008B"/>
        <rFont val="Verdana"/>
        <family val="2"/>
        <charset val="204"/>
      </rPr>
      <t>о</t>
    </r>
    <r>
      <rPr>
        <b/>
        <sz val="8"/>
        <color rgb="FF00008B"/>
        <rFont val="Verdana"/>
        <family val="2"/>
        <charset val="204"/>
      </rPr>
      <t> ,м² ·°С/Вт</t>
    </r>
  </si>
  <si>
    <t>1. Двойное остекление в спаренных переплетах</t>
  </si>
  <si>
    <t>2. Двойное остекление в раздельных переплетах</t>
  </si>
  <si>
    <t>3. Блоки стеклянные пустотные (с шириной швов 6 мм) размером, мм: </t>
  </si>
  <si>
    <t>194х194х98</t>
  </si>
  <si>
    <t>244х244х98</t>
  </si>
  <si>
    <t>0,31 (без переплета)</t>
  </si>
  <si>
    <t>0,33 (без переплета)</t>
  </si>
  <si>
    <t>4. Профильное стекло коробчатого сечения</t>
  </si>
  <si>
    <t>5. Двойное из органического стекла для зенитных фонарей</t>
  </si>
  <si>
    <t>6. Тройное из органического стекла для зенитных фонарей</t>
  </si>
  <si>
    <t>7. Тройное остекление в раздельно-спаренных переплетах</t>
  </si>
  <si>
    <t>8. Однокамерный стеклопакет из стекла:</t>
  </si>
  <si>
    <t>обычного</t>
  </si>
  <si>
    <t>с твердым селективным покрытием</t>
  </si>
  <si>
    <t>с мягким селективным покрытием</t>
  </si>
  <si>
    <t>9. Двухкамерный стеклопакет из стекла:</t>
  </si>
  <si>
    <t>обычного (с межстекольным расстоянием 6 мм)</t>
  </si>
  <si>
    <t>обычного (с межстекольным расстоянием 12 мм)</t>
  </si>
  <si>
    <t>с твердым селективным покрытием и заполненным аргоном</t>
  </si>
  <si>
    <t>10. Обычное стекло и однокамерный стеклопакет в раздельных переплетах из стекла:</t>
  </si>
  <si>
    <t>11. Обычное стекло и двухкамерный стеклопакет в раздельных переплетах из стекла:</t>
  </si>
  <si>
    <t>12. Два однокамерных стеклопакета в спаренных переплетах</t>
  </si>
  <si>
    <t>13. Два однокамерных стеклопакета в раздельных переплетах</t>
  </si>
  <si>
    <t>14. Четырехслойное остекление в двух спаренных переплетах</t>
  </si>
  <si>
    <t>0.80</t>
  </si>
  <si>
    <r>
      <t>*</t>
    </r>
    <r>
      <rPr>
        <sz val="7.5"/>
        <color theme="1"/>
        <rFont val="Verdana"/>
        <family val="2"/>
        <charset val="204"/>
      </rPr>
      <t> В стальных переплетах</t>
    </r>
  </si>
  <si>
    <t>Примечания: </t>
  </si>
  <si>
    <t>1. К мягким селективным покрытиям стекла относят покрытия с тепловой эмиссией менее 0,15, к твердым - более 0,15. </t>
  </si>
  <si>
    <t>2. Значения приведенных сопротивлений теплопередаче заполнений световых проемов даны для случаев, когда отношение площади остекления к площади заполнения светового проема равно 0,75. </t>
  </si>
  <si>
    <t>3. Значения приведенных сопротивлений теплопередаче, указанные в таблице, допускается применять в качестве расчетных при отсутствии этих значений в стандартах или технических условиях на конструкции или не подтвержденных результатами испытаний. </t>
  </si>
  <si>
    <t>4. Температура внутренней поверхности конструктивных элементов окон зданий (кроме производственных) должна быть не ниже 3°С при расчетной температуре наружного воздуха.</t>
  </si>
  <si>
    <t>дерево, ПВХ</t>
  </si>
  <si>
    <t>Система электроснабжения МКД</t>
  </si>
  <si>
    <t>2) При ориентировочном расчете пользователь вводит только данные по количеству лифтов. Сам расчет выполняется автоматически по данным таблицы 2 на листе "Система электроснабжения"(по формуле Елифт = Nлифт*Zлифт)</t>
  </si>
  <si>
    <t>3) При ориентировочном расчете пользователь вводит только данные по количеству насосного оборудования (всего и работающего). Сам расчет выполняется автоматически по данным таблицы 3 на листе "Система электроснабжения"(по формуле Енас = Енас.от+Енас.гвс+Енас.хвс)</t>
  </si>
  <si>
    <t>Подъезды (наружное освещение):</t>
  </si>
  <si>
    <t>Вид осветительных приборов</t>
  </si>
  <si>
    <t>лампы накаливания</t>
  </si>
  <si>
    <t>компактные люмисцентные лампы (КЛЛ)</t>
  </si>
  <si>
    <t>светодиодные осветительные приборы</t>
  </si>
  <si>
    <t>другие осветительные приборы</t>
  </si>
  <si>
    <t>Количество осветительных приборов, ед</t>
  </si>
  <si>
    <t>Наличие датчиков присутствия или движения</t>
  </si>
  <si>
    <t>При отсутствии точных данных допускается принимать: 2920-4240 часов (без датчиков присутствия или движения), 240-554 (при наличии датчиков присутствия или движения)</t>
  </si>
  <si>
    <t>Лифтовые холлы и лестничные площадки:</t>
  </si>
  <si>
    <t>Межквартирный коридор:</t>
  </si>
  <si>
    <t>При отсутствии точных данных допускается принимать: 4380-8760 часов (без датчиков присутствия или движения), 240-554 (при наличии датчиков присутствия или движения)</t>
  </si>
  <si>
    <t>При отсутствии точных данных допускается принимать 300 часов (без датчиков присутствия или движения)</t>
  </si>
  <si>
    <t>При отсутствии точных данных допускается принимать 100 часов (без датчиков присутствия или движения)</t>
  </si>
  <si>
    <t>Количество лифтов, ед</t>
  </si>
  <si>
    <t>При круглосуточной и бесперебойной работе соответствует продолжительности календарного года (8760 часов)</t>
  </si>
  <si>
    <t>Источник информации: Договор поставки тепловой энергии (договор теплоснабжения)  от энергоснабжающих или теплосетевых организаций.</t>
  </si>
  <si>
    <r>
      <t xml:space="preserve">Расчетное (максимальное) значение температуры сетевой воды в подающем трубопроводе, </t>
    </r>
    <r>
      <rPr>
        <vertAlign val="superscript"/>
        <sz val="11"/>
        <color theme="1"/>
        <rFont val="Calibri"/>
        <family val="2"/>
        <charset val="204"/>
      </rPr>
      <t>о</t>
    </r>
    <r>
      <rPr>
        <sz val="11"/>
        <color theme="1"/>
        <rFont val="Calibri"/>
        <family val="2"/>
        <charset val="204"/>
      </rPr>
      <t>С</t>
    </r>
  </si>
  <si>
    <r>
      <t xml:space="preserve">Расчетное (максимальное) значение температуры сетевой воды в обратном трубопроводе, </t>
    </r>
    <r>
      <rPr>
        <vertAlign val="superscript"/>
        <sz val="11"/>
        <color theme="1"/>
        <rFont val="Calibri"/>
        <family val="2"/>
        <charset val="204"/>
      </rPr>
      <t>о</t>
    </r>
    <r>
      <rPr>
        <sz val="11"/>
        <color theme="1"/>
        <rFont val="Calibri"/>
        <family val="2"/>
        <charset val="204"/>
      </rPr>
      <t>С</t>
    </r>
  </si>
  <si>
    <t xml:space="preserve">Температурный график внутридомовой системы отопления </t>
  </si>
  <si>
    <t>Месяц</t>
  </si>
  <si>
    <t>Потребление тепловой энергии, Гкал</t>
  </si>
  <si>
    <t>Всего, в том числе:</t>
  </si>
  <si>
    <t>Отопление</t>
  </si>
  <si>
    <t>Горячее водоснабжение</t>
  </si>
  <si>
    <t>ВСЕГО</t>
  </si>
  <si>
    <t xml:space="preserve">Расход горячей воды </t>
  </si>
  <si>
    <t>Нормативная</t>
  </si>
  <si>
    <t>Освещение мест общего пользования</t>
  </si>
  <si>
    <t>Норма расхода холодной воды в средние сутки</t>
  </si>
  <si>
    <t>Характеристики материалов в сухом состоянии</t>
  </si>
  <si>
    <t>Расчетные коэффициенты (пр</t>
  </si>
  <si>
    <t>плотность</t>
  </si>
  <si>
    <r>
      <t>р</t>
    </r>
    <r>
      <rPr>
        <vertAlign val="subscript"/>
        <sz val="9"/>
        <color theme="1"/>
        <rFont val="Times New Roman"/>
        <family val="1"/>
        <charset val="204"/>
      </rPr>
      <t>0</t>
    </r>
    <r>
      <rPr>
        <sz val="9"/>
        <color theme="1"/>
        <rFont val="Times New Roman"/>
        <family val="1"/>
        <charset val="204"/>
      </rPr>
      <t>, кг/м</t>
    </r>
    <r>
      <rPr>
        <vertAlign val="superscript"/>
        <sz val="9"/>
        <color theme="1"/>
        <rFont val="Times New Roman"/>
        <family val="1"/>
        <charset val="204"/>
      </rPr>
      <t>3</t>
    </r>
  </si>
  <si>
    <r>
      <t>удельная теплоемкость с</t>
    </r>
    <r>
      <rPr>
        <vertAlign val="subscript"/>
        <sz val="9"/>
        <color theme="1"/>
        <rFont val="Times New Roman"/>
        <family val="1"/>
        <charset val="204"/>
      </rPr>
      <t>0</t>
    </r>
    <r>
      <rPr>
        <sz val="9"/>
        <color theme="1"/>
        <rFont val="Times New Roman"/>
        <family val="1"/>
        <charset val="204"/>
      </rPr>
      <t>, кДж/(кг-° С)</t>
    </r>
  </si>
  <si>
    <t>коэффициент теплопроводности</t>
  </si>
  <si>
    <t>Вт/(м-°С)</t>
  </si>
  <si>
    <t>массового отношения</t>
  </si>
  <si>
    <t>влаги в материале</t>
  </si>
  <si>
    <t>w, %</t>
  </si>
  <si>
    <t>теплопроводности X, Вт/(м-°С)</t>
  </si>
  <si>
    <t>Теплоизоляционные материалы (ГОСТ 16381)</t>
  </si>
  <si>
    <t>Полимерные</t>
  </si>
  <si>
    <t>Пенополистирол</t>
  </si>
  <si>
    <t>»</t>
  </si>
  <si>
    <t>Пенополистирол (ГОСТ 15588)</t>
  </si>
  <si>
    <t>Пенополистирол ОАО «СП Радослав»</t>
  </si>
  <si>
    <t>То же</t>
  </si>
  <si>
    <t>Экструдированный пенополистирол Стиродур 2500С</t>
  </si>
  <si>
    <t>То же, 2800С</t>
  </si>
  <si>
    <t>То же, 3035С</t>
  </si>
  <si>
    <t>То же, 4000С</t>
  </si>
  <si>
    <t>То же, 5000С</t>
  </si>
  <si>
    <t>Пенополистирол Стиропор PS15</t>
  </si>
  <si>
    <t>То же, PS20</t>
  </si>
  <si>
    <t>То же, PS30</t>
  </si>
  <si>
    <t>Экструдированный пенополистирол «Стайрофоам»</t>
  </si>
  <si>
    <t>То же, «Руфмат»</t>
  </si>
  <si>
    <t>То же, «Руфмат А»</t>
  </si>
  <si>
    <t>То же, «Флурмат 500»</t>
  </si>
  <si>
    <t>То же, «Флурмат 500А»</t>
  </si>
  <si>
    <t>То же, «Флурмат 200»</t>
  </si>
  <si>
    <t>То же, «Флурмат 200А»</t>
  </si>
  <si>
    <t>Пенопласт ПХВ-1 и ПВ1</t>
  </si>
  <si>
    <t>100 и</t>
  </si>
  <si>
    <t>менее</t>
  </si>
  <si>
    <t>Пенополиуретан</t>
  </si>
  <si>
    <t>Плиты                                 из резольнофенолформальдегидного пенопласта (ГОСТ 20916)</t>
  </si>
  <si>
    <t>Перлитопластбетон</t>
  </si>
  <si>
    <t>Перлитофосфогелевые изделия</t>
  </si>
  <si>
    <t>Теплоизоляционные изделия из вспененного       синтетического каучука «Аэрофлекс»</t>
  </si>
  <si>
    <t>То же, «К флекс»: ЕС ST ЕСО</t>
  </si>
  <si>
    <t>60 - 80 60 - 80</t>
  </si>
  <si>
    <t>60 - 95</t>
  </si>
  <si>
    <t>1,806 1,806</t>
  </si>
  <si>
    <t>0,039 0,041</t>
  </si>
  <si>
    <t>0 0</t>
  </si>
  <si>
    <t>0,039 0,039</t>
  </si>
  <si>
    <t>Экструзионный пенополистирол «Пеноплэкс», тип 35</t>
  </si>
  <si>
    <t>То же, тип 45</t>
  </si>
  <si>
    <t>Минераловатные (ГОСТ 4640), стекловолокнистые, пеностекло, газостек</t>
  </si>
  <si>
    <t>Маты              минераловатные прошивные (ГОСТ 21880)</t>
  </si>
  <si>
    <t>Маты               минераловатные прошивные (ГОСТ 21880)</t>
  </si>
  <si>
    <t>Маты      минераловатные      на синтетическом         связующем (ГОСТ 9573)</t>
  </si>
  <si>
    <t>Плиты мягкие,  полужесткие и жесткие    минераловатные    на синтетическом     и     битумном связующих (ГОСТ 9573, ГОСТ 10140, ГОСТ 22950)</t>
  </si>
  <si>
    <t>Плиты   минераловатные    ЗАО «Минеральная вата»</t>
  </si>
  <si>
    <t>140 - 175</t>
  </si>
  <si>
    <t>80 - 125</t>
  </si>
  <si>
    <t>40 -60</t>
  </si>
  <si>
    <t>25 -50</t>
  </si>
  <si>
    <t>Плиты             минераловатные повышенной     жесткости     на органофосфатном связующем</t>
  </si>
  <si>
    <t>Плиты                  полужесткие минераловатные на крахмальном связующем</t>
  </si>
  <si>
    <t>Плиты        из        стеклянного штапельного       волокна       на синтетическом         связующем (ГОСТ 10499)</t>
  </si>
  <si>
    <t>Маты и полосы из стеклянного волокна прошивные</t>
  </si>
  <si>
    <t>Маты         из         стеклянного штапельного волокна «URSA»</t>
  </si>
  <si>
    <t>Плиты        из        стеклянного штапельного волокна «URSA»</t>
  </si>
  <si>
    <t>Пеностекло или газостекло</t>
  </si>
  <si>
    <t>Плиты из природных органических и неорганических материалов</t>
  </si>
  <si>
    <t>Плиты древесно-волокнистыс и древесно-стружечные      (ГОСТ 4598, ГОСТ 8904, ГОСТ 10632)</t>
  </si>
  <si>
    <t>Плиты древесно-волокнистые и древесно-стружечные      (ГОСТ 4598, ГОСТ 8904, ГОСТ 10632)</t>
  </si>
  <si>
    <t>Плиты фибролитовые и арболит (ГОСТ            19222)           на портландцементе</t>
  </si>
  <si>
    <t>Плиты камышитовые</t>
  </si>
  <si>
    <t>Плиты                       торфяные теплоизоляционные</t>
  </si>
  <si>
    <t>Пакля</t>
  </si>
  <si>
    <t>Плиты из гипса (ГОСТ 6428)</t>
  </si>
  <si>
    <t>Листы   гипсовые   обшивочные (сухая штукатурка) (ГОСТ 6266)</t>
  </si>
  <si>
    <t>Изделия из вспученного перлита на битумном связующем ("ОСТ 16136)</t>
  </si>
  <si>
    <t>Засыпки</t>
  </si>
  <si>
    <t>Гравий   керамзитовый   (ГОСТ 9757)</t>
  </si>
  <si>
    <t>Гравий   шунгизитовый   (ГОСТ 9757)</t>
  </si>
  <si>
    <t>Щебень   из   доменного   шлака (ГОСТ 5578)</t>
  </si>
  <si>
    <t>Щебень     шлакопемзовый     и аглопоритовый (ГОСТ 9757)</t>
  </si>
  <si>
    <t>Щебень  и  песок из перилита вспученного (ГОСТ 10832)</t>
  </si>
  <si>
    <t>Вермикулит вспученный (ГОСТ 12865)</t>
  </si>
  <si>
    <t>Песок для строительных работ (ГОСТ 8736)</t>
  </si>
  <si>
    <t>Строительные растворы (ГОСТ 28013)</t>
  </si>
  <si>
    <t>Цементно-шлаковый</t>
  </si>
  <si>
    <t>Цементно-перлитовый</t>
  </si>
  <si>
    <t>Гипсоперлитовый</t>
  </si>
  <si>
    <t>Поризованный гипсоперлитовый</t>
  </si>
  <si>
    <t>Конструкционно-теплоизоляционные материалы</t>
  </si>
  <si>
    <t>Бетоны на природных пористых заполнителях (ГОСТ 25820, ГОСТ 22263</t>
  </si>
  <si>
    <t>Туфобетон</t>
  </si>
  <si>
    <t>Пемзобетон</t>
  </si>
  <si>
    <t>Бетон на вулканическом шлаке</t>
  </si>
  <si>
    <t>Бетоны на искусственных пористых заполнителях (ГОСТ 25820, ГОСТ 975</t>
  </si>
  <si>
    <t>Ксрамзитобетон на керамзитовом песке и керамзитопенобетон</t>
  </si>
  <si>
    <t>Керамзитобетон   на   кварцевом песке с поризацией</t>
  </si>
  <si>
    <t>Керамзитобетон на перлитовом песке</t>
  </si>
  <si>
    <t>Шунгизитобетон</t>
  </si>
  <si>
    <t>Перлитобетон</t>
  </si>
  <si>
    <t>Шлакопемзобетон (термозитобетон)</t>
  </si>
  <si>
    <t>Шлакопемзопено-                   и шлакопемзогазобетон</t>
  </si>
  <si>
    <t>Бетон          на          доменных гранулированных шлаках</t>
  </si>
  <si>
    <t>Аглопоритобетон и бетоны на топливных (котельных) шлаках</t>
  </si>
  <si>
    <t>Бетон на зольном гравии</t>
  </si>
  <si>
    <t>Вермикулитобетон</t>
  </si>
  <si>
    <t>Бетоны ячеистые (ГОСТ 25485, ГОСТ 5742)</t>
  </si>
  <si>
    <t>Полистиролбетон</t>
  </si>
  <si>
    <t>Газо-   и   пенобетон,   газо-   и пеносиликат</t>
  </si>
  <si>
    <t>Газо- и пенозолобетон</t>
  </si>
  <si>
    <t>Кирпичная кладка из сплошного кирпича</t>
  </si>
  <si>
    <t>Глиняного          обыкновенного (ГОСТ    530)    на    цементно-песчаном растворе</t>
  </si>
  <si>
    <t>Глиняного   обыкновенного   на цементно-шлаковом растворе</t>
  </si>
  <si>
    <t>Глиняного   обыкновенного   на цементно-перлитовом растворе</t>
  </si>
  <si>
    <t>Силикатного   (ГОСТ   379)   на цементно-песчаном растворе</t>
  </si>
  <si>
    <t>Трепельного   (ГОСТ   530)   на цементно-песчаном растворе</t>
  </si>
  <si>
    <t>Шлакового      на      цементно-песчаном растворе</t>
  </si>
  <si>
    <t>Кирпичная кладка из пустотного кирпича</t>
  </si>
  <si>
    <r>
      <t>Керамического         пустотного плотностью 1400 кг/м</t>
    </r>
    <r>
      <rPr>
        <vertAlign val="superscript"/>
        <sz val="9"/>
        <color theme="1"/>
        <rFont val="Times New Roman"/>
        <family val="1"/>
        <charset val="204"/>
      </rPr>
      <t>3</t>
    </r>
    <r>
      <rPr>
        <sz val="9"/>
        <color theme="1"/>
        <rFont val="Times New Roman"/>
        <family val="1"/>
        <charset val="204"/>
      </rPr>
      <t xml:space="preserve"> (брутто) (ГОСТ    530)    на    цементно-песчаном растворе</t>
    </r>
  </si>
  <si>
    <r>
      <t>Керамического          пустотного плотностью 1300 кг/м</t>
    </r>
    <r>
      <rPr>
        <vertAlign val="superscript"/>
        <sz val="9"/>
        <color theme="1"/>
        <rFont val="Times New Roman"/>
        <family val="1"/>
        <charset val="204"/>
      </rPr>
      <t>3</t>
    </r>
    <r>
      <rPr>
        <sz val="9"/>
        <color theme="1"/>
        <rFont val="Times New Roman"/>
        <family val="1"/>
        <charset val="204"/>
      </rPr>
      <t xml:space="preserve"> (брутто) (ГОСТ    530)    на    цементно-песчаном растворе</t>
    </r>
  </si>
  <si>
    <r>
      <t>Керамического          пустотного плотностью 1000 кг/м</t>
    </r>
    <r>
      <rPr>
        <vertAlign val="superscript"/>
        <sz val="9"/>
        <color theme="1"/>
        <rFont val="Times New Roman"/>
        <family val="1"/>
        <charset val="204"/>
      </rPr>
      <t>3</t>
    </r>
    <r>
      <rPr>
        <sz val="9"/>
        <color theme="1"/>
        <rFont val="Times New Roman"/>
        <family val="1"/>
        <charset val="204"/>
      </rPr>
      <t xml:space="preserve"> (брутто) (ГОСТ    530)    на    цементно-песчаном растворе</t>
    </r>
  </si>
  <si>
    <t>Силикатного          одиннадцати пустотного    (ГОСТ    379)    на цементно-песчаном растворе</t>
  </si>
  <si>
    <t>Силикатного</t>
  </si>
  <si>
    <t>четырнадцатипустотного (ГОСТ 379)     на    цементно-песчаном растворе</t>
  </si>
  <si>
    <t>Дерево и изделия из него</t>
  </si>
  <si>
    <t>Сосна и ель поперек волокон (ГОСТ 8486, ГОСТ 9463)</t>
  </si>
  <si>
    <t>Сосна и ель вдоль волокон</t>
  </si>
  <si>
    <t>Дуб   поперек  волокон   (ГОСТ 9462, ГОСТ 2695)</t>
  </si>
  <si>
    <t>Дуб вдоль волокон</t>
  </si>
  <si>
    <t>Фанера клееная (ГОСТ 8673)</t>
  </si>
  <si>
    <t>Картон   облицовочный   (ГОСТ 8740)</t>
  </si>
  <si>
    <t>Картон                 строительный</t>
  </si>
  <si>
    <t>Конструкционные материалы</t>
  </si>
  <si>
    <t>Бетоны (ГОСТ 7473, ГОСТ 25192) и растворы (ГОСТ 28013)</t>
  </si>
  <si>
    <t>Железобетон (ГОСТ 26633)</t>
  </si>
  <si>
    <t>Бетон на гравии или щебне из природного камня (ГОСТ 26633)</t>
  </si>
  <si>
    <t>Раствор цементно-песчаный</t>
  </si>
  <si>
    <t>Раствор сложный (песок, известь, цемент)</t>
  </si>
  <si>
    <t>Раствор известково-песчаный</t>
  </si>
  <si>
    <t>Облицовка природным камнем (ГОСТ 9480)</t>
  </si>
  <si>
    <t>Гранит, гнейс и базальт</t>
  </si>
  <si>
    <t>Мрамор</t>
  </si>
  <si>
    <t>Известняк</t>
  </si>
  <si>
    <t>Туф</t>
  </si>
  <si>
    <t>Материалы кровельные, гидроизоляционные, облицовочные и рулонные покрытия для пол</t>
  </si>
  <si>
    <t>Листы           асбестоцементные плоские (ГОСТ 18124)</t>
  </si>
  <si>
    <t>Битумы нефтяные строительные и кровельные (ГОСТ 6617, ГОСТ 9548)</t>
  </si>
  <si>
    <t>Асфальтобетон (ГОСТ 9128)</t>
  </si>
  <si>
    <t>Рубероид      (ГОСТ       10923), пергамин (ГОСТ 2697), толь</t>
  </si>
  <si>
    <t>Линолеум поливинилхлоридный на теплоизолирующей подоснове (ГОСТ 18108)</t>
  </si>
  <si>
    <t>Линолеум поливинилхлоридный на тканевой основе (ГОСТ 7251)</t>
  </si>
  <si>
    <t>Металлы и стекло</t>
  </si>
  <si>
    <t>Сталь   стержневая   арматурная (ГОСТ 10884, ГОСТ 5781)</t>
  </si>
  <si>
    <t>Чугун (ГОСТ 9583)</t>
  </si>
  <si>
    <t>Алюминий (ГОСТ 22233, ГОСТ 24767)</t>
  </si>
  <si>
    <t>Медь (ГОСТ 931, ГОСТ 15527)</t>
  </si>
  <si>
    <t>Стекло оконное (ГОСТ 111)</t>
  </si>
  <si>
    <t>железобетон</t>
  </si>
  <si>
    <t>керамзитобетон</t>
  </si>
  <si>
    <t>керамзитобетон (блоки)</t>
  </si>
  <si>
    <t>шлакобетон (блоки)</t>
  </si>
  <si>
    <t>Вариант исполнения (материал)</t>
  </si>
  <si>
    <t>нет в списке</t>
  </si>
  <si>
    <t>Освещение в МОП</t>
  </si>
  <si>
    <t>да</t>
  </si>
  <si>
    <t>Да/нет</t>
  </si>
  <si>
    <t>Суммарное потребление энергетических ресурсов (тепловая энергия, электроэнергия на общедомовые нужды)</t>
  </si>
  <si>
    <t>Суммарное потребление энергетических ресурсов (тепловая энергия, электроэнергия на общедомовые нужды) с разбивкой по месяцам</t>
  </si>
  <si>
    <t>Ед. изм</t>
  </si>
  <si>
    <t>Расчетно-нормативное потребление</t>
  </si>
  <si>
    <t>Фактическое потребление</t>
  </si>
  <si>
    <t>Фактическое потребление, приведенное к нормативным климатическим условиям</t>
  </si>
  <si>
    <t>Суммарное потребление энергетических ресурсов</t>
  </si>
  <si>
    <t>Фактическое потребление (приведенное к нормативным климатическим условиям)</t>
  </si>
  <si>
    <t>т.у.т</t>
  </si>
  <si>
    <t>%</t>
  </si>
  <si>
    <t>Годовое потребление тепловой энергии (всего) , в том числе:</t>
  </si>
  <si>
    <t>Потребление тепловой энергии (всего) , в том числе:</t>
  </si>
  <si>
    <t>Гкал</t>
  </si>
  <si>
    <t>Отопление и вентиляция</t>
  </si>
  <si>
    <t>Потребление электроэнергии на общедомовые нужды</t>
  </si>
  <si>
    <t>Увеличение (+) или уменьшение (-) фактического суммарного потребления энергетических ресурсов по сравнению с расчетно-нормативным значением</t>
  </si>
  <si>
    <t>Годовое потребление электроэнергии на общедомовые нужды</t>
  </si>
  <si>
    <t xml:space="preserve">Удельное потребление энергетических ресурсов </t>
  </si>
  <si>
    <r>
      <t>кВт*ч/м</t>
    </r>
    <r>
      <rPr>
        <vertAlign val="superscript"/>
        <sz val="9"/>
        <color theme="1"/>
        <rFont val="Times New Roman"/>
        <family val="1"/>
        <charset val="204"/>
      </rPr>
      <t>2</t>
    </r>
  </si>
  <si>
    <r>
      <t>кг.у.т/м</t>
    </r>
    <r>
      <rPr>
        <vertAlign val="superscript"/>
        <sz val="9"/>
        <color theme="1"/>
        <rFont val="Times New Roman"/>
        <family val="1"/>
        <charset val="204"/>
      </rPr>
      <t>2</t>
    </r>
  </si>
  <si>
    <t>Потребление тепловой энергии на отопление и вентиляцию</t>
  </si>
  <si>
    <t>Потребление тепловой энергии на отопление и вентиляцию с разбивкой по месяцам</t>
  </si>
  <si>
    <t>Потребление тепловой энергии на отопление и вентиляцию за отопительный период</t>
  </si>
  <si>
    <t>Трансмиссионные тепловые потери через наружные ограждающие конструкции (всего), в том числе:</t>
  </si>
  <si>
    <t>Трансмиссионные тепловые потери через наружные ограждающие конструкции</t>
  </si>
  <si>
    <t>тепловые потери через наружные стены</t>
  </si>
  <si>
    <t>Инфильтрационные тепловые потери на нагрев наружного воздуха</t>
  </si>
  <si>
    <t>тепловые потери через окна в квартирах</t>
  </si>
  <si>
    <t xml:space="preserve">Дополнительные тепловые потери, обусловленные неэффективным регулированием подачи тепловой энергии в систему отопления </t>
  </si>
  <si>
    <t>тепловые потери через окна в местах общего пользования</t>
  </si>
  <si>
    <t>Внутренние тепловыделения (теплопоступления)</t>
  </si>
  <si>
    <t>тепловые потери через верхние покрытия и чердачные перекрытия</t>
  </si>
  <si>
    <t>тепловые потери через полы по грунту и перекрытия над подвалом (техподпольем)</t>
  </si>
  <si>
    <t>тепловые потери через наружные двери</t>
  </si>
  <si>
    <t>Дополнительные тепловые потери трубопроводами системы отопления, проходящими через неотапливаемые помещения (подвалы; чердаки)</t>
  </si>
  <si>
    <t>Увеличение (+) или уменьшение (-) фактического потребления тепловой энергии на отопление и вентиляцию за отопительный период по сравнению с расчетно-нормативным значением</t>
  </si>
  <si>
    <t>Удельное потребление тепловой энергии на отопление и вентиляцию за отопительный период</t>
  </si>
  <si>
    <r>
      <t>Гкал/м</t>
    </r>
    <r>
      <rPr>
        <vertAlign val="superscript"/>
        <sz val="9"/>
        <color theme="1"/>
        <rFont val="Times New Roman"/>
        <family val="1"/>
        <charset val="204"/>
      </rPr>
      <t>2</t>
    </r>
  </si>
  <si>
    <t>Потребление тепловой энергии на горячее водоснабжение и горячей воды</t>
  </si>
  <si>
    <t>Потребление тепловой энергии на горячее водоснабжение и горячей воды с разбивкой по месяцам</t>
  </si>
  <si>
    <t>Годовое потребление тепловой энергии на горячее водоснабжения</t>
  </si>
  <si>
    <t xml:space="preserve">Потребление тепловой энергии на горячее водоснабжение </t>
  </si>
  <si>
    <t>Увеличение (+) или уменьшение (-) годового фактического потребления тепловой энергии на горячее водоснабжение по сравнению с расчетно-нормативным значением</t>
  </si>
  <si>
    <t>Увеличение (+) или уменьшение (-) фактического потребления тепловой энергии на горячее водоснабжение по сравнению с расчетно-нормативным значением</t>
  </si>
  <si>
    <t xml:space="preserve">Годовое потребление горячей воды </t>
  </si>
  <si>
    <r>
      <t>м</t>
    </r>
    <r>
      <rPr>
        <vertAlign val="superscript"/>
        <sz val="9"/>
        <color theme="1"/>
        <rFont val="Times New Roman"/>
        <family val="1"/>
        <charset val="204"/>
      </rPr>
      <t>3</t>
    </r>
  </si>
  <si>
    <t>Увеличение (+) или уменьшение (-) фактического годового потребления горячей воды по сравнению с расчетно-нормативным значением</t>
  </si>
  <si>
    <t>Потребление горячей воды</t>
  </si>
  <si>
    <t>Увеличение (+) или уменьшение (-) фактического потребления горячей воды по сравнению с расчетно-нормативным значением</t>
  </si>
  <si>
    <t>Удельное потребление тепловой энергии на горячее водоснабжение</t>
  </si>
  <si>
    <t>Удельное потребление горячей воды</t>
  </si>
  <si>
    <t>Потребление электроэнергии на общедомовые нужды с разбивкой по месяцам</t>
  </si>
  <si>
    <t>Годовое потребление электроэнергии на общедомовые нужды (всего), в том числе:</t>
  </si>
  <si>
    <t>Потребление электроэнергии на общедомовые нужды (всего)</t>
  </si>
  <si>
    <t>освещение мест общего пользования</t>
  </si>
  <si>
    <t xml:space="preserve">прочее энергетическое оборудование </t>
  </si>
  <si>
    <t>Увеличение (+) или уменьшение (-) годового фактического потребления электроэнергии по сравнению с расчетно-нормативным значением</t>
  </si>
  <si>
    <t>Увеличение (+) или уменьшение (-) фактического потребления электроэнергии по сравнению с расчетно-нормативным значением</t>
  </si>
  <si>
    <t>Удельное потребление электроэнергии на общедомовые нужды</t>
  </si>
  <si>
    <t xml:space="preserve">Двери входные </t>
  </si>
  <si>
    <t>Электроэнергия на общедомовые нужды</t>
  </si>
  <si>
    <t>лифтовое оборудование</t>
  </si>
  <si>
    <t>насосное оборудование</t>
  </si>
  <si>
    <t xml:space="preserve">насосное оборудование </t>
  </si>
  <si>
    <t>удельная телоемкость воды</t>
  </si>
  <si>
    <t>дж/кг*с</t>
  </si>
  <si>
    <t>ввод недоступен</t>
  </si>
  <si>
    <t>Субъект</t>
  </si>
  <si>
    <t>Это лист не для конечного пользователя. Он будет скрыт. Здесь находятся данные по материалам типовых строительных серий и значениям сопротивления теплопередачи. Лист находится в стадии разработки.</t>
  </si>
  <si>
    <t>Материал окон</t>
  </si>
  <si>
    <t>Переплет окон</t>
  </si>
  <si>
    <t>тройной раздельный</t>
  </si>
  <si>
    <t>двойной раздельный</t>
  </si>
  <si>
    <t>спаренный</t>
  </si>
  <si>
    <t>одинарный</t>
  </si>
  <si>
    <t>Толщины</t>
  </si>
  <si>
    <t>минеральная вата (штукатурный фасад)</t>
  </si>
  <si>
    <t>плиты пенополистирол (штукатурный фасад)</t>
  </si>
  <si>
    <t>вентилируемый навесной фасад</t>
  </si>
  <si>
    <t>Варианты</t>
  </si>
  <si>
    <t>Нет</t>
  </si>
  <si>
    <t>плитный утеплитель (минеральная вата)</t>
  </si>
  <si>
    <t>рыхлые засыпки (гравий керамзитовый)</t>
  </si>
  <si>
    <t>Материалы (чердак)</t>
  </si>
  <si>
    <t>Эффекты</t>
  </si>
  <si>
    <t>Ограничения</t>
  </si>
  <si>
    <t>Окна тройного остекления в раздельных или спаренных ПВХ-переплетах</t>
  </si>
  <si>
    <t xml:space="preserve">Двухкамерный стеклопакет (межстекольное расстояние 12 мм) в одинарном ПВХ-переплете </t>
  </si>
  <si>
    <t>Двухкамерный стеклопакет (межстекольное расстояние 12 мм) в одинарном ПВХ-переплете  с мягким селективным покрытием (I-стекло)</t>
  </si>
  <si>
    <t>Два однокамерных стеклопакета из обычного стекла в спаренных ПВХ-переплетах</t>
  </si>
  <si>
    <t>Два однокамерных стеклопакета из обычного стекла в раздельных ПВХ-переплетах</t>
  </si>
  <si>
    <t xml:space="preserve">Четырехслойное остекление из обычного стекла в двух спаренных ПВХ-переплетах </t>
  </si>
  <si>
    <t>Стекло и однокамерный стеклопакет (межстекольное расстояние 12 мм) в раздельных ПВХ-переплетах</t>
  </si>
  <si>
    <t>Стекло и однокамерный стеклопакет (межстекольное расстояние 12 мм) в раздельных ПВХ-переплетах с мягким селективным покрытием (I-cтекло)</t>
  </si>
  <si>
    <t>Установка автоматизированного узла управления системой отопления (АУУ СО) с погодозависимым регулированием параметров теплоносителя в системе отопления</t>
  </si>
  <si>
    <t>Установка автоматизированного индивидуального теплового пункта (АИТП) с автоматическим регулированием параметров теплоносителя в системах отопления и горячего водоснабжения</t>
  </si>
  <si>
    <t>Пожалуйста, выберите толщину утеплителя, см</t>
  </si>
  <si>
    <t>Пожалуйста, выберите технологию</t>
  </si>
  <si>
    <t>Пожалуйста, выберите оборудование</t>
  </si>
  <si>
    <t>Пожалуйста, выберите конструкцию</t>
  </si>
  <si>
    <t>1) Сокращение трансмиссионных тепловых потерь через перекрытия над неотапливаемым подвалом</t>
  </si>
  <si>
    <t xml:space="preserve">1) Сокращение слива горячей воды из-за остывания (при отсутствии водоразбора  горячей воды в ночные или дневные часы суток) </t>
  </si>
  <si>
    <t>Количество квартир с индивидуальными приборами учета (ИПУ) горячей воды, ед</t>
  </si>
  <si>
    <t>Установка узлов управления и регулирования потребления ресурсов</t>
  </si>
  <si>
    <t>Установка частотно-регулируемого привода на существующее насосное оборудование систем отопления, горячего и холодного водоснабжения</t>
  </si>
  <si>
    <t>Мероприятие может быть реализовано только при наличии лифтов</t>
  </si>
  <si>
    <t>Материал и конструктивное исполнение окон и балконных дверей в квартирах (при строительстве)</t>
  </si>
  <si>
    <t>Конструкция окон</t>
  </si>
  <si>
    <t>Суммарная мощность лифтов, кВт</t>
  </si>
  <si>
    <t>Источник информации: Данные органов местного самоуправления.</t>
  </si>
  <si>
    <t>Коэффициент приведения к нормативным климатическим условиям</t>
  </si>
  <si>
    <t>Фактическая</t>
  </si>
  <si>
    <t>Нормативные</t>
  </si>
  <si>
    <t>Фактические</t>
  </si>
  <si>
    <t>Среднее значение за отопительный период</t>
  </si>
  <si>
    <t>Число дней работы отопления в месяце</t>
  </si>
  <si>
    <t>Число дней  в месяце</t>
  </si>
  <si>
    <t xml:space="preserve">Дополнительные тепловые потери трубопроводами системы отопления, проходящими через неотапливаемые помещения </t>
  </si>
  <si>
    <t>Вспомогательные расчеты по определению средней температуры за отопительный период</t>
  </si>
  <si>
    <t>Повышение теплозащиты наружных стен</t>
  </si>
  <si>
    <t>Повышение теплозащиты чердачного перекрытия</t>
  </si>
  <si>
    <t>Повышение теплозащиты пола по грунту</t>
  </si>
  <si>
    <t>Повышение теплозащиты перекрытий над подвалом</t>
  </si>
  <si>
    <t>Ремонт (замена) трубопроводов внутридомовой системы отопления в сочетании с тепловой изоляцией (в неотапливаемых помещениях)</t>
  </si>
  <si>
    <t>1) Сокращение потребления  электроэнергии на освещение мест общего пользования</t>
  </si>
  <si>
    <t>1) Уменьшение потребления  электроэнергии на освещение мест общего пользования</t>
  </si>
  <si>
    <t xml:space="preserve">Уменьшение потребления  электроэнергии лифтовым и/или насосным оборудованием </t>
  </si>
  <si>
    <t>в том числе:  энергоэффективных насосов со встроенным частотно-регулируемым приводом  и системой управления электродвигателем, ед</t>
  </si>
  <si>
    <t>в том числе: новых энергоэффективных лифтов  со встроенным частотно-регулируемым приводом и эффективной программой управления, ед</t>
  </si>
  <si>
    <t>Освещение новое</t>
  </si>
  <si>
    <t>Толщина, см</t>
  </si>
  <si>
    <t>Сопротивление слоя теплопередаче, м2С/вт</t>
  </si>
  <si>
    <t>Пол по грунту</t>
  </si>
  <si>
    <t>Сопротивление теплопередаче, м2С/вт</t>
  </si>
  <si>
    <t>температура ,подвала</t>
  </si>
  <si>
    <t>температура чердака</t>
  </si>
  <si>
    <t>Перекрытие над неотапливаемым подпольем</t>
  </si>
  <si>
    <t>руб</t>
  </si>
  <si>
    <t>руб за ед</t>
  </si>
  <si>
    <t>шт</t>
  </si>
  <si>
    <t>коэффициент, учитывающий инфильтарцию в ЛЛУ</t>
  </si>
  <si>
    <t>Теплоэнергия</t>
  </si>
  <si>
    <t>руб/Гкал</t>
  </si>
  <si>
    <t>Электроэнергия</t>
  </si>
  <si>
    <t>руб/кВтч</t>
  </si>
  <si>
    <t>Данные по тарифам в отчетные месяцы</t>
  </si>
  <si>
    <t>люминисцентные лампы</t>
  </si>
  <si>
    <t>снижение от пленок за радиаторами</t>
  </si>
  <si>
    <t>Суммарная мощность насосов, кВт</t>
  </si>
  <si>
    <t>Чистый прирост эксплуатационных затрат после капремонта (в месяц)</t>
  </si>
  <si>
    <t>Затраты в отчетном году</t>
  </si>
  <si>
    <t>Всего</t>
  </si>
  <si>
    <t>на отопление и вентиляцию</t>
  </si>
  <si>
    <t>на ГВС</t>
  </si>
  <si>
    <t>Тарифы действующие</t>
  </si>
  <si>
    <t>Затраты после КР</t>
  </si>
  <si>
    <t>Цокольные перекрытия над холодным подвалом</t>
  </si>
  <si>
    <t>Покрытия совмещенной кровли</t>
  </si>
  <si>
    <t>Чердачные перекрытия под "теплым" чердаком</t>
  </si>
  <si>
    <t>Чердачные перекрытия под "холодным" чердаком</t>
  </si>
  <si>
    <t>Пол по грунту при отсутствии подвала или теплом подвале</t>
  </si>
  <si>
    <t>Перекрытие под холодным чердаком</t>
  </si>
  <si>
    <t>Перекрытие под теплым чердаком</t>
  </si>
  <si>
    <t>Число повысительных насосов в системе холодного водоснабжения (всего), в том числе, ед</t>
  </si>
  <si>
    <t>Число входных дверей</t>
  </si>
  <si>
    <t>Ожидаемое потребление после проведения КР (на клим.усл базового года)</t>
  </si>
  <si>
    <t>Фактическое потребление базового года</t>
  </si>
  <si>
    <t>Ожидаемая экономия</t>
  </si>
  <si>
    <t>экономия</t>
  </si>
  <si>
    <t xml:space="preserve">Потребление электрической энергии жилыми помещениями (квартирами), тыс кВт*ч </t>
  </si>
  <si>
    <t>Светоотдача, лм/Вт</t>
  </si>
  <si>
    <t>галоген</t>
  </si>
  <si>
    <t>Потребление электроэнергии на общедомовые нужды, тыс  кВт*ч</t>
  </si>
  <si>
    <r>
      <t>м</t>
    </r>
    <r>
      <rPr>
        <b/>
        <vertAlign val="superscript"/>
        <sz val="9"/>
        <color theme="1"/>
        <rFont val="Times New Roman"/>
        <family val="1"/>
        <charset val="204"/>
      </rPr>
      <t>3</t>
    </r>
  </si>
  <si>
    <r>
      <t>кВт*ч/м</t>
    </r>
    <r>
      <rPr>
        <b/>
        <vertAlign val="superscript"/>
        <sz val="9"/>
        <color theme="1"/>
        <rFont val="Times New Roman"/>
        <family val="1"/>
        <charset val="204"/>
      </rPr>
      <t>2</t>
    </r>
  </si>
  <si>
    <t>Годовое потребление тепловой энергии (всего), в том числе:</t>
  </si>
  <si>
    <t>то же, после КР</t>
  </si>
  <si>
    <t>Потребление электроэнергии насосом системы горячего водоснабжения - после КР</t>
  </si>
  <si>
    <t>отопление</t>
  </si>
  <si>
    <t>ХВС</t>
  </si>
  <si>
    <t>Характеристики пакета мероприятий</t>
  </si>
  <si>
    <t xml:space="preserve">Ед. изм. </t>
  </si>
  <si>
    <t>Стоимостные характеристики</t>
  </si>
  <si>
    <t>Стоимость пакета мероприятий, руб</t>
  </si>
  <si>
    <r>
      <t>руб/м</t>
    </r>
    <r>
      <rPr>
        <vertAlign val="superscript"/>
        <sz val="11"/>
        <color theme="1"/>
        <rFont val="Calibri"/>
        <family val="2"/>
        <charset val="204"/>
        <scheme val="minor"/>
      </rPr>
      <t>2</t>
    </r>
  </si>
  <si>
    <t xml:space="preserve">Срок окупаемости пакета мероприятий </t>
  </si>
  <si>
    <t>год</t>
  </si>
  <si>
    <t>Энергетические характеристики</t>
  </si>
  <si>
    <t>Годовая экономия тепловой энергии</t>
  </si>
  <si>
    <t>Годовая экономия электроэнергии</t>
  </si>
  <si>
    <t>Дополнительное потребление электроэнергии</t>
  </si>
  <si>
    <t>Обусловлено работой насосного оборудования в составе АИТП, АУУ СО или циркуляционного насоса в системе горячего водоснабжения</t>
  </si>
  <si>
    <t>Суммарная экономия энергетических ресурсов</t>
  </si>
  <si>
    <t>Удельная экономия энергетических ресурсов</t>
  </si>
  <si>
    <r>
      <t>кВт*ч/м</t>
    </r>
    <r>
      <rPr>
        <vertAlign val="superscript"/>
        <sz val="11"/>
        <color theme="1"/>
        <rFont val="Calibri"/>
        <family val="2"/>
        <charset val="204"/>
        <scheme val="minor"/>
      </rPr>
      <t>2</t>
    </r>
  </si>
  <si>
    <t>ПИР</t>
  </si>
  <si>
    <t>СМР и ПНР</t>
  </si>
  <si>
    <t>Всего, в т.ч.:</t>
  </si>
  <si>
    <t>Материал и конструктивное исполнение наружных стен</t>
  </si>
  <si>
    <r>
      <t>Приведенное сопротивление теплопередаче наружных стен, м</t>
    </r>
    <r>
      <rPr>
        <vertAlign val="superscript"/>
        <sz val="9"/>
        <color theme="1"/>
        <rFont val="Times New Roman"/>
        <family val="1"/>
        <charset val="204"/>
      </rPr>
      <t>2</t>
    </r>
    <r>
      <rPr>
        <sz val="9"/>
        <color theme="1"/>
        <rFont val="Times New Roman"/>
        <family val="1"/>
        <charset val="204"/>
      </rPr>
      <t>*</t>
    </r>
    <r>
      <rPr>
        <vertAlign val="superscript"/>
        <sz val="9"/>
        <color theme="1"/>
        <rFont val="Times New Roman"/>
        <family val="1"/>
        <charset val="204"/>
      </rPr>
      <t>о</t>
    </r>
    <r>
      <rPr>
        <sz val="9"/>
        <color theme="1"/>
        <rFont val="Times New Roman"/>
        <family val="1"/>
        <charset val="204"/>
      </rPr>
      <t>С/Вт</t>
    </r>
  </si>
  <si>
    <t>Материал наружных стен</t>
  </si>
  <si>
    <t xml:space="preserve">Конструктивное исполнение </t>
  </si>
  <si>
    <t>Толщина (всего), в том числе, мм</t>
  </si>
  <si>
    <t>наружный слой</t>
  </si>
  <si>
    <t>слой утеплителя (при наличии)</t>
  </si>
  <si>
    <t>внутренний слой</t>
  </si>
  <si>
    <t>Расчетное</t>
  </si>
  <si>
    <t>Принимаемое для расчетов</t>
  </si>
  <si>
    <t>Идентификатор</t>
  </si>
  <si>
    <t>Циркуляционный</t>
  </si>
  <si>
    <t>ЦГВС открытая</t>
  </si>
  <si>
    <t>Замена существующего насосного оборудования на  новое энергоэффективное оборудование (со встроенным частотно-регулируемым приводом  и системой управления электродвигателем):</t>
  </si>
  <si>
    <t>шлакокерамзитобетонная 1-слойная панель</t>
  </si>
  <si>
    <t>Суммарная электрическая мощность, кВт</t>
  </si>
  <si>
    <t>При отсутствии точных данных допускается принимать 2200 часов (без эффективного привода)</t>
  </si>
  <si>
    <t>По ср.с лампой накаливания</t>
  </si>
  <si>
    <t>После КР</t>
  </si>
  <si>
    <t>Двери утеплены</t>
  </si>
  <si>
    <t>Чердачные утеплены</t>
  </si>
  <si>
    <t>Подвальные утеплены</t>
  </si>
  <si>
    <t>Ориентировочный</t>
  </si>
  <si>
    <t>Башня - квадрат</t>
  </si>
  <si>
    <t>Башня - прямоуг</t>
  </si>
  <si>
    <t>Жилая площадь квартир</t>
  </si>
  <si>
    <t>Площадь полов и стен по грунту</t>
  </si>
  <si>
    <t>П-3 (только прямая секция)</t>
  </si>
  <si>
    <t>Готовые решения для этажностей и протяженностей</t>
  </si>
  <si>
    <t>Расчет для нестандартных этажностей/протяженностей</t>
  </si>
  <si>
    <t>Нестандартный набор</t>
  </si>
  <si>
    <t>Площадь жилых помещений (квартир)</t>
  </si>
  <si>
    <t xml:space="preserve">Ожидаемое потребление после проведения КР </t>
  </si>
  <si>
    <t>Аж</t>
  </si>
  <si>
    <t>жилая площадь квартир</t>
  </si>
  <si>
    <t>продолжительность ОП (базовый год)</t>
  </si>
  <si>
    <t>Стоимость пакета, руб</t>
  </si>
  <si>
    <t>Срок окупаемости простой</t>
  </si>
  <si>
    <t>Финансовая поддержка фонда, руб</t>
  </si>
  <si>
    <t>Целевой показатель экономии</t>
  </si>
  <si>
    <t>гвс</t>
  </si>
  <si>
    <t>хвс</t>
  </si>
  <si>
    <t>При круглосуточной и бесперебойной работе соответствует продолжительности работы системы горячего водоснабжения с учетом плановых прекращений подачи горячей воды (365 минус продолжительность перерыва )*24</t>
  </si>
  <si>
    <t>Работа насосного оборудования (при наличии)</t>
  </si>
  <si>
    <t>Работа лифтов (при наличии)</t>
  </si>
  <si>
    <t>Работа прочего энергетического оборудования (при наличии)</t>
  </si>
  <si>
    <t>На затраты на КР</t>
  </si>
  <si>
    <t>На выплату процентов</t>
  </si>
  <si>
    <t>Заемные средства</t>
  </si>
  <si>
    <t>Экономический расчет</t>
  </si>
  <si>
    <t>Теплоэнергия, Гкал</t>
  </si>
  <si>
    <t>Электроэнергия, кВтч</t>
  </si>
  <si>
    <t>Окончание отопительного периода (дата):</t>
  </si>
  <si>
    <t>Ремонт с утеплением</t>
  </si>
  <si>
    <t>Ремонт и утепление фасада</t>
  </si>
  <si>
    <t>Ремонт крыши</t>
  </si>
  <si>
    <t>Применимо при отсутствии подвала (подполья) или при наличии отапливаемого подвала (подполья) (и при условии, что не было реализовано ранее)</t>
  </si>
  <si>
    <t>Применимо только при наличии неотапливаемого подвала или подполья(и при условии, что не было реализовано ранее)</t>
  </si>
  <si>
    <t>расчетные величины</t>
  </si>
  <si>
    <t>Введите число дней перерыва горячего водоснабжения</t>
  </si>
  <si>
    <t>Единичная мощность   прибора, Вт</t>
  </si>
  <si>
    <t>Данные о температуре воздуха и продолжительности отопительного периода базового года (до проведения работ)</t>
  </si>
  <si>
    <t>I-335</t>
  </si>
  <si>
    <t>I-510</t>
  </si>
  <si>
    <t>I-511</t>
  </si>
  <si>
    <t>I-515 (5 эт)</t>
  </si>
  <si>
    <t>I-515/9 (9 эт)</t>
  </si>
  <si>
    <t>I-125</t>
  </si>
  <si>
    <t>II-18</t>
  </si>
  <si>
    <t>II-29</t>
  </si>
  <si>
    <t>II-49</t>
  </si>
  <si>
    <t>I-447С-26 (башня)</t>
  </si>
  <si>
    <t>железобетонная панель</t>
  </si>
  <si>
    <t>Экономия от выбранных мероприятий</t>
  </si>
  <si>
    <t>Ремонт подвальных помещений, относящихся к общему имуществу МКД, и фундамента</t>
  </si>
  <si>
    <t>Ремонт внутридомовых инженерных систем</t>
  </si>
  <si>
    <t>Ремонт и замена лифтового оборудования</t>
  </si>
  <si>
    <t>Другие виды работ</t>
  </si>
  <si>
    <t>в т.ч. Прирост потребления ЭЭ за счет установки нового насосного оборудования</t>
  </si>
  <si>
    <t>Проводились ли уже мероприятия по утеплению МКД?</t>
  </si>
  <si>
    <t>Максимальный часовой расход горячей воды на МКД (до)</t>
  </si>
  <si>
    <t>Средний часовой расход горячей воды на МКД (после)</t>
  </si>
  <si>
    <t xml:space="preserve">Объемно-планировочные и теплотехнические показатели МКД </t>
  </si>
  <si>
    <t>Степень комфортности МКД по горячему водоснабжению</t>
  </si>
  <si>
    <t>Общая площадь МКД (всего), в том числе:</t>
  </si>
  <si>
    <t>Высота МКД</t>
  </si>
  <si>
    <t>Площадь фасадов МКД (включая наружные стены, окна и входные двери)</t>
  </si>
  <si>
    <t>Это лист не для конечного пользователя. Он будет скрыт. Здесь находятся данные для учета в расчете различных вариантов системы отопления МКД.</t>
  </si>
  <si>
    <t>Тип МКД</t>
  </si>
  <si>
    <t>Коэффициент, учитывающий дополнительные теплопотери системы отопления, связанные с теплопотерями трубопроводов, проходящих через неотапливаемые помещения, их дополнительными теплопотерями через зарадиаторные участки наружных ограждений МКД</t>
  </si>
  <si>
    <t>Многосекционные МКД с неотапливаемым чердаком и подвалом (техническим подпольем)</t>
  </si>
  <si>
    <t>МКД башенного типа с неотапливаемым чердаком и подвалом (техническим подпольем)</t>
  </si>
  <si>
    <t>Это лист не для конечного пользователя. Он будет скрыт. Здесь находятся данные для учета в расчете различных вариантов системы ГВС МКД.</t>
  </si>
  <si>
    <t>Тип жилого МКД</t>
  </si>
  <si>
    <t>Без наружных сетей горячего водоснабжения (приготовление горячей воды осуществляется в индивидуальном тепловом пункте МКД)</t>
  </si>
  <si>
    <t>Таблица А,2 - Расчетные (удельные) средние за год суточные расходы воды (стоков) в жилых МКДх, л/сут, на 1 жителя</t>
  </si>
  <si>
    <t>Жилые МКД</t>
  </si>
  <si>
    <t>Посчитайте число новых окон в МКД (отдельно для квартир и мест общего пользования).</t>
  </si>
  <si>
    <t>Подвал (при наличии в МКД):</t>
  </si>
  <si>
    <t>Чердак (при наличии в МКД)</t>
  </si>
  <si>
    <t>Лифтовое оборудование (при наличии в МКД)</t>
  </si>
  <si>
    <t>Насосное оборудование (при наличии в МКД)</t>
  </si>
  <si>
    <t>Прочее энергетическое оборудование (при наличии в МКД)</t>
  </si>
  <si>
    <t>При отсутсвии в МКД подвала или технического подполья должна быть равна показателю "Общая площадь этажа"</t>
  </si>
  <si>
    <t>нормируемый средний за год расход воды в средний расчетный за сутки отопительного периода расход горячей воды на одного жителя в жилом МКД</t>
  </si>
  <si>
    <t xml:space="preserve">норма общей площади квартир на одного жителя в жилом МКД </t>
  </si>
  <si>
    <t>Мероприятия, применимые в данном МКД</t>
  </si>
  <si>
    <t>Мероприятие неэффективно при наличии чердака в МКД</t>
  </si>
  <si>
    <t>Мероприятие применимо только при наличии холодного чердака в МКД</t>
  </si>
  <si>
    <t xml:space="preserve">Мероприятие применимо только при наличии чердака в МКД (и при условии, что не было реализовано ранее) </t>
  </si>
  <si>
    <t>Мероприятие неэффективно для МКД, построенных позднее 2000 г</t>
  </si>
  <si>
    <t>Неприменимо для МКД из кирпича и в случае выбора ремонта или утепления фасада</t>
  </si>
  <si>
    <t>Сокращение расхода тепловой энергии в системе горячего водоснабжения</t>
  </si>
  <si>
    <t>Уменьшение расхода тепловой энергии в системе горячего водоснабжения</t>
  </si>
  <si>
    <t>Вклад совместно с дополняющими</t>
  </si>
  <si>
    <t>Вклад мероприятия отдельно, %</t>
  </si>
  <si>
    <t>%,Отопление</t>
  </si>
  <si>
    <t>%,ГВС</t>
  </si>
  <si>
    <t>%, Всего теплоэнергия</t>
  </si>
  <si>
    <t>II-68 (-01, -02) 1 или 2 секции</t>
  </si>
  <si>
    <t>I-464Д (9эт)-83,-101</t>
  </si>
  <si>
    <t>Мероприятие может быть реализовано только при наличии насосного оборудования</t>
  </si>
  <si>
    <t xml:space="preserve">Мероприятие может быть реализовано только при наличии лифтов </t>
  </si>
  <si>
    <t>%,ЭЭ</t>
  </si>
  <si>
    <t>Потребление до</t>
  </si>
  <si>
    <t>Разновысокое здание</t>
  </si>
  <si>
    <t>Число этажей (для разновысокого здания среднее по подъездам), ед</t>
  </si>
  <si>
    <t>Освещение мест общего пользования (при отсутствии отдельного учета оставьте пустыми)</t>
  </si>
  <si>
    <t>Работа лифтов (при наличии) (при отсутствии отдельного учета оставьте пустыми)</t>
  </si>
  <si>
    <t>Работа насосного оборудования (при наличии) (при отсутствии отдельного учета оставьте пустыми)</t>
  </si>
  <si>
    <t>Работа прочего энергетического оборудования (при наличии) (при отсутствии отдельного учета оставьте пустыми)</t>
  </si>
  <si>
    <t>Затраты на выбранные мероприятия</t>
  </si>
  <si>
    <t>Затраты на проведение КР всего</t>
  </si>
  <si>
    <t>Ошибка в стоимости</t>
  </si>
  <si>
    <t>Стен</t>
  </si>
  <si>
    <t>Покрытий</t>
  </si>
  <si>
    <t>Перекрытий чердачных и над хол.подв</t>
  </si>
  <si>
    <t>Окон и балк.дв</t>
  </si>
  <si>
    <t>Интерполяция для значения ГСОП</t>
  </si>
  <si>
    <t>Требуемое по СНиП 79 (до 1995)</t>
  </si>
  <si>
    <t>Требования в зависимости от климата (для домов до 1995 г)</t>
  </si>
  <si>
    <t>после 1995</t>
  </si>
  <si>
    <t>после 2000</t>
  </si>
  <si>
    <t>Этап 1 - с 1995 г (СНИП II-3-79*)</t>
  </si>
  <si>
    <t>Этап 2 - с 2000 г (СНИП II-3-79*)</t>
  </si>
  <si>
    <t>монолит</t>
  </si>
  <si>
    <t>Наличие в нежилом помещении (если есть) отдельного прибора учета</t>
  </si>
  <si>
    <t>ПУ Тепло нежилые</t>
  </si>
  <si>
    <t>ПУ ЭЭ нежилые</t>
  </si>
  <si>
    <t>ПУ ГВС нежилые</t>
  </si>
  <si>
    <t>Число циркуляционных насосов в системе горячего водоснабжения (всего), в том числе, ед</t>
  </si>
  <si>
    <t>РЕКОМЕНДАЦИИ</t>
  </si>
  <si>
    <t>ВЫБОР МЕРОПРИЯТИЙ</t>
  </si>
  <si>
    <t>Эффект, в натур. Показателях</t>
  </si>
  <si>
    <t>Эффект мероприятия индивидуальный, в натур. показателях</t>
  </si>
  <si>
    <t>Теплоэнергия на отопление и вентиляцию, Гкал</t>
  </si>
  <si>
    <t>Теплоэнергия на ГВС, Гкал</t>
  </si>
  <si>
    <t>Характеристики здания</t>
  </si>
  <si>
    <t>Оценка</t>
  </si>
  <si>
    <t>В случае двух- или трехтарифного прибора учета, введите средний тариф по счету: частное от"всего оплачено, руб" и "всего потреблено электроэнергии, кВтч"</t>
  </si>
  <si>
    <t>панели "Неопорм"</t>
  </si>
  <si>
    <t>Есть ли у МКД примыкающие здания-соседи?</t>
  </si>
  <si>
    <t>Сосед слева</t>
  </si>
  <si>
    <t>Сосед справа</t>
  </si>
  <si>
    <t>Площадь торца (для примыкающих зданий)</t>
  </si>
  <si>
    <t>Ошибки ввода</t>
  </si>
  <si>
    <t>Не введены цены</t>
  </si>
  <si>
    <t>Ошибки в целом</t>
  </si>
  <si>
    <t>Разность температур:</t>
  </si>
  <si>
    <t>Самая холодная пятидневка (0,92)</t>
  </si>
  <si>
    <t>Высокие потолки</t>
  </si>
  <si>
    <t>двухстворчатый двухкамерный стеклопакет REHAU</t>
  </si>
  <si>
    <t>Уплотнение двери с установкой доводчика</t>
  </si>
  <si>
    <t>за дверь</t>
  </si>
  <si>
    <t>АУУ</t>
  </si>
  <si>
    <t>Теплоизоляция для трубопроводов</t>
  </si>
  <si>
    <t>Светодиодная лампа 8 вт (аналог накаливания 60Вт)</t>
  </si>
  <si>
    <t>Трубопроводы новые (ГВС) пластик</t>
  </si>
  <si>
    <t>Трубопроводы новые (отопление) сталь</t>
  </si>
  <si>
    <t>Датчик движения</t>
  </si>
  <si>
    <t>Циркуляционный насос</t>
  </si>
  <si>
    <t xml:space="preserve">Установка теплоотражающих экранов </t>
  </si>
  <si>
    <t>Площадь верхнего покрытия (совмешенного с кровлей) или чердачного перекрытия (при наличии чердака)</t>
  </si>
  <si>
    <t>Периметр здания</t>
  </si>
  <si>
    <t>Выбор</t>
  </si>
  <si>
    <t>ЦГВС закрытая ЦТП</t>
  </si>
  <si>
    <t>ЦГВС закрытая ИТП</t>
  </si>
  <si>
    <t>Высота МКД, м</t>
  </si>
  <si>
    <t>Длина МКД, м</t>
  </si>
  <si>
    <t>Ширина МКД (глубина корпуса), м</t>
  </si>
  <si>
    <t>Измерьте длину здания</t>
  </si>
  <si>
    <t>Измерьте ширину здания</t>
  </si>
  <si>
    <t>По возможности введите длину трубопровода к установке, м,  ниже. При отсутствии информации оставьте поле пустым:</t>
  </si>
  <si>
    <t>Доп.теплопотери в цирк.тп</t>
  </si>
  <si>
    <t>Qинф.моп</t>
  </si>
  <si>
    <t>Qинф.дв</t>
  </si>
  <si>
    <t>Qинф.ок</t>
  </si>
  <si>
    <t>Gинф.моп</t>
  </si>
  <si>
    <t>Gинф.дв</t>
  </si>
  <si>
    <t>Gинф.ок</t>
  </si>
  <si>
    <t>Rдв</t>
  </si>
  <si>
    <t>Rок</t>
  </si>
  <si>
    <t>дPок</t>
  </si>
  <si>
    <t>разность давлений для окон</t>
  </si>
  <si>
    <t>разность давлений для вх.дверей</t>
  </si>
  <si>
    <t>дPвхдв</t>
  </si>
  <si>
    <t>уд вес наружного воздуха</t>
  </si>
  <si>
    <t>уд вес внутреннего воздуха</t>
  </si>
  <si>
    <t>Макс. Скорость ветра в январе</t>
  </si>
  <si>
    <t>Па</t>
  </si>
  <si>
    <t>Н/м3</t>
  </si>
  <si>
    <t>м2/(ч*кг)</t>
  </si>
  <si>
    <t>кг/ч</t>
  </si>
  <si>
    <t>Окна жилых помещений</t>
  </si>
  <si>
    <t>Окна МОП</t>
  </si>
  <si>
    <t>Кровля или чердачные перекрытия (при наличии чердака)</t>
  </si>
  <si>
    <t>Цокольные перекрытия или пол по грунту</t>
  </si>
  <si>
    <t>в нежилых помещениях (при наличии)</t>
  </si>
  <si>
    <t>Окна нежилых помещений</t>
  </si>
  <si>
    <t>тепловые потери через окна в нежилых помещениях</t>
  </si>
  <si>
    <t>Инф нежилых</t>
  </si>
  <si>
    <t>Gинф.неж</t>
  </si>
  <si>
    <t>Число окон в нежилых помещениях</t>
  </si>
  <si>
    <t>Введите значения сопротивлений теплопередаче (м2*С/Вт), если есть результаты энергетических обследований. Если окна есть и старые, и современные - введите средневзвешенную величину</t>
  </si>
  <si>
    <t>Входные двери</t>
  </si>
  <si>
    <t>На общую площадь (включая МОП)</t>
  </si>
  <si>
    <t>Витрины</t>
  </si>
  <si>
    <t>Таганрог</t>
  </si>
  <si>
    <t>Тобольск</t>
  </si>
  <si>
    <t>Нагрузка</t>
  </si>
  <si>
    <t>нагрузка</t>
  </si>
  <si>
    <t>Теплоноситель</t>
  </si>
  <si>
    <t>Потр-е насосом</t>
  </si>
  <si>
    <t>кВт</t>
  </si>
  <si>
    <t xml:space="preserve">Потребление электрической энергии МКД (всего за вычетом нежилых помещений, при наличии), тыс кВт*ч </t>
  </si>
  <si>
    <t xml:space="preserve">При отсутствии отдельного учета потребления ЭЭ на общедомовые нужды определите как разность потребления ЭЭ на все МКД (кроме нежилых помещений) и потребления ЭЭ в квартирах. </t>
  </si>
  <si>
    <t>Частотный преобразователь (на кВт мощности)</t>
  </si>
  <si>
    <t>Потребление электроэнергии насосом системы отопления (АУУ)</t>
  </si>
  <si>
    <t>Потребление электроэнергии насосом системы отопления (АИТП)</t>
  </si>
  <si>
    <t>Выбор после КР</t>
  </si>
  <si>
    <t>Экономия в ценовом выражении, руб/год</t>
  </si>
  <si>
    <t>Лифт пассажирский</t>
  </si>
  <si>
    <t>* заполнение блока не обязательно</t>
  </si>
  <si>
    <t>УКРМ</t>
  </si>
  <si>
    <t xml:space="preserve">на кВт </t>
  </si>
  <si>
    <t>ИТП ГВС</t>
  </si>
  <si>
    <t>герметизация межпанельных стыков</t>
  </si>
  <si>
    <t>пог.м.шва</t>
  </si>
  <si>
    <t>Длину шва можно посчитать как (H*a+L*b)*2, где H - высота здания, L - длина корпуса, a - число окон на этаже фасада, b - число окон в стояке</t>
  </si>
  <si>
    <t>Регуляторы температуры ГВС</t>
  </si>
  <si>
    <t>Основной материал, руб</t>
  </si>
  <si>
    <t>Дополнительные материалы и СМР+ПИР, руб</t>
  </si>
  <si>
    <t>м2 монтажа с сопутств. мат., руб</t>
  </si>
  <si>
    <t>Стоимость за м2 материала по данным производителя (Москва), руб</t>
  </si>
  <si>
    <t>*цены являются розничными, ориентировочными и указаны для Москвы по результатам исследования рынка ЦЭНЭФ-XXI</t>
  </si>
  <si>
    <t>АУУ применимо только для централизованного отопления, АИТП применимо только для централизованного отопления и централизованного ГВС</t>
  </si>
  <si>
    <t>МКД с неотапл.чердаком и подвалом (кроме многосекц. И башенных)</t>
  </si>
  <si>
    <t xml:space="preserve">Жилые МКД с отапливаемым подвалом (техническим подпольем) или с отапливаемым чердаком </t>
  </si>
  <si>
    <t xml:space="preserve">Жилые МКД с отапливаемым подвалом (техническим подпольем) и с отапливаемым чердаком </t>
  </si>
  <si>
    <t>121 (-041,-042,-043) (9-10 эт)</t>
  </si>
  <si>
    <t>121 (-014,-016,-017) (5,9,10 эт)</t>
  </si>
  <si>
    <t>I-447 (4,5 эт)</t>
  </si>
  <si>
    <t>Можно рассчитать исходя из высоты потолка и толщины перекрытий (т.е. высоты этажа) и числа этажей</t>
  </si>
  <si>
    <t>Удельная стоимость пакета мероприятий на общую площадь МКД</t>
  </si>
  <si>
    <t>Багдарин</t>
  </si>
  <si>
    <t>Преображение</t>
  </si>
  <si>
    <t>На площадь жилых и нежилых помещений</t>
  </si>
  <si>
    <t>Новое сопротивление для стен</t>
  </si>
  <si>
    <t>водоразбор по месяцам</t>
  </si>
  <si>
    <t>объемно-планировочные характеристики</t>
  </si>
  <si>
    <t>потребление ТЭ по месяцам</t>
  </si>
  <si>
    <t>нежилые помещения</t>
  </si>
  <si>
    <t>выбор серии</t>
  </si>
  <si>
    <t>Проверка ошибок ввода исходных данных</t>
  </si>
  <si>
    <t>тарифы</t>
  </si>
  <si>
    <t>общая информация (этажи, секции, квартиры)</t>
  </si>
  <si>
    <t>климат</t>
  </si>
  <si>
    <t>температурный график</t>
  </si>
  <si>
    <t>даты отопительного сезона</t>
  </si>
  <si>
    <t>Ошибки выбора мероприятий</t>
  </si>
  <si>
    <t>ауу и технологии</t>
  </si>
  <si>
    <t>весь ввод</t>
  </si>
  <si>
    <t>электроэнергия ОДН</t>
  </si>
  <si>
    <t>При отсутствии данных принимается для жилищно-коммунального сектора равным 0,9; для курортов: 1,25</t>
  </si>
  <si>
    <t>открыть руководство пользователя…</t>
  </si>
  <si>
    <t>1. Ввод исходных данных</t>
  </si>
  <si>
    <t>Заполните сведения о многоквартирном доме, в котором предполагается проведение энергоэффективного капитального ремонта!</t>
  </si>
  <si>
    <t>2. Выбор мероприятий по энергосбережению и повышению энергетической эффективности</t>
  </si>
  <si>
    <t>3. Расчет результатов</t>
  </si>
  <si>
    <t>Получите прогноз эффекта от применения мероприятий по энергосбережению для заданного многоквартирного дома!</t>
  </si>
  <si>
    <t>Форма обратной связи</t>
  </si>
  <si>
    <t>&lt;&lt; вернуться на титульный лист</t>
  </si>
  <si>
    <r>
      <t>I. Несколько вопросов о Вас</t>
    </r>
    <r>
      <rPr>
        <sz val="12"/>
        <color indexed="8"/>
        <rFont val="Cambria"/>
        <family val="1"/>
        <charset val="204"/>
      </rPr>
      <t xml:space="preserve"> (персональные данные не используются)</t>
    </r>
  </si>
  <si>
    <t>Субъект Российской Федерации:</t>
  </si>
  <si>
    <t>управление МКД</t>
  </si>
  <si>
    <t>частное лицо</t>
  </si>
  <si>
    <t>Город:</t>
  </si>
  <si>
    <t>предоставление коммунальных услуг</t>
  </si>
  <si>
    <t>юридическое лицо</t>
  </si>
  <si>
    <t>Имя (псевдоним):</t>
  </si>
  <si>
    <t>энергосервисные услуги</t>
  </si>
  <si>
    <t>орган власти субъекта РФ</t>
  </si>
  <si>
    <t>Контактный e-mail:</t>
  </si>
  <si>
    <t>ремонт многоквартирных домов</t>
  </si>
  <si>
    <t>орган местного самоуправления</t>
  </si>
  <si>
    <t>Контактный телефон:</t>
  </si>
  <si>
    <t>исполнение функций публичной власти</t>
  </si>
  <si>
    <t>Вы ‒ частное лицо или представитель организации:</t>
  </si>
  <si>
    <t>иная деятельность</t>
  </si>
  <si>
    <t>Наименование организации/органа:</t>
  </si>
  <si>
    <t>Основной вид деятельности организации:</t>
  </si>
  <si>
    <t>1.</t>
  </si>
  <si>
    <t>а</t>
  </si>
  <si>
    <t>из сообщений СМИ, и открытых источников</t>
  </si>
  <si>
    <t>б</t>
  </si>
  <si>
    <t>от знакомых</t>
  </si>
  <si>
    <t>в</t>
  </si>
  <si>
    <t>в связи с трудовой деятельностью, исполнением служебных обязанностей</t>
  </si>
  <si>
    <t>г</t>
  </si>
  <si>
    <t>иное</t>
  </si>
  <si>
    <t>2.</t>
  </si>
  <si>
    <t>прогноза экономического эффекта от капремонта своего дома</t>
  </si>
  <si>
    <t>Камчатский край</t>
  </si>
  <si>
    <t>анализ потенциала повышения энергосбережения в многоквартирных домах, находящихся под Вашим управлением</t>
  </si>
  <si>
    <t>формирование региональных программ капитального ремонта</t>
  </si>
  <si>
    <t>углубление собственных знаний в теме энергоэффективности жилья</t>
  </si>
  <si>
    <t>д</t>
  </si>
  <si>
    <t>научная деятельность</t>
  </si>
  <si>
    <t>е</t>
  </si>
  <si>
    <t>3.</t>
  </si>
  <si>
    <t>Как Вы охарактеризуете свой уровень навыков владения персональным компьютером и программой Microsoft Excel?</t>
  </si>
  <si>
    <t>базовые навыки</t>
  </si>
  <si>
    <t>средний уровень</t>
  </si>
  <si>
    <t>продвинутый пользователь</t>
  </si>
  <si>
    <t>эксперт</t>
  </si>
  <si>
    <t>4.</t>
  </si>
  <si>
    <t>город Москва</t>
  </si>
  <si>
    <t>ДА, были некоторые затруднения, которые удалось решить после обращения к руководству пользователя</t>
  </si>
  <si>
    <t>ДА, были значительные затруднения, которые удалось решить после консультации со специалистом</t>
  </si>
  <si>
    <t>Ненецкий автономный округ</t>
  </si>
  <si>
    <t>5.</t>
  </si>
  <si>
    <t>непонятно, какие данные необходимо ввести</t>
  </si>
  <si>
    <t>отсутствуют необходимые исходные данные, а именно …</t>
  </si>
  <si>
    <t>непонятно куда вводить необходимые данные</t>
  </si>
  <si>
    <t>совсем не понятно, что и каким образом необходимо делать</t>
  </si>
  <si>
    <t>Пермский край</t>
  </si>
  <si>
    <t>6.</t>
  </si>
  <si>
    <t>ввод данных - "общие данные по многоквартирному дому"</t>
  </si>
  <si>
    <t>Республика Адыгея (Адыгея)</t>
  </si>
  <si>
    <t>ввод данных - "детальный расчет"</t>
  </si>
  <si>
    <t>Республика Алтай</t>
  </si>
  <si>
    <t>ввод данных - "данные по инженерным внутридомовым системам многоквартирного дома"</t>
  </si>
  <si>
    <t>ввод данных - "фактическое потребление коммунальных ресурсов"</t>
  </si>
  <si>
    <t>выбор мероприятий по энергосбережению</t>
  </si>
  <si>
    <t>7.</t>
  </si>
  <si>
    <t>Как Вы оцениваете качество руководства пользователя?</t>
  </si>
  <si>
    <t>достаточно подробное и понятное</t>
  </si>
  <si>
    <t>недостаточно подробное описание некоторых аспектов, а именно …</t>
  </si>
  <si>
    <t>материал изложен непонятно</t>
  </si>
  <si>
    <t>руководство пользователя не использовалось</t>
  </si>
  <si>
    <t>8.</t>
  </si>
  <si>
    <t>Республика Северная Осетия-Алания</t>
  </si>
  <si>
    <t>полностью понятны</t>
  </si>
  <si>
    <t>Республика Татарстан (Татарстан)</t>
  </si>
  <si>
    <t>некоторые результаты непонятны, а именно …</t>
  </si>
  <si>
    <t>Республика Хакасия</t>
  </si>
  <si>
    <t>ничего не понятно</t>
  </si>
  <si>
    <t>затрудняюсь ответить</t>
  </si>
  <si>
    <t>9.</t>
  </si>
  <si>
    <t>в целом верны</t>
  </si>
  <si>
    <t>город Санкт-Петербург</t>
  </si>
  <si>
    <t>скорее не верны</t>
  </si>
  <si>
    <t>город Севастополь</t>
  </si>
  <si>
    <t>10.</t>
  </si>
  <si>
    <t>полезны, и повлияют на принимаемые мной решения о проведении энергоэффективного капремонта</t>
  </si>
  <si>
    <t>не очень полезны, вряд ли повлияют на принимаемые мной решения</t>
  </si>
  <si>
    <t>скорее бесполезны</t>
  </si>
  <si>
    <t>11.</t>
  </si>
  <si>
    <t>Ханты-Мансийский автономный округ</t>
  </si>
  <si>
    <t>Чувашская Республика - Чувашия</t>
  </si>
  <si>
    <t xml:space="preserve">подсказки </t>
  </si>
  <si>
    <t>*заполнение блока не обязательно</t>
  </si>
  <si>
    <t>Экономия в руб.</t>
  </si>
  <si>
    <t>срок кредита</t>
  </si>
  <si>
    <t>месяцев</t>
  </si>
  <si>
    <t>Легенда:</t>
  </si>
  <si>
    <t>ВВОД исходных данных</t>
  </si>
  <si>
    <r>
      <t>Площадь нежилых помещений, м</t>
    </r>
    <r>
      <rPr>
        <vertAlign val="superscript"/>
        <sz val="11"/>
        <rFont val="Calibri"/>
        <family val="2"/>
        <charset val="204"/>
        <scheme val="minor"/>
      </rPr>
      <t>2</t>
    </r>
  </si>
  <si>
    <r>
      <t>Количество подъездов (секций),</t>
    </r>
    <r>
      <rPr>
        <b/>
        <sz val="11"/>
        <rFont val="Calibri"/>
        <family val="2"/>
        <charset val="204"/>
        <scheme val="minor"/>
      </rPr>
      <t xml:space="preserve"> </t>
    </r>
    <r>
      <rPr>
        <sz val="11"/>
        <rFont val="Calibri"/>
        <family val="2"/>
        <charset val="204"/>
        <scheme val="minor"/>
      </rPr>
      <t>ед</t>
    </r>
  </si>
  <si>
    <t>МКД должен быть не старше 60 и не моложе 5 лет</t>
  </si>
  <si>
    <t>Количество квартир, ед</t>
  </si>
  <si>
    <t>Отметьте "теплый чердак", если вентиляция выведена в чердачное помещение</t>
  </si>
  <si>
    <t>Если Вашей серии нет в списке, выберите "нет в списке".
Если Вы не уверены в выборе, воспользуйтесь описаниями серий на сайтах prawdom.ru, tipdoma.ru</t>
  </si>
  <si>
    <t>Например, магазины, офисы, услуги...
Если нежилые помещения отсутствуют, оставьте поле пустым</t>
  </si>
  <si>
    <t>Если нежилые помещения отсутствуют, оставьте пустыми</t>
  </si>
  <si>
    <t>Переход к инженерным системам &gt;&gt;</t>
  </si>
  <si>
    <r>
      <t>Общая площадь многоквартирного дома (всего), м</t>
    </r>
    <r>
      <rPr>
        <vertAlign val="superscript"/>
        <sz val="11"/>
        <rFont val="Calibri"/>
        <family val="2"/>
        <charset val="204"/>
        <scheme val="minor"/>
      </rPr>
      <t>2</t>
    </r>
  </si>
  <si>
    <r>
      <t>Общая площадь жилых помещений (площадь квартир), м</t>
    </r>
    <r>
      <rPr>
        <vertAlign val="superscript"/>
        <sz val="11"/>
        <rFont val="Calibri"/>
        <family val="2"/>
        <charset val="204"/>
        <scheme val="minor"/>
      </rPr>
      <t>2</t>
    </r>
  </si>
  <si>
    <r>
      <t>Площадь наружных стен, м</t>
    </r>
    <r>
      <rPr>
        <vertAlign val="superscript"/>
        <sz val="11"/>
        <rFont val="Calibri"/>
        <family val="2"/>
        <charset val="204"/>
        <scheme val="minor"/>
      </rPr>
      <t>2</t>
    </r>
  </si>
  <si>
    <r>
      <t>Площадь окон и балконных дверей в квартирах, м</t>
    </r>
    <r>
      <rPr>
        <vertAlign val="superscript"/>
        <sz val="11"/>
        <rFont val="Calibri"/>
        <family val="2"/>
        <charset val="204"/>
        <scheme val="minor"/>
      </rPr>
      <t>2</t>
    </r>
  </si>
  <si>
    <r>
      <t>Площадь окон в местах общего пользования, м</t>
    </r>
    <r>
      <rPr>
        <vertAlign val="superscript"/>
        <sz val="11"/>
        <color theme="1"/>
        <rFont val="Calibri"/>
        <family val="2"/>
        <charset val="204"/>
        <scheme val="minor"/>
      </rPr>
      <t>2</t>
    </r>
  </si>
  <si>
    <r>
      <t>Площадь совмещенной кровли (крыши, при отсутствии чердака), м</t>
    </r>
    <r>
      <rPr>
        <vertAlign val="superscript"/>
        <sz val="11"/>
        <rFont val="Calibri"/>
        <family val="2"/>
        <charset val="204"/>
        <scheme val="minor"/>
      </rPr>
      <t>2</t>
    </r>
  </si>
  <si>
    <r>
      <t>Площадь перекрытия под холодным чердаком, м</t>
    </r>
    <r>
      <rPr>
        <vertAlign val="superscript"/>
        <sz val="11"/>
        <rFont val="Calibri"/>
        <family val="2"/>
        <charset val="204"/>
        <scheme val="minor"/>
      </rPr>
      <t>2</t>
    </r>
  </si>
  <si>
    <r>
      <t>Площадь перекрытия под "теплым" чердаком, м</t>
    </r>
    <r>
      <rPr>
        <vertAlign val="superscript"/>
        <sz val="11"/>
        <rFont val="Calibri"/>
        <family val="2"/>
        <charset val="204"/>
        <scheme val="minor"/>
      </rPr>
      <t>2</t>
    </r>
  </si>
  <si>
    <r>
      <t>Площадь перекрытий  над неотапливаемым подвалом (техническим подпольем), м</t>
    </r>
    <r>
      <rPr>
        <vertAlign val="superscript"/>
        <sz val="11"/>
        <rFont val="Calibri"/>
        <family val="2"/>
        <charset val="204"/>
        <scheme val="minor"/>
      </rPr>
      <t xml:space="preserve">2 </t>
    </r>
  </si>
  <si>
    <r>
      <t>Площадь полов по грунту при отсутствии подвала или при отапливаемом подвале, или площадь 1-го этажа для МКД на сваях, м</t>
    </r>
    <r>
      <rPr>
        <vertAlign val="superscript"/>
        <sz val="11"/>
        <rFont val="Calibri"/>
        <family val="2"/>
        <charset val="204"/>
        <scheme val="minor"/>
      </rPr>
      <t xml:space="preserve">2 </t>
    </r>
  </si>
  <si>
    <r>
      <t>Жилая площадь квартир, м</t>
    </r>
    <r>
      <rPr>
        <vertAlign val="superscript"/>
        <sz val="11"/>
        <rFont val="Calibri"/>
        <family val="2"/>
        <charset val="204"/>
        <scheme val="minor"/>
      </rPr>
      <t>2</t>
    </r>
  </si>
  <si>
    <t>Если здание простой формы, можно определить как произведение длины и ширины корпуса на число этажей</t>
  </si>
  <si>
    <t>Можно определить из поэтажного плана (сложить общую площадь квартир). Должна быть меньше общей площади МКД!</t>
  </si>
  <si>
    <t>Можно определить из поэтажного плана (сложить жилую площадь квартир).  Должна быть меньше общей площади квартир!</t>
  </si>
  <si>
    <t>Разность между площадью фасадов, дверей и остекления</t>
  </si>
  <si>
    <t>Можно посчитать визуально число окон на этаже и умножить на число этажей (не забудьте, что в торцевых секциях окон может быть больше, чем в рядовых)</t>
  </si>
  <si>
    <r>
      <t>В среднем, площадь двухстворчатого окна - 1,9, трехстворчатого - 2,9 м</t>
    </r>
    <r>
      <rPr>
        <vertAlign val="superscript"/>
        <sz val="9"/>
        <color rgb="FF1C1C1C"/>
        <rFont val="Calibri"/>
        <family val="2"/>
        <charset val="204"/>
        <scheme val="minor"/>
      </rPr>
      <t>2</t>
    </r>
  </si>
  <si>
    <r>
      <t xml:space="preserve">Фасад, примыкающий к соседнему зданию, не учитывается.
Если здание простой формы, можно рассчитать исходя из полей 36-38:
</t>
    </r>
    <r>
      <rPr>
        <i/>
        <sz val="9"/>
        <color rgb="FF1C1C1C"/>
        <rFont val="Calibri"/>
        <family val="2"/>
        <charset val="204"/>
        <scheme val="minor"/>
      </rPr>
      <t>2*Высота*(Длина+Ширина)</t>
    </r>
  </si>
  <si>
    <r>
      <t>Площадь фасадов, м</t>
    </r>
    <r>
      <rPr>
        <vertAlign val="superscript"/>
        <sz val="11"/>
        <rFont val="Calibri"/>
        <family val="2"/>
        <charset val="204"/>
        <scheme val="minor"/>
      </rPr>
      <t xml:space="preserve">2
</t>
    </r>
    <r>
      <rPr>
        <sz val="11"/>
        <rFont val="Calibri"/>
        <family val="2"/>
        <charset val="204"/>
        <scheme val="minor"/>
      </rPr>
      <t>из них:</t>
    </r>
  </si>
  <si>
    <r>
      <t>Площадь окон в нежилых помещениях, м</t>
    </r>
    <r>
      <rPr>
        <vertAlign val="superscript"/>
        <sz val="11"/>
        <rFont val="Calibri"/>
        <family val="2"/>
        <charset val="204"/>
        <scheme val="minor"/>
      </rPr>
      <t>2</t>
    </r>
  </si>
  <si>
    <t>Выберите из предложенных вариантов</t>
  </si>
  <si>
    <t>Измерить площадь одного окна и умножить на число окон, с учетом наличия окон разных размеров</t>
  </si>
  <si>
    <t>Выберите из предложенных вариантов. Раздельный переплет - когда чтобы открыть окно следует отворить две створки по очереди</t>
  </si>
  <si>
    <t>Посчитать</t>
  </si>
  <si>
    <r>
      <t xml:space="preserve">Если холодный чердак занимает весь этаж, то равна, приблизительно, площади этажа:
</t>
    </r>
    <r>
      <rPr>
        <i/>
        <sz val="9"/>
        <color rgb="FF1C1C1C"/>
        <rFont val="Calibri"/>
        <family val="2"/>
        <charset val="204"/>
        <scheme val="minor"/>
      </rPr>
      <t>Длина*Ширина</t>
    </r>
  </si>
  <si>
    <r>
      <t xml:space="preserve">Если "теплый" чердак занимает весь этаж, то равна, приблизительно, площади этажа:
</t>
    </r>
    <r>
      <rPr>
        <i/>
        <sz val="9"/>
        <color rgb="FF1C1C1C"/>
        <rFont val="Calibri"/>
        <family val="2"/>
        <charset val="204"/>
        <scheme val="minor"/>
      </rPr>
      <t>Длина*Ширина</t>
    </r>
  </si>
  <si>
    <r>
      <t xml:space="preserve">Если чердака нет, то равна, приблизительно, площади этажа:
</t>
    </r>
    <r>
      <rPr>
        <i/>
        <sz val="9"/>
        <color rgb="FF1C1C1C"/>
        <rFont val="Calibri"/>
        <family val="2"/>
        <charset val="204"/>
        <scheme val="minor"/>
      </rPr>
      <t>Длина*Ширина</t>
    </r>
  </si>
  <si>
    <r>
      <t xml:space="preserve">Если неотапливаемый подвал занимает всю площадь под домом, то равна, приблизительно, площади этажа:
</t>
    </r>
    <r>
      <rPr>
        <i/>
        <sz val="9"/>
        <color rgb="FF1C1C1C"/>
        <rFont val="Calibri"/>
        <family val="2"/>
        <charset val="204"/>
        <scheme val="minor"/>
      </rPr>
      <t>Длина*Ширина</t>
    </r>
  </si>
  <si>
    <r>
      <t xml:space="preserve">Равна, приблизительно, площади этажа плюс площадь стен подвала:
</t>
    </r>
    <r>
      <rPr>
        <i/>
        <sz val="9"/>
        <color rgb="FF1C1C1C"/>
        <rFont val="Calibri"/>
        <family val="2"/>
        <charset val="204"/>
        <scheme val="minor"/>
      </rPr>
      <t>Площадь этажа+(Длина+Ширина)*2*Высота потолка в подвале</t>
    </r>
    <r>
      <rPr>
        <sz val="9"/>
        <color rgb="FF1C1C1C"/>
        <rFont val="Calibri"/>
        <family val="2"/>
        <charset val="204"/>
        <scheme val="minor"/>
      </rPr>
      <t xml:space="preserve">
Для МКД на сваях равна площади этажа.</t>
    </r>
  </si>
  <si>
    <r>
      <t>Площадь входных дверей, м</t>
    </r>
    <r>
      <rPr>
        <vertAlign val="superscript"/>
        <sz val="11"/>
        <rFont val="Calibri"/>
        <family val="2"/>
        <charset val="204"/>
        <scheme val="minor"/>
      </rPr>
      <t>2</t>
    </r>
  </si>
  <si>
    <t>Информация о сопротивлении теплопередаче ограждающих конструкций (не обязательно)*</t>
  </si>
  <si>
    <r>
      <t xml:space="preserve">Принимается согласно ГОСТ 30494-2011 "МКД жилые и общественные, Параметры микроклимата в помещениях" (20-22 </t>
    </r>
    <r>
      <rPr>
        <vertAlign val="superscript"/>
        <sz val="8"/>
        <color theme="1"/>
        <rFont val="Calibri"/>
        <family val="2"/>
        <charset val="204"/>
        <scheme val="minor"/>
      </rPr>
      <t>о</t>
    </r>
    <r>
      <rPr>
        <sz val="8"/>
        <color theme="1"/>
        <rFont val="Calibri"/>
        <family val="2"/>
        <charset val="204"/>
        <scheme val="minor"/>
      </rPr>
      <t xml:space="preserve">С - оптимальные значения; 18-24 </t>
    </r>
    <r>
      <rPr>
        <vertAlign val="superscript"/>
        <sz val="8"/>
        <color theme="1"/>
        <rFont val="Calibri"/>
        <family val="2"/>
        <charset val="204"/>
        <scheme val="minor"/>
      </rPr>
      <t>о</t>
    </r>
    <r>
      <rPr>
        <sz val="8"/>
        <color theme="1"/>
        <rFont val="Calibri"/>
        <family val="2"/>
        <charset val="204"/>
        <scheme val="minor"/>
      </rPr>
      <t>С - допустимые значения)</t>
    </r>
  </si>
  <si>
    <r>
      <t xml:space="preserve">Для неотапливаемого подвала или технического подполья принимается равной не менее +2 </t>
    </r>
    <r>
      <rPr>
        <vertAlign val="superscript"/>
        <sz val="8"/>
        <color theme="1"/>
        <rFont val="Calibri"/>
        <family val="2"/>
        <charset val="204"/>
        <scheme val="minor"/>
      </rPr>
      <t>о</t>
    </r>
    <r>
      <rPr>
        <sz val="8"/>
        <color theme="1"/>
        <rFont val="Calibri"/>
        <family val="2"/>
        <charset val="204"/>
        <scheme val="minor"/>
      </rPr>
      <t xml:space="preserve">С, Для отапливаемого подвала или технического подполья принимается равной +10-14 </t>
    </r>
    <r>
      <rPr>
        <vertAlign val="superscript"/>
        <sz val="8"/>
        <color theme="1"/>
        <rFont val="Calibri"/>
        <family val="2"/>
        <charset val="204"/>
        <scheme val="minor"/>
      </rPr>
      <t>о</t>
    </r>
    <r>
      <rPr>
        <sz val="8"/>
        <color theme="1"/>
        <rFont val="Calibri"/>
        <family val="2"/>
        <charset val="204"/>
        <scheme val="minor"/>
      </rPr>
      <t>С</t>
    </r>
  </si>
  <si>
    <r>
      <t xml:space="preserve">Для "теплых" чердаков принимается равной:
+14 </t>
    </r>
    <r>
      <rPr>
        <vertAlign val="superscript"/>
        <sz val="8"/>
        <color theme="1"/>
        <rFont val="Calibri"/>
        <family val="2"/>
        <charset val="204"/>
        <scheme val="minor"/>
      </rPr>
      <t>о</t>
    </r>
    <r>
      <rPr>
        <sz val="8"/>
        <color theme="1"/>
        <rFont val="Calibri"/>
        <family val="2"/>
        <charset val="204"/>
        <scheme val="minor"/>
      </rPr>
      <t xml:space="preserve">С (7-8 этажные МКД);
+15-16 </t>
    </r>
    <r>
      <rPr>
        <vertAlign val="superscript"/>
        <sz val="8"/>
        <color theme="1"/>
        <rFont val="Calibri"/>
        <family val="2"/>
        <charset val="204"/>
        <scheme val="minor"/>
      </rPr>
      <t>о</t>
    </r>
    <r>
      <rPr>
        <sz val="8"/>
        <color theme="1"/>
        <rFont val="Calibri"/>
        <family val="2"/>
        <charset val="204"/>
        <scheme val="minor"/>
      </rPr>
      <t xml:space="preserve">С (9-12 этажные МКД);
+17-18 </t>
    </r>
    <r>
      <rPr>
        <vertAlign val="superscript"/>
        <sz val="8"/>
        <color theme="1"/>
        <rFont val="Calibri"/>
        <family val="2"/>
        <charset val="204"/>
        <scheme val="minor"/>
      </rPr>
      <t>о</t>
    </r>
    <r>
      <rPr>
        <sz val="8"/>
        <color theme="1"/>
        <rFont val="Calibri"/>
        <family val="2"/>
        <charset val="204"/>
        <scheme val="minor"/>
      </rPr>
      <t>С</t>
    </r>
    <r>
      <rPr>
        <sz val="8"/>
        <color theme="1"/>
        <rFont val="Calibri"/>
        <family val="2"/>
        <charset val="204"/>
        <scheme val="minor"/>
      </rPr>
      <t xml:space="preserve"> (14-17-этажные МКД)</t>
    </r>
  </si>
  <si>
    <r>
      <t xml:space="preserve">Температура внутреннего воздуха в жилых помещениях (квартирах), </t>
    </r>
    <r>
      <rPr>
        <vertAlign val="superscript"/>
        <sz val="11"/>
        <color theme="1"/>
        <rFont val="Calibri"/>
        <family val="2"/>
        <charset val="204"/>
        <scheme val="minor"/>
      </rPr>
      <t>о</t>
    </r>
    <r>
      <rPr>
        <sz val="11"/>
        <color theme="1"/>
        <rFont val="Calibri"/>
        <family val="2"/>
        <charset val="204"/>
        <scheme val="minor"/>
      </rPr>
      <t>С</t>
    </r>
  </si>
  <si>
    <r>
      <t xml:space="preserve">Температура внутреннего воздуха в подвале или техническом подполье (при наличии), </t>
    </r>
    <r>
      <rPr>
        <vertAlign val="superscript"/>
        <sz val="11"/>
        <color theme="1"/>
        <rFont val="Calibri"/>
        <family val="2"/>
        <charset val="204"/>
        <scheme val="minor"/>
      </rPr>
      <t>о</t>
    </r>
    <r>
      <rPr>
        <sz val="11"/>
        <color theme="1"/>
        <rFont val="Calibri"/>
        <family val="2"/>
        <charset val="204"/>
        <scheme val="minor"/>
      </rPr>
      <t>С</t>
    </r>
  </si>
  <si>
    <r>
      <t xml:space="preserve">Температура внутреннего воздуха в теплом чердаке
(при наличии), </t>
    </r>
    <r>
      <rPr>
        <vertAlign val="superscript"/>
        <sz val="11"/>
        <color theme="1"/>
        <rFont val="Calibri"/>
        <family val="2"/>
        <charset val="204"/>
        <scheme val="minor"/>
      </rPr>
      <t>о</t>
    </r>
    <r>
      <rPr>
        <sz val="11"/>
        <color theme="1"/>
        <rFont val="Calibri"/>
        <family val="2"/>
        <charset val="204"/>
        <scheme val="minor"/>
      </rPr>
      <t>С</t>
    </r>
  </si>
  <si>
    <r>
      <t xml:space="preserve">Температура холодной водопроводной воды в отопительный период, </t>
    </r>
    <r>
      <rPr>
        <vertAlign val="superscript"/>
        <sz val="11"/>
        <color theme="1"/>
        <rFont val="Calibri"/>
        <family val="2"/>
        <charset val="204"/>
        <scheme val="minor"/>
      </rPr>
      <t>о</t>
    </r>
    <r>
      <rPr>
        <sz val="11"/>
        <color theme="1"/>
        <rFont val="Calibri"/>
        <family val="2"/>
        <charset val="204"/>
        <scheme val="minor"/>
      </rPr>
      <t>С</t>
    </r>
  </si>
  <si>
    <r>
      <t xml:space="preserve">Температура холодной водопроводной воды в неотопительный (летний) период, </t>
    </r>
    <r>
      <rPr>
        <vertAlign val="superscript"/>
        <sz val="11"/>
        <color theme="1"/>
        <rFont val="Calibri"/>
        <family val="2"/>
        <charset val="204"/>
        <scheme val="minor"/>
      </rPr>
      <t>о</t>
    </r>
    <r>
      <rPr>
        <sz val="11"/>
        <color theme="1"/>
        <rFont val="Calibri"/>
        <family val="2"/>
        <charset val="204"/>
        <scheme val="minor"/>
      </rPr>
      <t>С</t>
    </r>
  </si>
  <si>
    <r>
      <t xml:space="preserve">При отсутствии точных данных, допускается принимать равной
+5 </t>
    </r>
    <r>
      <rPr>
        <vertAlign val="superscript"/>
        <sz val="11"/>
        <color theme="1"/>
        <rFont val="Calibri"/>
        <family val="2"/>
        <charset val="204"/>
        <scheme val="minor"/>
      </rPr>
      <t>о</t>
    </r>
    <r>
      <rPr>
        <sz val="11"/>
        <color theme="1"/>
        <rFont val="Calibri"/>
        <family val="2"/>
        <charset val="204"/>
        <scheme val="minor"/>
      </rPr>
      <t>С</t>
    </r>
  </si>
  <si>
    <r>
      <t xml:space="preserve">При отсутствии точных данных, допускается принимать равной
+15 </t>
    </r>
    <r>
      <rPr>
        <vertAlign val="superscript"/>
        <sz val="11"/>
        <color theme="1"/>
        <rFont val="Calibri"/>
        <family val="2"/>
        <charset val="204"/>
        <scheme val="minor"/>
      </rPr>
      <t>о</t>
    </r>
    <r>
      <rPr>
        <sz val="11"/>
        <color theme="1"/>
        <rFont val="Calibri"/>
        <family val="2"/>
        <charset val="204"/>
        <scheme val="minor"/>
      </rPr>
      <t>С</t>
    </r>
  </si>
  <si>
    <r>
      <t xml:space="preserve">Продолжительность </t>
    </r>
    <r>
      <rPr>
        <b/>
        <sz val="11"/>
        <color theme="1"/>
        <rFont val="Calibri"/>
        <family val="2"/>
        <charset val="204"/>
        <scheme val="minor"/>
      </rPr>
      <t>плановых</t>
    </r>
    <r>
      <rPr>
        <sz val="11"/>
        <color theme="1"/>
        <rFont val="Calibri"/>
        <family val="2"/>
        <charset val="204"/>
        <scheme val="minor"/>
      </rPr>
      <t xml:space="preserve"> прекращений подачи горячей воды (из-за отключений системы централизованного теплоснабжения на испытания и ремонты), сут</t>
    </r>
  </si>
  <si>
    <t>Если серия вашего МКД оказалась в списке, пропускайте ячейки 24-53, и переходите к вводу информации об инженерных системах (ячейка 54).</t>
  </si>
  <si>
    <t>Оборудование системы отопления</t>
  </si>
  <si>
    <t>Если серии вашего МКД не оказалось в списке, необходимо ввести его характеристики вручную.</t>
  </si>
  <si>
    <t>Освещаемые места общего пользования</t>
  </si>
  <si>
    <t>поля для ввода</t>
  </si>
  <si>
    <t>Подвал (при наличии в МКД)</t>
  </si>
  <si>
    <t>Подъезды (наружное освещение)</t>
  </si>
  <si>
    <t>Лифтовые холлы и лестничные площадки</t>
  </si>
  <si>
    <t>Межквартирный коридор</t>
  </si>
  <si>
    <t>Число циркуляционных насосов в системе отопления (всего),
в том числе, ед</t>
  </si>
  <si>
    <t>Температурный график отпуска тепловой энергии от источника теплоснабжения (котельной или ТЭЦ)*</t>
  </si>
  <si>
    <t>Отопление*, Гкал/ч</t>
  </si>
  <si>
    <t>Договорные или проектные тепловые нагрузки МКД (всего)*, Гкал/ч</t>
  </si>
  <si>
    <t>Вентиляция*  (при наличии в МКД принудительной приточно-вытяжной системы вентиляции с вентиляционными калориферами), Гкал/ч</t>
  </si>
  <si>
    <t>Горячее водоснабжение* , Гкал/ч</t>
  </si>
  <si>
    <r>
      <t xml:space="preserve">Расчетное (максимальное) значение температуры сетевой воды на входе в систему отопления, </t>
    </r>
    <r>
      <rPr>
        <vertAlign val="superscript"/>
        <sz val="11"/>
        <color theme="1"/>
        <rFont val="Calibri"/>
        <family val="2"/>
        <charset val="204"/>
        <scheme val="minor"/>
      </rPr>
      <t>о</t>
    </r>
    <r>
      <rPr>
        <sz val="11"/>
        <color theme="1"/>
        <rFont val="Calibri"/>
        <family val="2"/>
        <charset val="204"/>
        <scheme val="minor"/>
      </rPr>
      <t>С</t>
    </r>
  </si>
  <si>
    <r>
      <t xml:space="preserve">Расчетное (максимальное) значение температуры сетевой воды на выходе из системы отопления, </t>
    </r>
    <r>
      <rPr>
        <vertAlign val="superscript"/>
        <sz val="11"/>
        <color theme="1"/>
        <rFont val="Calibri"/>
        <family val="2"/>
        <charset val="204"/>
        <scheme val="minor"/>
      </rPr>
      <t>о</t>
    </r>
    <r>
      <rPr>
        <sz val="11"/>
        <color theme="1"/>
        <rFont val="Calibri"/>
        <family val="2"/>
        <charset val="204"/>
        <scheme val="minor"/>
      </rPr>
      <t>С</t>
    </r>
  </si>
  <si>
    <r>
      <t xml:space="preserve">Данные по инженерным внутридомовым системам многоквартирного дома
</t>
    </r>
    <r>
      <rPr>
        <sz val="14"/>
        <color theme="1"/>
        <rFont val="Calibri"/>
        <family val="2"/>
        <charset val="204"/>
      </rPr>
      <t>(системы отопления, горячего водоснабжения, электроснабжения)</t>
    </r>
  </si>
  <si>
    <r>
      <t xml:space="preserve">Фактическое потребление коммунальных ресурсов
</t>
    </r>
    <r>
      <rPr>
        <sz val="14"/>
        <color theme="1"/>
        <rFont val="Calibri"/>
        <family val="2"/>
        <charset val="204"/>
      </rPr>
      <t>(тепловая энергия на отопление и горячее водоснабжение, электроэнергия, горячая вода)</t>
    </r>
  </si>
  <si>
    <t>Горячее водоснабжение
(при отсутствии отдельного учета, оставьте пустым)</t>
  </si>
  <si>
    <t>Отопление и вентиляция
(при отсутствии отдельного учета, оставьте пустым)</t>
  </si>
  <si>
    <t>Всего,
в том числе:</t>
  </si>
  <si>
    <r>
      <t xml:space="preserve">Фактические данные по потреблению тепловой энергии МКД </t>
    </r>
    <r>
      <rPr>
        <sz val="14"/>
        <color theme="1"/>
        <rFont val="Calibri"/>
        <family val="2"/>
        <charset val="204"/>
      </rPr>
      <t xml:space="preserve">(по показаниям общедомовых приборов учета потребления тепловой энергии) </t>
    </r>
  </si>
  <si>
    <r>
      <t>Фактический за месяц, т/мес (м</t>
    </r>
    <r>
      <rPr>
        <vertAlign val="superscript"/>
        <sz val="11"/>
        <color theme="1"/>
        <rFont val="Calibri"/>
        <family val="2"/>
        <charset val="204"/>
        <scheme val="minor"/>
      </rPr>
      <t>3</t>
    </r>
    <r>
      <rPr>
        <sz val="11"/>
        <color theme="1"/>
        <rFont val="Calibri"/>
        <family val="2"/>
        <charset val="204"/>
        <scheme val="minor"/>
      </rPr>
      <t>/мес) за вычетом показаний ИПУ нежилых помещений, если таковые есть</t>
    </r>
  </si>
  <si>
    <r>
      <t>Циркуляционный за месяц, т/мес (м</t>
    </r>
    <r>
      <rPr>
        <vertAlign val="superscript"/>
        <sz val="12"/>
        <color theme="1"/>
        <rFont val="Calibri"/>
        <family val="2"/>
        <charset val="204"/>
        <scheme val="minor"/>
      </rPr>
      <t>3</t>
    </r>
    <r>
      <rPr>
        <sz val="12"/>
        <color theme="1"/>
        <rFont val="Calibri"/>
        <family val="2"/>
        <charset val="204"/>
        <scheme val="minor"/>
      </rPr>
      <t>/мес)</t>
    </r>
  </si>
  <si>
    <r>
      <t>Водоразбор на горячее водоснабжение, т/мес (м</t>
    </r>
    <r>
      <rPr>
        <vertAlign val="superscript"/>
        <sz val="12"/>
        <color theme="1"/>
        <rFont val="Calibri"/>
        <family val="2"/>
        <charset val="204"/>
        <scheme val="minor"/>
      </rPr>
      <t>3</t>
    </r>
    <r>
      <rPr>
        <sz val="12"/>
        <color theme="1"/>
        <rFont val="Calibri"/>
        <family val="2"/>
        <charset val="204"/>
        <scheme val="minor"/>
      </rPr>
      <t>/мес)</t>
    </r>
  </si>
  <si>
    <r>
      <t>Фактические данные по потреблению электрической энергии</t>
    </r>
    <r>
      <rPr>
        <sz val="14"/>
        <color theme="1"/>
        <rFont val="Calibri"/>
        <family val="2"/>
        <charset val="204"/>
      </rPr>
      <t xml:space="preserve"> (по показаниям общедомовых и индивидуальных приборов расхода электрической энергии)</t>
    </r>
  </si>
  <si>
    <r>
      <t>Фактические данные по потреблению горячей воды</t>
    </r>
    <r>
      <rPr>
        <sz val="14"/>
        <color theme="1"/>
        <rFont val="Calibri"/>
        <family val="2"/>
        <charset val="204"/>
      </rPr>
      <t xml:space="preserve"> (по показаниям общедомовых приборов расхода горячей воды)</t>
    </r>
  </si>
  <si>
    <r>
      <t xml:space="preserve">Температура наружного воздуха средняя, </t>
    </r>
    <r>
      <rPr>
        <vertAlign val="superscript"/>
        <sz val="10"/>
        <color theme="1"/>
        <rFont val="Calibri"/>
        <family val="2"/>
        <charset val="204"/>
        <scheme val="minor"/>
      </rPr>
      <t>о</t>
    </r>
    <r>
      <rPr>
        <sz val="10"/>
        <color theme="1"/>
        <rFont val="Calibri"/>
        <family val="2"/>
        <charset val="204"/>
        <scheme val="minor"/>
      </rPr>
      <t>С</t>
    </r>
  </si>
  <si>
    <r>
      <t xml:space="preserve">Градусо-сутки месяца, </t>
    </r>
    <r>
      <rPr>
        <vertAlign val="superscript"/>
        <sz val="10"/>
        <color theme="1"/>
        <rFont val="Calibri"/>
        <family val="2"/>
        <charset val="204"/>
        <scheme val="minor"/>
      </rPr>
      <t>о</t>
    </r>
    <r>
      <rPr>
        <sz val="10"/>
        <color theme="1"/>
        <rFont val="Calibri"/>
        <family val="2"/>
        <charset val="204"/>
        <scheme val="minor"/>
      </rPr>
      <t>С*сут</t>
    </r>
  </si>
  <si>
    <t>Тепловая энергия</t>
  </si>
  <si>
    <t>Электрическая энергия</t>
  </si>
  <si>
    <t>Итого</t>
  </si>
  <si>
    <t>циркуляционный трубопровод ГВС</t>
  </si>
  <si>
    <t>Проверка</t>
  </si>
  <si>
    <t>Объем применения, ед.</t>
  </si>
  <si>
    <t>Стоимость оборудования и материалов, руб за ед</t>
  </si>
  <si>
    <r>
      <t>м</t>
    </r>
    <r>
      <rPr>
        <b/>
        <vertAlign val="superscript"/>
        <sz val="11"/>
        <rFont val="Calibri"/>
        <family val="2"/>
        <charset val="204"/>
        <scheme val="minor"/>
      </rPr>
      <t>2</t>
    </r>
  </si>
  <si>
    <t xml:space="preserve">1) Сокращение трансмиссионных тепловых потерь через окна.
2) Уменьшение расхода теплоты на нагрев холодного наружного воздуха, инфильтрирующегося в МКД через неплотности оконных проемов    </t>
  </si>
  <si>
    <t xml:space="preserve">1) Сокращение трансмиссионных тепловых потерь через крышу (верхнего покрытия).
2) Уменьшение промерзания крыши (увеличение срока службы)             </t>
  </si>
  <si>
    <t xml:space="preserve">1) Сокращение трансмиссионных тепловых потерь через наружные стены
2) Уменьшение промерзания наружных стен (увеличение срока службы)                   </t>
  </si>
  <si>
    <t xml:space="preserve">1) Сокращение трансмиссионных тепловых потерь через чердачное перекрытие.
2) Уменьшение промерзания чердачного перекрытия (увеличение срока службы)             </t>
  </si>
  <si>
    <t xml:space="preserve">1) Автоматическое регулирование параметров теплоносителя в системах отопления и ГВС* (поддержание температурного графика системы отопления и температуры горячей воды на заданном уровне).
2) Сокращение расхода тепловой энергии в системе отопления (устранение переотапливания МКД в переходный период года)
3) Уменьшение расхода тепловой энергии в системе ГВС*  (* при выборе АИТП)          </t>
  </si>
  <si>
    <t>Применимо только для централизованного горячего водоснабжения. Неприменимо при реализации следующих мероприятий и технологий:
1) установка АИТП
2)установка регуляторов температуры горячей воды на вводе в МКД</t>
  </si>
  <si>
    <t>Применимо только для централизованного ГВС. Неприменимо вместе с:
1) Модернизация ИТП с установкой теплообменника ГВС и установкой аппаратуры управления ГВС (регуляторов температуры  горячей воды)
2) Установка автоматизированного индивидуального теплового пункта (АИТП) с автоматическим регулированием параметров теплоносителя в системах отопления и ГВС</t>
  </si>
  <si>
    <t>1) Сокращение потребления  электроэнергии насосным оборудованием
2) Повышение надежности работы насосного оборудования</t>
  </si>
  <si>
    <t>1) Сокращение тепловых потерь трубопроводами отопления
2) Уменьшение физического износа системы отопления (увеличение срока службы)</t>
  </si>
  <si>
    <t>1) Сокращение тепловых потерь трубопроводами горячего водоснабжения
2) Сокращение слива горячей воды из-за остывания (при отсутствии водоразбора  горячей воды в ночные или дневные часы суток)
3) Уменьшение физического износа системы горячего водоснабжения (увеличение срока службы)</t>
  </si>
  <si>
    <t>1) Сокращение потребления  электроэнергии лифтовым оборудованием
2) Повышение надежности работы лифтового оборудования</t>
  </si>
  <si>
    <t xml:space="preserve">1) Сокращение трансмиссионных тепловых потерь через пол по  грунту
2) Уменьшение промерзания пола по грунту (увеличение срока службы)                      </t>
  </si>
  <si>
    <t xml:space="preserve">1) Сокращение трансмиссионных тепловых потерь через входные двери
2) Уменьшение расхода теплоты на нагрев холодного наружного воздуха, инфильтрирующегося в МКД через неплотности дверных проемов, а также через открытые двери    </t>
  </si>
  <si>
    <r>
      <t>То же, на м</t>
    </r>
    <r>
      <rPr>
        <vertAlign val="superscript"/>
        <sz val="11"/>
        <color theme="1"/>
        <rFont val="Calibri"/>
        <family val="2"/>
        <charset val="204"/>
        <scheme val="minor"/>
      </rPr>
      <t>2</t>
    </r>
    <r>
      <rPr>
        <sz val="11"/>
        <color theme="1"/>
        <rFont val="Calibri"/>
        <family val="2"/>
        <charset val="204"/>
        <scheme val="minor"/>
      </rPr>
      <t xml:space="preserve"> общей площади помещений (жилых и нежилых)</t>
    </r>
  </si>
  <si>
    <t>Прогноз целевого показателя экономии</t>
  </si>
  <si>
    <t>Площадь помещений (жилых и нежилых)</t>
  </si>
  <si>
    <t>мощность</t>
  </si>
  <si>
    <t>При круглосуточной и бесперебойной работе соответствует продолжительности работы системы отопления (отопительному периоду) в часах</t>
  </si>
  <si>
    <t>Адрес МКД</t>
  </si>
  <si>
    <t>Последний месяц и год, за который выставлены счета</t>
  </si>
  <si>
    <t>Годы</t>
  </si>
  <si>
    <t>не требуется</t>
  </si>
  <si>
    <t>Отопительный сезон</t>
  </si>
  <si>
    <t>Начало</t>
  </si>
  <si>
    <t>Окончание</t>
  </si>
  <si>
    <t>Продолжительность отопительного сезона, сутки</t>
  </si>
  <si>
    <t>Помощник энергоэффективного капремонта</t>
  </si>
  <si>
    <t>Выберите желаемые мероприятия по энергосбережению и повышению энергетической эффективности!
Помощник ЭКР подскажет какие мероприятия применимы и наиболее эффективны для заданного многоквартирного дома.</t>
  </si>
  <si>
    <t>Это приложение помогает рассчитать прогноз экономического эффекта от выполнения в ходе капитального ремонта многоквартирного дома мероприятий по энергосбережению и повышению энергетической эффективности.</t>
  </si>
  <si>
    <t>Направьте разработчикам свои отзывы и предложения по работе с Помощником ЭКР!</t>
  </si>
  <si>
    <t>Работа с приложением состоит из 3-х этапов:</t>
  </si>
  <si>
    <t>Применимо только для централизованного горячего водоснабжения при отсутствии циркуляционного трубопровода ГВС</t>
  </si>
  <si>
    <t>Применимо только при наличии насосного оборудования в системах отопления, ГВС и/или ХВС.  Неприменимо при реализации мероприятия "Замена насосного оборудования на новое энергоэффективное (со встроенным частотно-регулируемым приводом  и системой управления электродвигателем)".   Неприменимо при реализации мероприятия "Установка узлов управления (АУУ или АИТП)", т.к. это мероприятие уже подразумевает замену насосов</t>
  </si>
  <si>
    <t>Применимо только при наличии насосного оборудования в системах отопления, ГВС и/или ХВС.  Неприменимо при реализации мероприятия "Установка узлов управления (АУУ или АИТП)", т.к. это мероприятие уже подразумевает замену насосов</t>
  </si>
  <si>
    <t>При замене нескольких лифтов укажите суммарную мощность новых лифтов. При замене не всех лифтов МКД укажите результирующую суммарную мощность лифтов (с учетом не подвергшихся замене)</t>
  </si>
  <si>
    <t>Прогноз годовой экономии затрат на коммунальные ресурсы</t>
  </si>
  <si>
    <t>Форма обратной связи приложения Помощник ЭКР</t>
  </si>
  <si>
    <t>Уважаемый пользователь!
Благодарим за проявленный интерес к Помощнику ЭКР. Вы поможете нам его улучшить, если заполните эту небольшую анкету.
Для выбора подходящего варианта ответа необходимо поставить в ячейку рядом с ним любой символ (например "*" или "+"). Просим Вас выбрать только один вариант ответа на каждый вопрос. Для некоторых вариантов ответа предлагаем на Ваше усмотрение указать дополнительную информацию, которая вводится в ячейке ниже варианта ответа.</t>
  </si>
  <si>
    <t>II. Вопросы о Вашем опыте использования Помощника ЭКР</t>
  </si>
  <si>
    <t>Откуда Вам стало известно о существовании Помощника ЭКР?</t>
  </si>
  <si>
    <t>Для чего Вы использовали Помощника ЭКР?</t>
  </si>
  <si>
    <t>Столкнулись ли Вы с трудностями при использовании Помощника ЭКР?</t>
  </si>
  <si>
    <t>В чем заключались основные затруднения при работе с Помощником ЭКР?</t>
  </si>
  <si>
    <t>Использование какого раздела Помощника ЭКР вызвало у Вас наибольшее затруднение?</t>
  </si>
  <si>
    <t>Насколько понятны для Вас результаты расчета, производимого Помощником ЭКР?</t>
  </si>
  <si>
    <t>Насколько верны, по Вашему мнению, расчеты производимые Помощником ЭКР?</t>
  </si>
  <si>
    <t>Насколько для Вас оказались полезны расчеты, производимые Помощником ЭКР?</t>
  </si>
  <si>
    <t>Какие бы предложения вы внесли по повышению пользовательских качеств Помощника ЭКР, и добавлению в него недостающих функций?</t>
  </si>
  <si>
    <t>НЕТ, использование Помощника ЭКР оказалось простым</t>
  </si>
  <si>
    <t>ДА, затруднения не позволили использовать Помощника ЭКР в полной мере</t>
  </si>
  <si>
    <t>Спасибо за Ваше участие в улучшении Помощника ЭКР!</t>
  </si>
  <si>
    <t>Время работы лифтов в течение года, час</t>
  </si>
  <si>
    <t>Время  работы насосов в течение года, час</t>
  </si>
  <si>
    <t>Период  работы прочего энергетического оборудования в течение года, час</t>
  </si>
  <si>
    <t>Время работы осветительных приборов в течение года, час</t>
  </si>
  <si>
    <t>Стоимость оборудования (материалов)</t>
  </si>
  <si>
    <r>
      <t>Общая площадь МКД, м</t>
    </r>
    <r>
      <rPr>
        <vertAlign val="superscript"/>
        <sz val="10"/>
        <color theme="1"/>
        <rFont val="Calibri"/>
        <family val="2"/>
        <charset val="204"/>
        <scheme val="minor"/>
      </rPr>
      <t>2</t>
    </r>
  </si>
  <si>
    <r>
      <t>Стоимость удельная, руб/м</t>
    </r>
    <r>
      <rPr>
        <vertAlign val="superscript"/>
        <sz val="10"/>
        <color theme="1"/>
        <rFont val="Calibri"/>
        <family val="2"/>
        <charset val="204"/>
        <scheme val="minor"/>
      </rPr>
      <t>2</t>
    </r>
  </si>
  <si>
    <t>Проект соответствует требованиям к теплозащите…</t>
  </si>
  <si>
    <t>до 1995 г.</t>
  </si>
  <si>
    <t>1995-2000 гг.</t>
  </si>
  <si>
    <t>после 2000 г.</t>
  </si>
  <si>
    <t>Можно посчитать натур</t>
  </si>
  <si>
    <t>Температура горячей воды в местах водоразбора, oC</t>
  </si>
  <si>
    <r>
      <t xml:space="preserve">Температура горячей воды в местах водоразбора, </t>
    </r>
    <r>
      <rPr>
        <vertAlign val="superscript"/>
        <sz val="11"/>
        <color theme="1"/>
        <rFont val="Calibri"/>
        <family val="2"/>
        <charset val="204"/>
        <scheme val="minor"/>
      </rPr>
      <t>o</t>
    </r>
    <r>
      <rPr>
        <sz val="11"/>
        <color theme="1"/>
        <rFont val="Calibri"/>
        <family val="2"/>
        <charset val="204"/>
        <scheme val="minor"/>
      </rPr>
      <t>C</t>
    </r>
  </si>
  <si>
    <r>
      <t xml:space="preserve">Температура нагрева горячей воды, </t>
    </r>
    <r>
      <rPr>
        <vertAlign val="superscript"/>
        <sz val="11"/>
        <color theme="1"/>
        <rFont val="Calibri"/>
        <family val="2"/>
        <charset val="204"/>
        <scheme val="minor"/>
      </rPr>
      <t>o</t>
    </r>
    <r>
      <rPr>
        <sz val="11"/>
        <color theme="1"/>
        <rFont val="Calibri"/>
        <family val="2"/>
        <charset val="204"/>
        <scheme val="minor"/>
      </rPr>
      <t>C</t>
    </r>
  </si>
  <si>
    <t xml:space="preserve">цены </t>
  </si>
  <si>
    <t>4.1</t>
  </si>
  <si>
    <t>По умолчанию Помощник ЭКР делает вывод о теплозащитных характеристиках МКД исходя из его года постройки.
Выберите более ранний период, если МКД не соответствует требованиям, которые действовали на момент ввода в эксплуатацию.</t>
  </si>
  <si>
    <r>
      <t xml:space="preserve">Можно ввести или температуру горячей воды у потребителей (при водоразборе), или температуру, до которой нагрета горячая вода. (выберите слева свой вариант). </t>
    </r>
    <r>
      <rPr>
        <b/>
        <sz val="11"/>
        <color theme="1"/>
        <rFont val="Calibri"/>
        <family val="2"/>
        <charset val="204"/>
        <scheme val="minor"/>
      </rPr>
      <t>Это особенно важно, если отдельный учет потребления теплоэнергии на нужды ГВС не ведется!</t>
    </r>
  </si>
  <si>
    <t>66а</t>
  </si>
  <si>
    <r>
      <t xml:space="preserve">Остывание горячей воды в циркуляционном трубопроводе (при его наличии), </t>
    </r>
    <r>
      <rPr>
        <vertAlign val="superscript"/>
        <sz val="11"/>
        <color theme="1"/>
        <rFont val="Calibri"/>
        <family val="2"/>
        <charset val="204"/>
        <scheme val="minor"/>
      </rPr>
      <t>о</t>
    </r>
    <r>
      <rPr>
        <sz val="11"/>
        <color theme="1"/>
        <rFont val="Calibri"/>
        <family val="2"/>
        <charset val="204"/>
        <scheme val="minor"/>
      </rPr>
      <t>С</t>
    </r>
  </si>
  <si>
    <t>Входные наружные двери, включая двери мусорокамер и эвакуационные выходы лестничных клеток (не остекленные)</t>
  </si>
  <si>
    <t>Включая остекленные двери из МОП (эвакуационные выходы)</t>
  </si>
  <si>
    <r>
      <t xml:space="preserve">Среднее значение составляет от 8 до 10 </t>
    </r>
    <r>
      <rPr>
        <vertAlign val="superscript"/>
        <sz val="11"/>
        <color theme="1"/>
        <rFont val="Calibri"/>
        <family val="2"/>
        <charset val="204"/>
        <scheme val="minor"/>
      </rPr>
      <t>о</t>
    </r>
    <r>
      <rPr>
        <sz val="11"/>
        <color theme="1"/>
        <rFont val="Calibri"/>
        <family val="2"/>
        <charset val="204"/>
        <scheme val="minor"/>
      </rPr>
      <t xml:space="preserve">С. По возможности уточните значение. </t>
    </r>
    <r>
      <rPr>
        <b/>
        <sz val="11"/>
        <color theme="1"/>
        <rFont val="Calibri"/>
        <family val="2"/>
        <charset val="204"/>
        <scheme val="minor"/>
      </rPr>
      <t>Это особенно важно, если отдельный учет потребления теплоэнергии на нужды ГВС не ведется!</t>
    </r>
  </si>
  <si>
    <t>Годовая экономия ЭР в натуральных величинах</t>
  </si>
  <si>
    <t>повышение теплозащиты  наружных стен</t>
  </si>
  <si>
    <t>Заделка и герметизация межпанельных соединений (швов) и ликвидация мостиков холода</t>
  </si>
  <si>
    <t>Повышение теплозащиты окон МОП</t>
  </si>
  <si>
    <t>Повышение теплозащиты крыши</t>
  </si>
  <si>
    <t>Устройство 'теплого' чердака</t>
  </si>
  <si>
    <t>утепление чердачного перекрытия</t>
  </si>
  <si>
    <t>Установка узлов управления и регулирования потребления тепловой энергии в системе отопления и/или горячего водоснабжения  (выберите ниже</t>
  </si>
  <si>
    <t>Установка регуляторов температуры горячей воды на вводе в МКД</t>
  </si>
  <si>
    <t>Ремонт (замена) трубопроводов внутридомовой системы горячего водоснабжения в сочетании с тепловой изоляцией (в неотапливаемых помещениях; по стоякам)</t>
  </si>
  <si>
    <t>Установка циркуляционного трубопровода и насоса в системе ГВС</t>
  </si>
  <si>
    <t>Установка устройств для компенсации реактивной мощности (УКРМ)  насосного оборудования</t>
  </si>
  <si>
    <t>Ремонт лифтового оборудования  с установкой частотно-регулируемого привода и эффективной программой управления</t>
  </si>
  <si>
    <t>Замена существующего лифтового оборудования на новое со встроенным частотно-регулируемым приводом и эффективной программой управления</t>
  </si>
  <si>
    <t>Установка устройств для компенсации реактивной мощности (УКРМ) лифтового оборудования</t>
  </si>
  <si>
    <t>Утепление пола по грунту</t>
  </si>
  <si>
    <t>Уплотнение наружных входных дверей с установкой доводчиков</t>
  </si>
  <si>
    <t>Замена светильников на основе ламп накаливания в местах общего пользования на энергоэффективные осветительные приборы</t>
  </si>
  <si>
    <t>Установка систем автоматического контроля и регулирования освещения в местах общего пользования</t>
  </si>
  <si>
    <t>I-464А (3,4,5 эт)</t>
  </si>
  <si>
    <t>I-464А17 (5 эт, 60 кв)</t>
  </si>
  <si>
    <t>Модернизация ИТП с установкой теплообменника ГВС и установкой аппаратуры управления горячим водоснабжением (регуляторов температуры горячей воды)</t>
  </si>
  <si>
    <t>мощности электрических приборов</t>
  </si>
  <si>
    <t>дерево, двойной раздельный</t>
  </si>
  <si>
    <t>Версия: 03.07.2017.012</t>
  </si>
  <si>
    <t>процентная ставка по кредиту</t>
  </si>
  <si>
    <t>ключевая ставка ЦБ РФ</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</si>
</sst>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43" formatCode="_-* #,##0.00\ _₽_-;\-* #,##0.00\ _₽_-;_-* &quot;-&quot;??\ _₽_-;_-@_-"/>
    <numFmt numFmtId="164" formatCode="#,##0.0"/>
    <numFmt numFmtId="165" formatCode="0.0"/>
    <numFmt numFmtId="166" formatCode="0.000"/>
    <numFmt numFmtId="167" formatCode="0.000000"/>
    <numFmt numFmtId="168" formatCode="0.000%"/>
    <numFmt numFmtId="169" formatCode="0.0%"/>
    <numFmt numFmtId="170" formatCode="0.0000"/>
    <numFmt numFmtId="171" formatCode="#&quot; &quot;?/8"/>
    <numFmt numFmtId="172" formatCode="#,##0.00&quot;р.&quot;"/>
  </numFmts>
  <fonts count="151" x14ac:knownFonts="1">
    <font>
      <sz val="11"/>
      <color theme="1"/>
      <name val="Calibri"/>
      <family val="2"/>
      <charset val="204"/>
      <scheme val="minor"/>
    </font>
    <font>
      <sz val="11"/>
      <color theme="1"/>
      <name val="Calibri"/>
      <family val="2"/>
      <charset val="204"/>
      <scheme val="minor"/>
    </font>
    <font>
      <sz val="11"/>
      <color theme="1"/>
      <name val="Calibri"/>
      <family val="2"/>
      <scheme val="minor"/>
    </font>
    <font>
      <b/>
      <sz val="11"/>
      <color theme="1"/>
      <name val="Calibri"/>
      <family val="2"/>
      <scheme val="minor"/>
    </font>
    <font>
      <b/>
      <sz val="11"/>
      <color theme="1"/>
      <name val="Arial"/>
      <family val="2"/>
    </font>
    <font>
      <sz val="12"/>
      <color theme="1"/>
      <name val="Calibri"/>
      <family val="2"/>
      <scheme val="minor"/>
    </font>
    <font>
      <sz val="12"/>
      <color theme="1"/>
      <name val="Calibri"/>
      <family val="2"/>
    </font>
    <font>
      <b/>
      <sz val="11"/>
      <color theme="1"/>
      <name val="Calibri"/>
      <family val="2"/>
      <charset val="204"/>
      <scheme val="minor"/>
    </font>
    <font>
      <sz val="10"/>
      <name val="Arial"/>
      <family val="2"/>
      <charset val="204"/>
    </font>
    <font>
      <i/>
      <sz val="11"/>
      <color theme="1"/>
      <name val="Calibri"/>
      <family val="2"/>
      <charset val="204"/>
      <scheme val="minor"/>
    </font>
    <font>
      <sz val="14"/>
      <color theme="1"/>
      <name val="Times New Roman"/>
      <family val="1"/>
      <charset val="204"/>
    </font>
    <font>
      <sz val="8"/>
      <color rgb="FF000000"/>
      <name val="Segoe UI"/>
      <family val="2"/>
      <charset val="204"/>
    </font>
    <font>
      <sz val="11"/>
      <color rgb="FFFF0000"/>
      <name val="Calibri"/>
      <family val="2"/>
      <charset val="204"/>
      <scheme val="minor"/>
    </font>
    <font>
      <i/>
      <vertAlign val="subscript"/>
      <sz val="11"/>
      <color theme="1"/>
      <name val="Calibri"/>
      <family val="2"/>
      <charset val="204"/>
      <scheme val="minor"/>
    </font>
    <font>
      <sz val="12"/>
      <color theme="1"/>
      <name val="Times New Roman"/>
      <family val="1"/>
      <charset val="204"/>
    </font>
    <font>
      <i/>
      <sz val="12"/>
      <color theme="1"/>
      <name val="Times New Roman"/>
      <family val="1"/>
      <charset val="204"/>
    </font>
    <font>
      <vertAlign val="subscript"/>
      <sz val="11"/>
      <color theme="1"/>
      <name val="Calibri"/>
      <family val="2"/>
      <charset val="204"/>
      <scheme val="minor"/>
    </font>
    <font>
      <vertAlign val="subscript"/>
      <sz val="12"/>
      <color theme="1"/>
      <name val="Times New Roman"/>
      <family val="1"/>
      <charset val="204"/>
    </font>
    <font>
      <i/>
      <vertAlign val="subscript"/>
      <sz val="12"/>
      <color theme="1"/>
      <name val="Times New Roman"/>
      <family val="1"/>
      <charset val="204"/>
    </font>
    <font>
      <vertAlign val="superscript"/>
      <sz val="11"/>
      <color theme="1"/>
      <name val="Calibri"/>
      <family val="2"/>
      <charset val="204"/>
      <scheme val="minor"/>
    </font>
    <font>
      <vertAlign val="superscript"/>
      <sz val="12"/>
      <color theme="1"/>
      <name val="Times New Roman"/>
      <family val="1"/>
      <charset val="204"/>
    </font>
    <font>
      <sz val="12"/>
      <color rgb="FF000000"/>
      <name val="Times New Roman"/>
      <family val="1"/>
      <charset val="204"/>
    </font>
    <font>
      <vertAlign val="subscript"/>
      <sz val="12"/>
      <color rgb="FF000000"/>
      <name val="Times New Roman"/>
      <family val="1"/>
      <charset val="204"/>
    </font>
    <font>
      <vertAlign val="superscript"/>
      <sz val="12"/>
      <color rgb="FF000000"/>
      <name val="Times New Roman"/>
      <family val="1"/>
      <charset val="204"/>
    </font>
    <font>
      <sz val="11"/>
      <color rgb="FF2D2D2D"/>
      <name val="Arial"/>
      <family val="2"/>
      <charset val="204"/>
    </font>
    <font>
      <sz val="11"/>
      <color theme="1"/>
      <name val="Arial"/>
      <family val="2"/>
      <charset val="204"/>
    </font>
    <font>
      <sz val="9"/>
      <color theme="1"/>
      <name val="Times New Roman"/>
      <family val="1"/>
      <charset val="204"/>
    </font>
    <font>
      <sz val="10"/>
      <color theme="1"/>
      <name val="Times New Roman"/>
      <family val="1"/>
      <charset val="204"/>
    </font>
    <font>
      <b/>
      <sz val="10"/>
      <color theme="1"/>
      <name val="Times New Roman"/>
      <family val="1"/>
      <charset val="204"/>
    </font>
    <font>
      <sz val="11"/>
      <name val="Calibri"/>
      <family val="2"/>
      <charset val="204"/>
      <scheme val="minor"/>
    </font>
    <font>
      <sz val="10"/>
      <color theme="1"/>
      <name val="Calibri"/>
      <family val="2"/>
      <charset val="204"/>
      <scheme val="minor"/>
    </font>
    <font>
      <sz val="9"/>
      <color theme="1"/>
      <name val="Calibri"/>
      <family val="2"/>
      <charset val="204"/>
      <scheme val="minor"/>
    </font>
    <font>
      <b/>
      <vertAlign val="superscript"/>
      <sz val="11"/>
      <color theme="1"/>
      <name val="Calibri"/>
      <family val="2"/>
      <charset val="204"/>
      <scheme val="minor"/>
    </font>
    <font>
      <b/>
      <sz val="12"/>
      <color theme="1"/>
      <name val="Times New Roman"/>
      <family val="1"/>
      <charset val="204"/>
    </font>
    <font>
      <b/>
      <sz val="12"/>
      <name val="Times New Roman"/>
      <family val="1"/>
      <charset val="204"/>
    </font>
    <font>
      <sz val="10"/>
      <name val="Calibri"/>
      <family val="2"/>
      <charset val="204"/>
      <scheme val="minor"/>
    </font>
    <font>
      <b/>
      <sz val="10"/>
      <color theme="1"/>
      <name val="Calibri"/>
      <family val="2"/>
      <charset val="204"/>
      <scheme val="minor"/>
    </font>
    <font>
      <vertAlign val="superscript"/>
      <sz val="10"/>
      <color theme="1"/>
      <name val="Times New Roman"/>
      <family val="1"/>
      <charset val="204"/>
    </font>
    <font>
      <sz val="8"/>
      <color theme="1"/>
      <name val="Times New Roman"/>
      <family val="1"/>
      <charset val="204"/>
    </font>
    <font>
      <b/>
      <sz val="10"/>
      <name val="Times New Roman"/>
      <family val="1"/>
      <charset val="204"/>
    </font>
    <font>
      <b/>
      <vertAlign val="subscript"/>
      <sz val="11"/>
      <color theme="1"/>
      <name val="Calibri"/>
      <family val="2"/>
      <charset val="204"/>
      <scheme val="minor"/>
    </font>
    <font>
      <b/>
      <sz val="9"/>
      <color theme="1"/>
      <name val="Calibri"/>
      <family val="2"/>
      <charset val="204"/>
      <scheme val="minor"/>
    </font>
    <font>
      <vertAlign val="superscript"/>
      <sz val="9"/>
      <color theme="1"/>
      <name val="Times New Roman"/>
      <family val="1"/>
      <charset val="204"/>
    </font>
    <font>
      <i/>
      <sz val="9"/>
      <color theme="1"/>
      <name val="Times New Roman"/>
      <family val="1"/>
      <charset val="204"/>
    </font>
    <font>
      <sz val="14"/>
      <color rgb="FF000000"/>
      <name val="Times New Roman"/>
      <family val="1"/>
      <charset val="204"/>
    </font>
    <font>
      <sz val="10"/>
      <name val="Times New Roman"/>
      <family val="1"/>
      <charset val="204"/>
    </font>
    <font>
      <sz val="9"/>
      <name val="Times New Roman"/>
      <family val="1"/>
      <charset val="204"/>
    </font>
    <font>
      <b/>
      <sz val="10"/>
      <color rgb="FFFF0000"/>
      <name val="Calibri"/>
      <family val="2"/>
      <charset val="204"/>
      <scheme val="minor"/>
    </font>
    <font>
      <b/>
      <sz val="9"/>
      <color theme="1"/>
      <name val="Times New Roman"/>
      <family val="1"/>
      <charset val="204"/>
    </font>
    <font>
      <b/>
      <i/>
      <sz val="9"/>
      <color theme="1"/>
      <name val="Times New Roman"/>
      <family val="1"/>
      <charset val="204"/>
    </font>
    <font>
      <b/>
      <sz val="10"/>
      <color rgb="FFFF0000"/>
      <name val="Times New Roman"/>
      <family val="1"/>
      <charset val="204"/>
    </font>
    <font>
      <b/>
      <sz val="11"/>
      <color rgb="FFFF0000"/>
      <name val="Calibri"/>
      <family val="2"/>
      <charset val="204"/>
      <scheme val="minor"/>
    </font>
    <font>
      <b/>
      <sz val="12"/>
      <color theme="1"/>
      <name val="Calibri"/>
      <family val="2"/>
      <charset val="204"/>
      <scheme val="minor"/>
    </font>
    <font>
      <sz val="9"/>
      <color rgb="FF000000"/>
      <name val="Verdana"/>
      <family val="2"/>
      <charset val="204"/>
    </font>
    <font>
      <b/>
      <sz val="9"/>
      <color rgb="FF000000"/>
      <name val="Verdana"/>
      <family val="2"/>
      <charset val="204"/>
    </font>
    <font>
      <b/>
      <sz val="8"/>
      <color rgb="FF00008B"/>
      <name val="Verdana"/>
      <family val="2"/>
      <charset val="204"/>
    </font>
    <font>
      <b/>
      <vertAlign val="subscript"/>
      <sz val="8"/>
      <color rgb="FF00008B"/>
      <name val="Verdana"/>
      <family val="2"/>
      <charset val="204"/>
    </font>
    <font>
      <sz val="9"/>
      <color theme="1"/>
      <name val="Verdana"/>
      <family val="2"/>
      <charset val="204"/>
    </font>
    <font>
      <sz val="7.5"/>
      <color theme="1"/>
      <name val="Verdana"/>
      <family val="2"/>
      <charset val="204"/>
    </font>
    <font>
      <sz val="7.5"/>
      <color rgb="FFFF0000"/>
      <name val="Verdana"/>
      <family val="2"/>
      <charset val="204"/>
    </font>
    <font>
      <u/>
      <sz val="9"/>
      <color theme="1"/>
      <name val="Verdana"/>
      <family val="2"/>
      <charset val="204"/>
    </font>
    <font>
      <sz val="11"/>
      <color theme="1"/>
      <name val="Calibri"/>
      <family val="2"/>
      <charset val="204"/>
    </font>
    <font>
      <vertAlign val="superscript"/>
      <sz val="11"/>
      <color theme="1"/>
      <name val="Calibri"/>
      <family val="2"/>
      <charset val="204"/>
    </font>
    <font>
      <b/>
      <sz val="11"/>
      <color theme="1"/>
      <name val="Calibri"/>
      <family val="2"/>
      <charset val="204"/>
    </font>
    <font>
      <vertAlign val="subscript"/>
      <sz val="9"/>
      <color theme="1"/>
      <name val="Times New Roman"/>
      <family val="1"/>
      <charset val="204"/>
    </font>
    <font>
      <sz val="22"/>
      <color theme="1"/>
      <name val="Calibri"/>
      <family val="2"/>
      <charset val="204"/>
      <scheme val="minor"/>
    </font>
    <font>
      <sz val="8"/>
      <color theme="1"/>
      <name val="Calibri"/>
      <family val="2"/>
      <charset val="204"/>
      <scheme val="minor"/>
    </font>
    <font>
      <sz val="11"/>
      <color theme="1"/>
      <name val="Times New Roman"/>
      <family val="1"/>
      <charset val="204"/>
    </font>
    <font>
      <sz val="9"/>
      <color rgb="FF1C1C1C"/>
      <name val="Calibri"/>
      <family val="2"/>
      <charset val="204"/>
      <scheme val="minor"/>
    </font>
    <font>
      <i/>
      <sz val="10"/>
      <color theme="1"/>
      <name val="Calibri"/>
      <family val="2"/>
      <charset val="204"/>
      <scheme val="minor"/>
    </font>
    <font>
      <b/>
      <sz val="11"/>
      <name val="Calibri"/>
      <family val="2"/>
      <charset val="204"/>
      <scheme val="minor"/>
    </font>
    <font>
      <sz val="9"/>
      <color indexed="81"/>
      <name val="Tahoma"/>
      <family val="2"/>
      <charset val="204"/>
    </font>
    <font>
      <b/>
      <sz val="9"/>
      <color indexed="81"/>
      <name val="Tahoma"/>
      <family val="2"/>
      <charset val="204"/>
    </font>
    <font>
      <sz val="6"/>
      <color theme="1"/>
      <name val="Calibri"/>
      <family val="2"/>
      <charset val="204"/>
      <scheme val="minor"/>
    </font>
    <font>
      <sz val="5"/>
      <color theme="1"/>
      <name val="Calibri"/>
      <family val="2"/>
      <charset val="204"/>
      <scheme val="minor"/>
    </font>
    <font>
      <i/>
      <sz val="11"/>
      <color rgb="FFFF0000"/>
      <name val="Calibri"/>
      <family val="2"/>
      <charset val="204"/>
      <scheme val="minor"/>
    </font>
    <font>
      <b/>
      <vertAlign val="superscript"/>
      <sz val="9"/>
      <color theme="1"/>
      <name val="Times New Roman"/>
      <family val="1"/>
      <charset val="204"/>
    </font>
    <font>
      <i/>
      <sz val="10"/>
      <color rgb="FF00B050"/>
      <name val="Times New Roman"/>
      <family val="1"/>
      <charset val="204"/>
    </font>
    <font>
      <i/>
      <sz val="10"/>
      <color rgb="FF00B050"/>
      <name val="Calibri"/>
      <family val="2"/>
      <charset val="204"/>
      <scheme val="minor"/>
    </font>
    <font>
      <b/>
      <i/>
      <sz val="10"/>
      <color rgb="FF00B050"/>
      <name val="Calibri"/>
      <family val="2"/>
      <charset val="204"/>
      <scheme val="minor"/>
    </font>
    <font>
      <i/>
      <sz val="11"/>
      <color rgb="FF00B050"/>
      <name val="Calibri"/>
      <family val="2"/>
      <charset val="204"/>
      <scheme val="minor"/>
    </font>
    <font>
      <b/>
      <i/>
      <sz val="10"/>
      <color rgb="FF00B050"/>
      <name val="Times New Roman"/>
      <family val="1"/>
      <charset val="204"/>
    </font>
    <font>
      <i/>
      <sz val="9"/>
      <color rgb="FF00B050"/>
      <name val="Times New Roman"/>
      <family val="1"/>
      <charset val="204"/>
    </font>
    <font>
      <b/>
      <sz val="14"/>
      <color theme="1"/>
      <name val="Calibri"/>
      <family val="2"/>
      <charset val="204"/>
      <scheme val="minor"/>
    </font>
    <font>
      <u/>
      <sz val="11"/>
      <color theme="10"/>
      <name val="Calibri"/>
      <family val="2"/>
      <charset val="204"/>
      <scheme val="minor"/>
    </font>
    <font>
      <sz val="12"/>
      <color rgb="FFFF0000"/>
      <name val="Calibri"/>
      <family val="2"/>
      <charset val="204"/>
      <scheme val="minor"/>
    </font>
    <font>
      <b/>
      <sz val="18"/>
      <color theme="1"/>
      <name val="Times New Roman"/>
      <family val="1"/>
      <charset val="204"/>
    </font>
    <font>
      <sz val="14"/>
      <color rgb="FFFF0000"/>
      <name val="Calibri"/>
      <family val="2"/>
      <charset val="204"/>
      <scheme val="minor"/>
    </font>
    <font>
      <sz val="10"/>
      <color rgb="FFFF0000"/>
      <name val="Calibri"/>
      <family val="2"/>
      <charset val="204"/>
      <scheme val="minor"/>
    </font>
    <font>
      <sz val="9"/>
      <color rgb="FFFF0000"/>
      <name val="Times New Roman"/>
      <family val="1"/>
      <charset val="204"/>
    </font>
    <font>
      <sz val="11"/>
      <color rgb="FF2D2D2D"/>
      <name val="Courier New"/>
      <family val="3"/>
      <charset val="204"/>
    </font>
    <font>
      <b/>
      <i/>
      <sz val="10"/>
      <name val="Times New Roman"/>
      <family val="1"/>
      <charset val="204"/>
    </font>
    <font>
      <i/>
      <sz val="11"/>
      <name val="Calibri"/>
      <family val="2"/>
      <charset val="204"/>
      <scheme val="minor"/>
    </font>
    <font>
      <sz val="11"/>
      <color rgb="FFCCFFCC"/>
      <name val="Calibri"/>
      <family val="2"/>
      <charset val="204"/>
      <scheme val="minor"/>
    </font>
    <font>
      <sz val="11"/>
      <color rgb="FFC9C9C9"/>
      <name val="Calibri"/>
      <family val="2"/>
      <charset val="204"/>
      <scheme val="minor"/>
    </font>
    <font>
      <sz val="18"/>
      <color rgb="FFFF0000"/>
      <name val="Calibri"/>
      <family val="2"/>
      <charset val="204"/>
      <scheme val="minor"/>
    </font>
    <font>
      <sz val="11"/>
      <color theme="1" tint="0.499984740745262"/>
      <name val="Calibri"/>
      <family val="2"/>
      <charset val="204"/>
      <scheme val="minor"/>
    </font>
    <font>
      <sz val="11"/>
      <color theme="0"/>
      <name val="Calibri"/>
      <family val="2"/>
      <charset val="204"/>
      <scheme val="minor"/>
    </font>
    <font>
      <sz val="10"/>
      <color theme="0"/>
      <name val="Calibri"/>
      <family val="2"/>
      <charset val="204"/>
      <scheme val="minor"/>
    </font>
    <font>
      <sz val="20"/>
      <color theme="1"/>
      <name val="Times New Roman"/>
      <family val="1"/>
      <charset val="204"/>
    </font>
    <font>
      <sz val="15"/>
      <color theme="1"/>
      <name val="Times New Roman"/>
      <family val="1"/>
      <charset val="204"/>
    </font>
    <font>
      <sz val="13"/>
      <color theme="1"/>
      <name val="Times New Roman"/>
      <family val="1"/>
      <charset val="204"/>
    </font>
    <font>
      <sz val="1"/>
      <color theme="0"/>
      <name val="Calibri"/>
      <family val="2"/>
      <charset val="204"/>
      <scheme val="minor"/>
    </font>
    <font>
      <b/>
      <sz val="14"/>
      <color theme="1"/>
      <name val="Cambria"/>
      <family val="1"/>
      <charset val="204"/>
    </font>
    <font>
      <b/>
      <sz val="12"/>
      <color theme="1"/>
      <name val="Cambria"/>
      <family val="1"/>
      <charset val="204"/>
    </font>
    <font>
      <sz val="12"/>
      <color indexed="8"/>
      <name val="Cambria"/>
      <family val="1"/>
      <charset val="204"/>
    </font>
    <font>
      <b/>
      <sz val="11"/>
      <color theme="1"/>
      <name val="Cambria"/>
      <family val="1"/>
      <charset val="204"/>
    </font>
    <font>
      <sz val="11"/>
      <color theme="1"/>
      <name val="Cambria"/>
      <family val="1"/>
      <charset val="204"/>
    </font>
    <font>
      <sz val="11"/>
      <name val="Cambria"/>
      <family val="1"/>
      <charset val="204"/>
    </font>
    <font>
      <sz val="11"/>
      <color theme="1" tint="4.9989318521683403E-2"/>
      <name val="Calibri"/>
      <family val="2"/>
      <charset val="204"/>
      <scheme val="minor"/>
    </font>
    <font>
      <sz val="11"/>
      <color rgb="FFEAEAEA"/>
      <name val="Calibri"/>
      <family val="2"/>
      <charset val="204"/>
      <scheme val="minor"/>
    </font>
    <font>
      <u/>
      <sz val="14"/>
      <color theme="10"/>
      <name val="Times New Roman"/>
      <family val="1"/>
      <charset val="204"/>
    </font>
    <font>
      <u/>
      <sz val="10"/>
      <color theme="10"/>
      <name val="Calibri"/>
      <family val="2"/>
      <charset val="204"/>
      <scheme val="minor"/>
    </font>
    <font>
      <b/>
      <sz val="22"/>
      <color theme="1"/>
      <name val="Calibri"/>
      <family val="2"/>
      <charset val="204"/>
    </font>
    <font>
      <b/>
      <sz val="14"/>
      <color theme="1"/>
      <name val="Calibri"/>
      <family val="2"/>
      <charset val="204"/>
    </font>
    <font>
      <sz val="14"/>
      <color theme="1"/>
      <name val="Calibri"/>
      <family val="2"/>
      <charset val="204"/>
    </font>
    <font>
      <vertAlign val="superscript"/>
      <sz val="11"/>
      <name val="Calibri"/>
      <family val="2"/>
      <charset val="204"/>
      <scheme val="minor"/>
    </font>
    <font>
      <sz val="12"/>
      <color theme="1"/>
      <name val="Calibri"/>
      <family val="2"/>
      <charset val="204"/>
      <scheme val="minor"/>
    </font>
    <font>
      <sz val="11"/>
      <color theme="0" tint="-0.499984740745262"/>
      <name val="Calibri"/>
      <family val="2"/>
      <charset val="204"/>
      <scheme val="minor"/>
    </font>
    <font>
      <vertAlign val="superscript"/>
      <sz val="10"/>
      <color theme="1"/>
      <name val="Calibri"/>
      <family val="2"/>
      <charset val="204"/>
      <scheme val="minor"/>
    </font>
    <font>
      <sz val="11"/>
      <color rgb="FF1C1C1C"/>
      <name val="Calibri"/>
      <family val="2"/>
      <charset val="204"/>
      <scheme val="minor"/>
    </font>
    <font>
      <vertAlign val="superscript"/>
      <sz val="9"/>
      <color rgb="FF1C1C1C"/>
      <name val="Calibri"/>
      <family val="2"/>
      <charset val="204"/>
      <scheme val="minor"/>
    </font>
    <font>
      <i/>
      <sz val="9"/>
      <color rgb="FF1C1C1C"/>
      <name val="Calibri"/>
      <family val="2"/>
      <charset val="204"/>
      <scheme val="minor"/>
    </font>
    <font>
      <sz val="11"/>
      <color rgb="FFCCFF99"/>
      <name val="Calibri"/>
      <family val="2"/>
      <charset val="204"/>
      <scheme val="minor"/>
    </font>
    <font>
      <vertAlign val="superscript"/>
      <sz val="8"/>
      <color theme="1"/>
      <name val="Calibri"/>
      <family val="2"/>
      <charset val="204"/>
      <scheme val="minor"/>
    </font>
    <font>
      <sz val="13.5"/>
      <name val="Calibri"/>
      <family val="2"/>
      <charset val="204"/>
      <scheme val="minor"/>
    </font>
    <font>
      <sz val="11"/>
      <color theme="9" tint="-0.249977111117893"/>
      <name val="Calibri"/>
      <family val="2"/>
      <charset val="204"/>
      <scheme val="minor"/>
    </font>
    <font>
      <sz val="11"/>
      <color theme="9" tint="-0.499984740745262"/>
      <name val="Calibri"/>
      <family val="2"/>
      <charset val="204"/>
      <scheme val="minor"/>
    </font>
    <font>
      <b/>
      <sz val="14"/>
      <color theme="9" tint="-0.499984740745262"/>
      <name val="Calibri"/>
      <family val="2"/>
      <charset val="204"/>
      <scheme val="minor"/>
    </font>
    <font>
      <sz val="14"/>
      <color theme="1"/>
      <name val="Calibri"/>
      <family val="2"/>
      <charset val="204"/>
      <scheme val="minor"/>
    </font>
    <font>
      <sz val="11"/>
      <color theme="9" tint="-0.499984740745262"/>
      <name val="Cambria"/>
      <family val="1"/>
      <charset val="204"/>
    </font>
    <font>
      <sz val="1"/>
      <color theme="9" tint="0.79998168889431442"/>
      <name val="Calibri"/>
      <family val="2"/>
      <charset val="204"/>
      <scheme val="minor"/>
    </font>
    <font>
      <sz val="11.4"/>
      <color rgb="FFFF0000"/>
      <name val="Calibri"/>
      <family val="2"/>
      <charset val="204"/>
      <scheme val="minor"/>
    </font>
    <font>
      <vertAlign val="superscript"/>
      <sz val="12"/>
      <color theme="1"/>
      <name val="Calibri"/>
      <family val="2"/>
      <charset val="204"/>
      <scheme val="minor"/>
    </font>
    <font>
      <sz val="10"/>
      <color rgb="FFC9C9C9"/>
      <name val="Calibri"/>
      <family val="2"/>
      <charset val="204"/>
      <scheme val="minor"/>
    </font>
    <font>
      <b/>
      <sz val="9"/>
      <color theme="1" tint="0.499984740745262"/>
      <name val="Calibri"/>
      <family val="2"/>
      <charset val="204"/>
      <scheme val="minor"/>
    </font>
    <font>
      <sz val="9"/>
      <color theme="1" tint="0.499984740745262"/>
      <name val="Calibri"/>
      <family val="2"/>
      <charset val="204"/>
      <scheme val="minor"/>
    </font>
    <font>
      <b/>
      <sz val="18"/>
      <color theme="1"/>
      <name val="Calibri"/>
      <family val="2"/>
      <charset val="204"/>
      <scheme val="minor"/>
    </font>
    <font>
      <b/>
      <vertAlign val="superscript"/>
      <sz val="11"/>
      <name val="Calibri"/>
      <family val="2"/>
      <charset val="204"/>
      <scheme val="minor"/>
    </font>
    <font>
      <sz val="12"/>
      <name val="Calibri"/>
      <family val="2"/>
      <charset val="204"/>
      <scheme val="minor"/>
    </font>
    <font>
      <b/>
      <sz val="14"/>
      <name val="Calibri"/>
      <family val="2"/>
      <charset val="204"/>
      <scheme val="minor"/>
    </font>
    <font>
      <sz val="16"/>
      <color theme="1"/>
      <name val="Calibri"/>
      <family val="2"/>
      <charset val="204"/>
      <scheme val="minor"/>
    </font>
    <font>
      <sz val="14"/>
      <name val="Calibri"/>
      <family val="2"/>
      <charset val="204"/>
      <scheme val="minor"/>
    </font>
    <font>
      <b/>
      <sz val="20"/>
      <color theme="1"/>
      <name val="Times New Roman"/>
      <family val="1"/>
      <charset val="204"/>
    </font>
    <font>
      <sz val="11"/>
      <color rgb="FFE3F3D1"/>
      <name val="Calibri"/>
      <family val="2"/>
      <charset val="204"/>
      <scheme val="minor"/>
    </font>
    <font>
      <sz val="18"/>
      <color theme="1"/>
      <name val="Calibri"/>
      <family val="2"/>
      <charset val="204"/>
      <scheme val="minor"/>
    </font>
    <font>
      <sz val="11"/>
      <color theme="1" tint="0.34998626667073579"/>
      <name val="Calibri"/>
      <family val="2"/>
      <charset val="204"/>
      <scheme val="minor"/>
    </font>
    <font>
      <sz val="11"/>
      <color rgb="FF000000"/>
      <name val="Calibri"/>
      <family val="2"/>
      <charset val="204"/>
      <scheme val="minor"/>
    </font>
    <font>
      <b/>
      <sz val="18"/>
      <color rgb="FFFF0000"/>
      <name val="Calibri"/>
      <family val="2"/>
      <charset val="204"/>
      <scheme val="minor"/>
    </font>
    <font>
      <b/>
      <sz val="12"/>
      <color rgb="FFFF0000"/>
      <name val="Calibri"/>
      <family val="2"/>
      <charset val="204"/>
      <scheme val="minor"/>
    </font>
    <font>
      <sz val="11"/>
      <color theme="2"/>
      <name val="Calibri"/>
      <family val="2"/>
      <charset val="204"/>
      <scheme val="minor"/>
    </font>
  </fonts>
  <fills count="46">
    <fill>
      <patternFill patternType="none"/>
    </fill>
    <fill>
      <patternFill patternType="gray125"/>
    </fill>
    <fill>
      <patternFill patternType="solid">
        <fgColor theme="0"/>
        <bgColor indexed="64"/>
      </patternFill>
    </fill>
    <fill>
      <patternFill patternType="solid">
        <fgColor theme="0"/>
        <bgColor theme="0" tint="-0.14999847407452621"/>
      </patternFill>
    </fill>
    <fill>
      <patternFill patternType="solid">
        <fgColor theme="0" tint="-0.14999847407452621"/>
        <bgColor theme="0" tint="-0.14999847407452621"/>
      </patternFill>
    </fill>
    <fill>
      <patternFill patternType="solid">
        <fgColor theme="0" tint="-0.14999847407452621"/>
        <bgColor indexed="64"/>
      </patternFill>
    </fill>
    <fill>
      <patternFill patternType="solid">
        <fgColor rgb="FFFFFF00"/>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4" tint="0.39997558519241921"/>
        <bgColor indexed="64"/>
      </patternFill>
    </fill>
    <fill>
      <patternFill patternType="solid">
        <fgColor theme="9" tint="0.79998168889431442"/>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rgb="FFCCFF99"/>
        <bgColor indexed="64"/>
      </patternFill>
    </fill>
    <fill>
      <patternFill patternType="solid">
        <fgColor rgb="FFFFFFFF"/>
        <bgColor indexed="64"/>
      </patternFill>
    </fill>
    <fill>
      <patternFill patternType="solid">
        <fgColor rgb="FF92D050"/>
        <bgColor indexed="64"/>
      </patternFill>
    </fill>
    <fill>
      <patternFill patternType="solid">
        <fgColor rgb="FFE3F3D1"/>
        <bgColor indexed="64"/>
      </patternFill>
    </fill>
    <fill>
      <patternFill patternType="solid">
        <fgColor theme="9" tint="-0.249977111117893"/>
        <bgColor indexed="64"/>
      </patternFill>
    </fill>
    <fill>
      <patternFill patternType="solid">
        <fgColor theme="9" tint="0.39997558519241921"/>
        <bgColor indexed="64"/>
      </patternFill>
    </fill>
    <fill>
      <patternFill patternType="solid">
        <fgColor rgb="FF00B050"/>
        <bgColor indexed="64"/>
      </patternFill>
    </fill>
    <fill>
      <patternFill patternType="darkGrid">
        <fgColor rgb="FFCCFF99"/>
        <bgColor theme="0" tint="-0.14996795556505021"/>
      </patternFill>
    </fill>
    <fill>
      <patternFill patternType="solid">
        <fgColor theme="0" tint="-4.9989318521683403E-2"/>
        <bgColor indexed="64"/>
      </patternFill>
    </fill>
    <fill>
      <patternFill patternType="solid">
        <fgColor rgb="FF99FFCC"/>
        <bgColor indexed="64"/>
      </patternFill>
    </fill>
    <fill>
      <patternFill patternType="darkGrid">
        <fgColor rgb="FFCCFF99"/>
        <bgColor rgb="FFCCFF99"/>
      </patternFill>
    </fill>
    <fill>
      <patternFill patternType="solid">
        <fgColor theme="0" tint="-0.249977111117893"/>
        <bgColor indexed="64"/>
      </patternFill>
    </fill>
    <fill>
      <patternFill patternType="solid">
        <fgColor rgb="FF00B0F0"/>
        <bgColor indexed="64"/>
      </patternFill>
    </fill>
    <fill>
      <patternFill patternType="solid">
        <fgColor rgb="FFB8FF71"/>
        <bgColor indexed="64"/>
      </patternFill>
    </fill>
    <fill>
      <patternFill patternType="solid">
        <fgColor rgb="FF66CCFF"/>
        <bgColor indexed="64"/>
      </patternFill>
    </fill>
    <fill>
      <patternFill patternType="solid">
        <fgColor rgb="FFFFC000"/>
        <bgColor indexed="64"/>
      </patternFill>
    </fill>
    <fill>
      <patternFill patternType="solid">
        <fgColor rgb="FFC9C9C9"/>
        <bgColor indexed="64"/>
      </patternFill>
    </fill>
    <fill>
      <patternFill patternType="darkGrid">
        <fgColor rgb="FFCCFF99"/>
        <bgColor rgb="FF66CCFF"/>
      </patternFill>
    </fill>
    <fill>
      <patternFill patternType="darkGrid">
        <fgColor rgb="FFCCFF99"/>
        <bgColor rgb="FFFFFF00"/>
      </patternFill>
    </fill>
    <fill>
      <patternFill patternType="darkGrid">
        <fgColor rgb="FFCCFF99"/>
        <bgColor rgb="FFB8FF71"/>
      </patternFill>
    </fill>
    <fill>
      <patternFill patternType="darkGrid">
        <fgColor rgb="FFCCFF99"/>
        <bgColor theme="0"/>
      </patternFill>
    </fill>
    <fill>
      <patternFill patternType="darkGrid">
        <fgColor rgb="FFCCFFCC"/>
        <bgColor theme="7" tint="0.79998168889431442"/>
      </patternFill>
    </fill>
    <fill>
      <patternFill patternType="solid">
        <fgColor rgb="FFCCFFCC"/>
        <bgColor indexed="64"/>
      </patternFill>
    </fill>
    <fill>
      <patternFill patternType="solid">
        <fgColor rgb="FFEAEAEA"/>
        <bgColor indexed="64"/>
      </patternFill>
    </fill>
    <fill>
      <patternFill patternType="darkGrid">
        <fgColor rgb="FFCCFF99"/>
        <bgColor rgb="FFC9C9C9"/>
      </patternFill>
    </fill>
    <fill>
      <patternFill patternType="solid">
        <fgColor theme="0" tint="-0.14996795556505021"/>
        <bgColor rgb="FFCCFF99"/>
      </patternFill>
    </fill>
    <fill>
      <patternFill patternType="solid">
        <fgColor rgb="FFC9C9C9"/>
        <bgColor rgb="FFCCFF99"/>
      </patternFill>
    </fill>
    <fill>
      <patternFill patternType="solid">
        <fgColor theme="4" tint="0.39997558519241921"/>
        <bgColor rgb="FFCCFF99"/>
      </patternFill>
    </fill>
    <fill>
      <patternFill patternType="solid">
        <fgColor rgb="FFFFFF00"/>
        <bgColor rgb="FFCCFF99"/>
      </patternFill>
    </fill>
    <fill>
      <patternFill patternType="solid">
        <fgColor rgb="FF8FE2FF"/>
        <bgColor indexed="64"/>
      </patternFill>
    </fill>
    <fill>
      <patternFill patternType="solid">
        <fgColor theme="0"/>
        <bgColor auto="1"/>
      </patternFill>
    </fill>
    <fill>
      <patternFill patternType="solid">
        <fgColor theme="1" tint="0.249977111117893"/>
        <bgColor indexed="64"/>
      </patternFill>
    </fill>
    <fill>
      <patternFill patternType="solid">
        <fgColor theme="0"/>
        <bgColor theme="0"/>
      </patternFill>
    </fill>
  </fills>
  <borders count="114">
    <border>
      <left/>
      <right/>
      <top/>
      <bottom/>
      <diagonal/>
    </border>
    <border>
      <left/>
      <right/>
      <top/>
      <bottom style="thin">
        <color auto="1"/>
      </bottom>
      <diagonal/>
    </border>
    <border>
      <left/>
      <right style="thin">
        <color auto="1"/>
      </right>
      <top/>
      <bottom style="thin">
        <color auto="1"/>
      </bottom>
      <diagonal/>
    </border>
    <border>
      <left style="thin">
        <color auto="1"/>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style="thin">
        <color auto="1"/>
      </right>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right/>
      <top style="thin">
        <color auto="1"/>
      </top>
      <bottom style="thin">
        <color auto="1"/>
      </bottom>
      <diagonal/>
    </border>
    <border>
      <left/>
      <right/>
      <top style="thin">
        <color auto="1"/>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rgb="FF000000"/>
      </left>
      <right/>
      <top style="medium">
        <color rgb="FF000000"/>
      </top>
      <bottom style="medium">
        <color rgb="FF000000"/>
      </bottom>
      <diagonal/>
    </border>
    <border>
      <left style="medium">
        <color rgb="FF000000"/>
      </left>
      <right/>
      <top/>
      <bottom style="medium">
        <color rgb="FF000000"/>
      </bottom>
      <diagonal/>
    </border>
    <border>
      <left style="medium">
        <color rgb="FF000000"/>
      </left>
      <right style="medium">
        <color rgb="FF000000"/>
      </right>
      <top style="medium">
        <color rgb="FF000000"/>
      </top>
      <bottom/>
      <diagonal/>
    </border>
    <border>
      <left/>
      <right/>
      <top style="medium">
        <color rgb="FF000000"/>
      </top>
      <bottom style="medium">
        <color rgb="FF000000"/>
      </bottom>
      <diagonal/>
    </border>
    <border>
      <left style="medium">
        <color rgb="FF000000"/>
      </left>
      <right style="medium">
        <color rgb="FF000000"/>
      </right>
      <top/>
      <bottom/>
      <diagonal/>
    </border>
    <border>
      <left style="thin">
        <color indexed="64"/>
      </left>
      <right style="thin">
        <color indexed="64"/>
      </right>
      <top/>
      <bottom/>
      <diagonal/>
    </border>
    <border>
      <left style="thin">
        <color auto="1"/>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right/>
      <top style="thin">
        <color rgb="FF000000"/>
      </top>
      <bottom/>
      <diagonal/>
    </border>
    <border>
      <left/>
      <right/>
      <top/>
      <bottom style="thin">
        <color rgb="FF000000"/>
      </bottom>
      <diagonal/>
    </border>
    <border>
      <left style="medium">
        <color indexed="64"/>
      </left>
      <right style="medium">
        <color indexed="64"/>
      </right>
      <top style="medium">
        <color indexed="64"/>
      </top>
      <bottom style="thin">
        <color auto="1"/>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style="thin">
        <color auto="1"/>
      </top>
      <bottom style="medium">
        <color indexed="64"/>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style="medium">
        <color indexed="64"/>
      </right>
      <top/>
      <bottom style="thin">
        <color auto="1"/>
      </bottom>
      <diagonal/>
    </border>
    <border>
      <left style="medium">
        <color indexed="64"/>
      </left>
      <right style="thin">
        <color auto="1"/>
      </right>
      <top/>
      <bottom style="thin">
        <color auto="1"/>
      </bottom>
      <diagonal/>
    </border>
    <border>
      <left style="thin">
        <color auto="1"/>
      </left>
      <right style="medium">
        <color indexed="64"/>
      </right>
      <top/>
      <bottom style="thin">
        <color auto="1"/>
      </bottom>
      <diagonal/>
    </border>
    <border>
      <left/>
      <right style="thin">
        <color auto="1"/>
      </right>
      <top style="medium">
        <color indexed="64"/>
      </top>
      <bottom style="thin">
        <color auto="1"/>
      </bottom>
      <diagonal/>
    </border>
    <border>
      <left style="thin">
        <color auto="1"/>
      </left>
      <right/>
      <top style="medium">
        <color indexed="64"/>
      </top>
      <bottom style="thin">
        <color auto="1"/>
      </bottom>
      <diagonal/>
    </border>
    <border>
      <left/>
      <right style="thin">
        <color auto="1"/>
      </right>
      <top style="thin">
        <color auto="1"/>
      </top>
      <bottom style="medium">
        <color indexed="64"/>
      </bottom>
      <diagonal/>
    </border>
    <border>
      <left style="thin">
        <color auto="1"/>
      </left>
      <right/>
      <top style="thin">
        <color auto="1"/>
      </top>
      <bottom style="medium">
        <color indexed="64"/>
      </bottom>
      <diagonal/>
    </border>
    <border>
      <left style="medium">
        <color indexed="64"/>
      </left>
      <right style="medium">
        <color indexed="64"/>
      </right>
      <top style="thin">
        <color auto="1"/>
      </top>
      <bottom/>
      <diagonal/>
    </border>
    <border>
      <left style="medium">
        <color indexed="64"/>
      </left>
      <right style="thin">
        <color auto="1"/>
      </right>
      <top style="thin">
        <color auto="1"/>
      </top>
      <bottom/>
      <diagonal/>
    </border>
    <border>
      <left style="thin">
        <color auto="1"/>
      </left>
      <right style="medium">
        <color indexed="64"/>
      </right>
      <top style="thin">
        <color auto="1"/>
      </top>
      <bottom/>
      <diagonal/>
    </border>
    <border>
      <left style="medium">
        <color indexed="64"/>
      </left>
      <right/>
      <top style="medium">
        <color indexed="64"/>
      </top>
      <bottom style="thin">
        <color auto="1"/>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style="thin">
        <color auto="1"/>
      </left>
      <right style="thin">
        <color auto="1"/>
      </right>
      <top style="medium">
        <color indexed="64"/>
      </top>
      <bottom/>
      <diagonal/>
    </border>
    <border>
      <left style="thin">
        <color auto="1"/>
      </left>
      <right style="medium">
        <color indexed="64"/>
      </right>
      <top/>
      <bottom/>
      <diagonal/>
    </border>
    <border>
      <left style="medium">
        <color indexed="64"/>
      </left>
      <right style="thin">
        <color auto="1"/>
      </right>
      <top/>
      <bottom style="medium">
        <color indexed="64"/>
      </bottom>
      <diagonal/>
    </border>
    <border>
      <left style="thin">
        <color auto="1"/>
      </left>
      <right style="thin">
        <color auto="1"/>
      </right>
      <top/>
      <bottom style="medium">
        <color indexed="64"/>
      </bottom>
      <diagonal/>
    </border>
    <border>
      <left style="thin">
        <color auto="1"/>
      </left>
      <right style="medium">
        <color indexed="64"/>
      </right>
      <top/>
      <bottom style="medium">
        <color indexed="64"/>
      </bottom>
      <diagonal/>
    </border>
    <border>
      <left style="medium">
        <color indexed="64"/>
      </left>
      <right/>
      <top style="thin">
        <color auto="1"/>
      </top>
      <bottom style="thin">
        <color auto="1"/>
      </bottom>
      <diagonal/>
    </border>
    <border>
      <left style="medium">
        <color indexed="64"/>
      </left>
      <right/>
      <top style="thin">
        <color auto="1"/>
      </top>
      <bottom style="medium">
        <color indexed="64"/>
      </bottom>
      <diagonal/>
    </border>
    <border>
      <left style="medium">
        <color indexed="64"/>
      </left>
      <right/>
      <top/>
      <bottom style="thin">
        <color auto="1"/>
      </bottom>
      <diagonal/>
    </border>
    <border>
      <left/>
      <right style="medium">
        <color indexed="64"/>
      </right>
      <top/>
      <bottom style="thin">
        <color auto="1"/>
      </bottom>
      <diagonal/>
    </border>
    <border>
      <left/>
      <right style="medium">
        <color indexed="64"/>
      </right>
      <top style="thin">
        <color auto="1"/>
      </top>
      <bottom style="medium">
        <color indexed="64"/>
      </bottom>
      <diagonal/>
    </border>
    <border>
      <left/>
      <right style="medium">
        <color indexed="64"/>
      </right>
      <top style="medium">
        <color indexed="64"/>
      </top>
      <bottom/>
      <diagonal/>
    </border>
    <border>
      <left/>
      <right style="medium">
        <color indexed="64"/>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right style="medium">
        <color indexed="64"/>
      </right>
      <top style="thin">
        <color auto="1"/>
      </top>
      <bottom/>
      <diagonal/>
    </border>
    <border>
      <left style="medium">
        <color indexed="64"/>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top/>
      <bottom style="medium">
        <color indexed="64"/>
      </bottom>
      <diagonal/>
    </border>
    <border>
      <left style="medium">
        <color indexed="64"/>
      </left>
      <right style="thin">
        <color auto="1"/>
      </right>
      <top style="medium">
        <color indexed="64"/>
      </top>
      <bottom/>
      <diagonal/>
    </border>
    <border>
      <left style="thin">
        <color auto="1"/>
      </left>
      <right style="medium">
        <color indexed="64"/>
      </right>
      <top style="medium">
        <color indexed="64"/>
      </top>
      <bottom/>
      <diagonal/>
    </border>
    <border>
      <left style="medium">
        <color indexed="64"/>
      </left>
      <right/>
      <top style="medium">
        <color indexed="64"/>
      </top>
      <bottom/>
      <diagonal/>
    </border>
    <border>
      <left/>
      <right style="thin">
        <color auto="1"/>
      </right>
      <top style="medium">
        <color indexed="64"/>
      </top>
      <bottom/>
      <diagonal/>
    </border>
    <border>
      <left/>
      <right style="thin">
        <color auto="1"/>
      </right>
      <top/>
      <bottom style="medium">
        <color indexed="64"/>
      </bottom>
      <diagonal/>
    </border>
    <border>
      <left style="medium">
        <color indexed="64"/>
      </left>
      <right style="medium">
        <color indexed="64"/>
      </right>
      <top/>
      <bottom/>
      <diagonal/>
    </border>
    <border>
      <left style="medium">
        <color indexed="64"/>
      </left>
      <right style="thin">
        <color auto="1"/>
      </right>
      <top/>
      <bottom/>
      <diagonal/>
    </border>
    <border>
      <left style="medium">
        <color indexed="64"/>
      </left>
      <right/>
      <top/>
      <bottom/>
      <diagonal/>
    </border>
    <border>
      <left/>
      <right style="medium">
        <color indexed="64"/>
      </right>
      <top/>
      <bottom/>
      <diagonal/>
    </border>
    <border>
      <left/>
      <right/>
      <top/>
      <bottom style="medium">
        <color indexed="64"/>
      </bottom>
      <diagonal/>
    </border>
    <border>
      <left/>
      <right/>
      <top style="medium">
        <color indexed="64"/>
      </top>
      <bottom style="medium">
        <color indexed="64"/>
      </bottom>
      <diagonal/>
    </border>
    <border>
      <left/>
      <right/>
      <top style="medium">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auto="1"/>
      </left>
      <right style="thick">
        <color auto="1"/>
      </right>
      <top style="thin">
        <color auto="1"/>
      </top>
      <bottom style="medium">
        <color auto="1"/>
      </bottom>
      <diagonal/>
    </border>
    <border>
      <left style="medium">
        <color theme="9"/>
      </left>
      <right style="medium">
        <color theme="9"/>
      </right>
      <top style="medium">
        <color theme="9"/>
      </top>
      <bottom style="medium">
        <color theme="9"/>
      </bottom>
      <diagonal/>
    </border>
    <border>
      <left style="medium">
        <color theme="9"/>
      </left>
      <right/>
      <top/>
      <bottom style="thin">
        <color indexed="64"/>
      </bottom>
      <diagonal/>
    </border>
  </borders>
  <cellStyleXfs count="11">
    <xf numFmtId="0" fontId="0" fillId="0" borderId="0"/>
    <xf numFmtId="9" fontId="1" fillId="0" borderId="0" applyFont="0" applyFill="0" applyBorder="0" applyAlignment="0" applyProtection="0"/>
    <xf numFmtId="0" fontId="2" fillId="0" borderId="0"/>
    <xf numFmtId="0" fontId="5" fillId="0" borderId="0"/>
    <xf numFmtId="0" fontId="1" fillId="0" borderId="0"/>
    <xf numFmtId="0" fontId="8" fillId="0" borderId="0" applyNumberFormat="0" applyFont="0" applyFill="0" applyBorder="0" applyAlignment="0" applyProtection="0">
      <alignment vertical="top"/>
    </xf>
    <xf numFmtId="0" fontId="1" fillId="0" borderId="0"/>
    <xf numFmtId="9"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84" fillId="0" borderId="0" applyNumberFormat="0" applyFill="0" applyBorder="0" applyAlignment="0" applyProtection="0"/>
  </cellStyleXfs>
  <cellXfs count="1889">
    <xf numFmtId="0" fontId="0" fillId="0" borderId="0" xfId="0"/>
    <xf numFmtId="0" fontId="0" fillId="20" borderId="0" xfId="0" applyFill="1"/>
    <xf numFmtId="0" fontId="0" fillId="0" borderId="0" xfId="0" applyAlignment="1">
      <alignment vertical="center"/>
    </xf>
    <xf numFmtId="0" fontId="0" fillId="13" borderId="0" xfId="0" applyFill="1"/>
    <xf numFmtId="0" fontId="27" fillId="13" borderId="0" xfId="0" applyFont="1" applyFill="1" applyAlignment="1">
      <alignment horizontal="left" vertical="center" wrapText="1" indent="1"/>
    </xf>
    <xf numFmtId="0" fontId="12" fillId="13" borderId="0" xfId="0" applyFont="1" applyFill="1" applyAlignment="1">
      <alignment horizontal="center"/>
    </xf>
    <xf numFmtId="0" fontId="27" fillId="13" borderId="0" xfId="0" applyFont="1" applyFill="1" applyBorder="1" applyAlignment="1">
      <alignment horizontal="left" vertical="top" wrapText="1" indent="1"/>
    </xf>
    <xf numFmtId="0" fontId="27" fillId="13" borderId="0" xfId="0" applyFont="1" applyFill="1" applyAlignment="1">
      <alignment horizontal="left" vertical="center" wrapText="1"/>
    </xf>
    <xf numFmtId="0" fontId="0" fillId="0" borderId="0" xfId="0"/>
    <xf numFmtId="0" fontId="0" fillId="13" borderId="4" xfId="0" applyFill="1" applyBorder="1"/>
    <xf numFmtId="0" fontId="0" fillId="20" borderId="0" xfId="0" applyFill="1"/>
    <xf numFmtId="0" fontId="0" fillId="13" borderId="4" xfId="0" applyFill="1" applyBorder="1" applyAlignment="1">
      <alignment horizontal="center"/>
    </xf>
    <xf numFmtId="0" fontId="27" fillId="13" borderId="0" xfId="0" applyFont="1" applyFill="1" applyAlignment="1">
      <alignment horizontal="left" vertical="center" wrapText="1" indent="1"/>
    </xf>
    <xf numFmtId="0" fontId="0" fillId="23" borderId="0" xfId="0" applyFill="1"/>
    <xf numFmtId="0" fontId="0" fillId="21" borderId="4" xfId="0" applyFill="1" applyBorder="1" applyAlignment="1">
      <alignment vertical="center"/>
    </xf>
    <xf numFmtId="0" fontId="0" fillId="21" borderId="4" xfId="0" applyFill="1" applyBorder="1" applyAlignment="1">
      <alignment wrapText="1"/>
    </xf>
    <xf numFmtId="2" fontId="0" fillId="20" borderId="0" xfId="0" applyNumberFormat="1" applyFill="1" applyAlignment="1">
      <alignment horizontal="center"/>
    </xf>
    <xf numFmtId="0" fontId="0" fillId="0" borderId="0" xfId="0"/>
    <xf numFmtId="0" fontId="0" fillId="20" borderId="0" xfId="0" applyFill="1"/>
    <xf numFmtId="0" fontId="0" fillId="21" borderId="4" xfId="0" applyFill="1" applyBorder="1"/>
    <xf numFmtId="0" fontId="12" fillId="20" borderId="0" xfId="0" applyFont="1" applyFill="1"/>
    <xf numFmtId="0" fontId="84" fillId="20" borderId="0" xfId="10" applyFill="1"/>
    <xf numFmtId="0" fontId="84" fillId="0" borderId="0" xfId="10"/>
    <xf numFmtId="2" fontId="0" fillId="20" borderId="0" xfId="0" applyNumberFormat="1" applyFill="1"/>
    <xf numFmtId="0" fontId="0" fillId="13" borderId="8" xfId="0" applyFill="1" applyBorder="1"/>
    <xf numFmtId="0" fontId="0" fillId="21" borderId="4" xfId="0" applyFill="1" applyBorder="1" applyAlignment="1">
      <alignment horizontal="center"/>
    </xf>
    <xf numFmtId="0" fontId="0" fillId="20" borderId="0" xfId="0" applyFill="1" applyAlignment="1">
      <alignment wrapText="1"/>
    </xf>
    <xf numFmtId="169" fontId="0" fillId="20" borderId="0" xfId="1" applyNumberFormat="1" applyFont="1" applyFill="1"/>
    <xf numFmtId="0" fontId="86" fillId="20" borderId="0" xfId="0" applyFont="1" applyFill="1" applyAlignment="1">
      <alignment vertical="center"/>
    </xf>
    <xf numFmtId="0" fontId="0" fillId="43" borderId="0" xfId="0" applyFill="1"/>
    <xf numFmtId="0" fontId="67" fillId="43" borderId="0" xfId="0" applyFont="1" applyFill="1"/>
    <xf numFmtId="0" fontId="67" fillId="20" borderId="0" xfId="0" applyFont="1" applyFill="1"/>
    <xf numFmtId="0" fontId="67" fillId="0" borderId="0" xfId="0" applyFont="1"/>
    <xf numFmtId="0" fontId="67" fillId="2" borderId="0" xfId="0" applyFont="1" applyFill="1"/>
    <xf numFmtId="0" fontId="101" fillId="20" borderId="0" xfId="0" applyFont="1" applyFill="1"/>
    <xf numFmtId="0" fontId="101" fillId="2" borderId="0" xfId="0" applyFont="1" applyFill="1"/>
    <xf numFmtId="0" fontId="101" fillId="2" borderId="0" xfId="0" applyFont="1" applyFill="1" applyAlignment="1">
      <alignment horizontal="left" vertical="top" wrapText="1"/>
    </xf>
    <xf numFmtId="0" fontId="101" fillId="2" borderId="0" xfId="0" applyFont="1" applyFill="1" applyAlignment="1">
      <alignment vertical="top" wrapText="1"/>
    </xf>
    <xf numFmtId="0" fontId="101" fillId="20" borderId="0" xfId="0" applyFont="1" applyFill="1" applyAlignment="1">
      <alignment vertical="center" wrapText="1"/>
    </xf>
    <xf numFmtId="0" fontId="67" fillId="2" borderId="0" xfId="0" applyFont="1" applyFill="1" applyAlignment="1">
      <alignment horizontal="right"/>
    </xf>
    <xf numFmtId="0" fontId="98" fillId="2" borderId="0" xfId="0" applyFont="1" applyFill="1" applyBorder="1" applyAlignment="1" applyProtection="1">
      <alignment horizontal="right" vertical="center"/>
      <protection hidden="1"/>
    </xf>
    <xf numFmtId="0" fontId="30" fillId="2" borderId="0" xfId="0" applyFont="1" applyFill="1" applyAlignment="1" applyProtection="1">
      <alignment horizontal="center" vertical="center"/>
      <protection hidden="1"/>
    </xf>
    <xf numFmtId="0" fontId="102" fillId="2" borderId="0" xfId="0" applyFont="1" applyFill="1" applyProtection="1">
      <protection hidden="1"/>
    </xf>
    <xf numFmtId="0" fontId="30" fillId="2" borderId="0" xfId="0" applyFont="1" applyFill="1" applyProtection="1">
      <protection hidden="1"/>
    </xf>
    <xf numFmtId="0" fontId="30" fillId="20" borderId="0" xfId="0" applyFont="1" applyFill="1" applyProtection="1"/>
    <xf numFmtId="0" fontId="30" fillId="0" borderId="0" xfId="0" applyFont="1" applyProtection="1">
      <protection hidden="1"/>
    </xf>
    <xf numFmtId="0" fontId="30" fillId="0" borderId="0" xfId="0" applyFont="1" applyFill="1" applyProtection="1">
      <protection hidden="1"/>
    </xf>
    <xf numFmtId="0" fontId="30" fillId="0" borderId="100" xfId="0" applyFont="1" applyFill="1" applyBorder="1" applyAlignment="1" applyProtection="1">
      <alignment horizontal="left" vertical="center" wrapText="1" indent="1"/>
      <protection locked="0" hidden="1"/>
    </xf>
    <xf numFmtId="0" fontId="30" fillId="0" borderId="104" xfId="0" applyFont="1" applyFill="1" applyBorder="1" applyAlignment="1" applyProtection="1">
      <alignment horizontal="left" vertical="center" wrapText="1" indent="1"/>
      <protection locked="0" hidden="1"/>
    </xf>
    <xf numFmtId="0" fontId="84" fillId="0" borderId="104" xfId="10" applyFill="1" applyBorder="1" applyAlignment="1" applyProtection="1">
      <alignment horizontal="left" vertical="center" wrapText="1" indent="1"/>
      <protection locked="0" hidden="1"/>
    </xf>
    <xf numFmtId="0" fontId="30" fillId="0" borderId="108" xfId="0" applyFont="1" applyFill="1" applyBorder="1" applyAlignment="1" applyProtection="1">
      <alignment horizontal="left" vertical="center" wrapText="1" indent="1"/>
      <protection locked="0" hidden="1"/>
    </xf>
    <xf numFmtId="0" fontId="106" fillId="5" borderId="3" xfId="0" applyFont="1" applyFill="1" applyBorder="1" applyAlignment="1" applyProtection="1">
      <alignment horizontal="center" vertical="center" wrapText="1"/>
      <protection hidden="1"/>
    </xf>
    <xf numFmtId="0" fontId="35" fillId="21" borderId="100" xfId="0" applyFont="1" applyFill="1" applyBorder="1" applyAlignment="1" applyProtection="1">
      <alignment horizontal="center" vertical="center"/>
      <protection hidden="1"/>
    </xf>
    <xf numFmtId="0" fontId="35" fillId="0" borderId="100" xfId="0" applyFont="1" applyBorder="1" applyAlignment="1" applyProtection="1">
      <alignment horizontal="center" vertical="center"/>
      <protection locked="0" hidden="1"/>
    </xf>
    <xf numFmtId="0" fontId="35" fillId="21" borderId="104" xfId="0" applyFont="1" applyFill="1" applyBorder="1" applyAlignment="1" applyProtection="1">
      <alignment horizontal="center" vertical="center"/>
      <protection hidden="1"/>
    </xf>
    <xf numFmtId="0" fontId="35" fillId="0" borderId="104" xfId="0" applyFont="1" applyBorder="1" applyAlignment="1" applyProtection="1">
      <alignment horizontal="center" vertical="center"/>
      <protection locked="0" hidden="1"/>
    </xf>
    <xf numFmtId="0" fontId="35" fillId="21" borderId="108" xfId="0" applyFont="1" applyFill="1" applyBorder="1" applyAlignment="1" applyProtection="1">
      <alignment horizontal="center" vertical="center"/>
      <protection hidden="1"/>
    </xf>
    <xf numFmtId="0" fontId="35" fillId="0" borderId="108" xfId="0" applyFont="1" applyBorder="1" applyAlignment="1" applyProtection="1">
      <alignment horizontal="center" vertical="center"/>
      <protection locked="0" hidden="1"/>
    </xf>
    <xf numFmtId="0" fontId="106" fillId="5" borderId="8" xfId="0" applyFont="1" applyFill="1" applyBorder="1" applyAlignment="1" applyProtection="1">
      <alignment horizontal="center" vertical="center" wrapText="1"/>
      <protection hidden="1"/>
    </xf>
    <xf numFmtId="0" fontId="35" fillId="21" borderId="110" xfId="0" applyFont="1" applyFill="1" applyBorder="1" applyAlignment="1" applyProtection="1">
      <alignment horizontal="center" vertical="center"/>
      <protection hidden="1"/>
    </xf>
    <xf numFmtId="0" fontId="35" fillId="0" borderId="110" xfId="0" applyFont="1" applyBorder="1" applyAlignment="1" applyProtection="1">
      <alignment horizontal="center" vertical="center"/>
      <protection locked="0" hidden="1"/>
    </xf>
    <xf numFmtId="0" fontId="35" fillId="2" borderId="0" xfId="0" applyFont="1" applyFill="1" applyBorder="1" applyAlignment="1" applyProtection="1">
      <alignment horizontal="center" vertical="center"/>
      <protection hidden="1"/>
    </xf>
    <xf numFmtId="0" fontId="98" fillId="0" borderId="0" xfId="0" applyFont="1" applyBorder="1" applyAlignment="1" applyProtection="1">
      <alignment horizontal="right" vertical="center"/>
      <protection hidden="1"/>
    </xf>
    <xf numFmtId="0" fontId="35" fillId="0" borderId="0" xfId="0" applyFont="1" applyBorder="1" applyAlignment="1" applyProtection="1">
      <alignment horizontal="center" vertical="center"/>
      <protection hidden="1"/>
    </xf>
    <xf numFmtId="0" fontId="30" fillId="0" borderId="0" xfId="0" applyFont="1" applyAlignment="1" applyProtection="1">
      <alignment horizontal="center" vertical="center"/>
      <protection hidden="1"/>
    </xf>
    <xf numFmtId="0" fontId="30" fillId="0" borderId="0" xfId="0" applyFont="1" applyAlignment="1" applyProtection="1">
      <alignment vertical="center"/>
      <protection hidden="1"/>
    </xf>
    <xf numFmtId="0" fontId="102" fillId="0" borderId="0" xfId="0" applyFont="1" applyProtection="1">
      <protection hidden="1"/>
    </xf>
    <xf numFmtId="0" fontId="97" fillId="44" borderId="4" xfId="0" applyFont="1" applyFill="1" applyBorder="1" applyAlignment="1">
      <alignment horizontal="center" vertical="top" wrapText="1"/>
    </xf>
    <xf numFmtId="0" fontId="0" fillId="13" borderId="4" xfId="0" applyFill="1" applyBorder="1" applyAlignment="1" applyProtection="1">
      <alignment horizontal="center" vertical="center"/>
      <protection locked="0"/>
    </xf>
    <xf numFmtId="0" fontId="0" fillId="13" borderId="4" xfId="0" applyFont="1" applyFill="1" applyBorder="1" applyAlignment="1" applyProtection="1">
      <alignment horizontal="center" vertical="center"/>
      <protection locked="0"/>
    </xf>
    <xf numFmtId="0" fontId="0" fillId="13" borderId="4" xfId="0" applyFill="1" applyBorder="1" applyProtection="1">
      <protection locked="0"/>
    </xf>
    <xf numFmtId="0" fontId="0" fillId="13" borderId="8" xfId="0" applyFill="1" applyBorder="1" applyAlignment="1" applyProtection="1">
      <alignment horizontal="center" vertical="center"/>
      <protection locked="0"/>
    </xf>
    <xf numFmtId="0" fontId="0" fillId="13" borderId="8" xfId="0" applyFill="1" applyBorder="1" applyAlignment="1" applyProtection="1">
      <alignment horizontal="center"/>
      <protection locked="0"/>
    </xf>
    <xf numFmtId="0" fontId="7" fillId="13" borderId="8" xfId="0" applyFont="1" applyFill="1" applyBorder="1" applyAlignment="1" applyProtection="1">
      <alignment horizontal="center" vertical="center"/>
      <protection locked="0"/>
    </xf>
    <xf numFmtId="0" fontId="0" fillId="20" borderId="0" xfId="0" applyFill="1" applyProtection="1">
      <protection hidden="1"/>
    </xf>
    <xf numFmtId="0" fontId="0" fillId="0" borderId="0" xfId="0" applyProtection="1">
      <protection hidden="1"/>
    </xf>
    <xf numFmtId="0" fontId="0" fillId="0" borderId="4" xfId="0" applyFont="1" applyFill="1" applyBorder="1" applyAlignment="1" applyProtection="1">
      <alignment horizontal="center"/>
      <protection hidden="1"/>
    </xf>
    <xf numFmtId="0" fontId="28" fillId="0" borderId="4" xfId="0" applyFont="1" applyBorder="1" applyAlignment="1" applyProtection="1">
      <alignment vertical="center" wrapText="1"/>
      <protection hidden="1"/>
    </xf>
    <xf numFmtId="0" fontId="28" fillId="0" borderId="4" xfId="0" applyFont="1" applyBorder="1" applyAlignment="1" applyProtection="1">
      <alignment vertical="top" wrapText="1"/>
      <protection hidden="1"/>
    </xf>
    <xf numFmtId="0" fontId="0" fillId="0" borderId="4" xfId="0" applyFont="1" applyBorder="1" applyAlignment="1" applyProtection="1">
      <alignment horizontal="center"/>
      <protection locked="0" hidden="1"/>
    </xf>
    <xf numFmtId="0" fontId="0" fillId="0" borderId="4" xfId="0" applyFont="1" applyBorder="1" applyAlignment="1" applyProtection="1">
      <alignment horizontal="center"/>
      <protection hidden="1"/>
    </xf>
    <xf numFmtId="0" fontId="27" fillId="0" borderId="4" xfId="0" applyFont="1" applyBorder="1" applyAlignment="1" applyProtection="1">
      <alignment vertical="center" wrapText="1"/>
      <protection hidden="1"/>
    </xf>
    <xf numFmtId="0" fontId="0" fillId="0" borderId="4" xfId="0" applyBorder="1" applyAlignment="1" applyProtection="1">
      <alignment horizontal="center" vertical="center"/>
      <protection hidden="1"/>
    </xf>
    <xf numFmtId="0" fontId="0" fillId="0" borderId="4" xfId="0" applyFont="1" applyFill="1" applyBorder="1" applyAlignment="1" applyProtection="1">
      <alignment horizontal="center" vertical="center"/>
      <protection hidden="1"/>
    </xf>
    <xf numFmtId="0" fontId="0" fillId="0" borderId="0" xfId="0" applyFill="1" applyProtection="1">
      <protection hidden="1"/>
    </xf>
    <xf numFmtId="0" fontId="27" fillId="0" borderId="0" xfId="0" applyFont="1" applyBorder="1" applyAlignment="1" applyProtection="1">
      <alignment vertical="center" wrapText="1"/>
      <protection hidden="1"/>
    </xf>
    <xf numFmtId="0" fontId="0" fillId="0" borderId="0" xfId="0" applyBorder="1" applyAlignment="1" applyProtection="1">
      <alignment horizontal="center" vertical="center"/>
      <protection hidden="1"/>
    </xf>
    <xf numFmtId="0" fontId="27" fillId="0" borderId="0" xfId="0" applyFont="1" applyAlignment="1" applyProtection="1">
      <alignment vertical="center" wrapText="1"/>
      <protection hidden="1"/>
    </xf>
    <xf numFmtId="0" fontId="0" fillId="0" borderId="0" xfId="0" applyAlignment="1" applyProtection="1">
      <alignment horizontal="center" vertical="center"/>
      <protection hidden="1"/>
    </xf>
    <xf numFmtId="0" fontId="28" fillId="0" borderId="4" xfId="0" applyFont="1" applyBorder="1" applyAlignment="1" applyProtection="1">
      <alignment horizontal="left" vertical="top" wrapText="1"/>
      <protection hidden="1"/>
    </xf>
    <xf numFmtId="0" fontId="0" fillId="0" borderId="0" xfId="0" applyFill="1" applyBorder="1" applyAlignment="1" applyProtection="1">
      <alignment horizontal="left" vertical="top" wrapText="1" indent="1"/>
      <protection hidden="1"/>
    </xf>
    <xf numFmtId="0" fontId="0" fillId="0" borderId="0" xfId="0" applyBorder="1" applyAlignment="1" applyProtection="1">
      <alignment horizontal="center"/>
      <protection hidden="1"/>
    </xf>
    <xf numFmtId="0" fontId="12" fillId="0" borderId="0" xfId="0" applyFont="1" applyBorder="1" applyAlignment="1" applyProtection="1">
      <alignment horizontal="center" vertical="center" wrapText="1"/>
      <protection hidden="1"/>
    </xf>
    <xf numFmtId="0" fontId="0" fillId="0" borderId="0" xfId="0" applyBorder="1" applyProtection="1">
      <protection hidden="1"/>
    </xf>
    <xf numFmtId="0" fontId="26" fillId="0" borderId="0" xfId="0" applyFont="1" applyBorder="1" applyAlignment="1" applyProtection="1">
      <alignment horizontal="left" vertical="center" wrapText="1"/>
      <protection hidden="1"/>
    </xf>
    <xf numFmtId="0" fontId="0" fillId="0" borderId="4" xfId="0" applyBorder="1" applyProtection="1">
      <protection hidden="1"/>
    </xf>
    <xf numFmtId="0" fontId="0" fillId="21" borderId="4" xfId="0" applyFill="1" applyBorder="1" applyAlignment="1" applyProtection="1">
      <protection hidden="1"/>
    </xf>
    <xf numFmtId="2" fontId="0" fillId="0" borderId="0" xfId="0" applyNumberFormat="1" applyProtection="1">
      <protection hidden="1"/>
    </xf>
    <xf numFmtId="0" fontId="0" fillId="0" borderId="4" xfId="0" applyFill="1" applyBorder="1" applyProtection="1">
      <protection hidden="1"/>
    </xf>
    <xf numFmtId="1" fontId="0" fillId="0" borderId="0" xfId="0" applyNumberFormat="1" applyProtection="1">
      <protection hidden="1"/>
    </xf>
    <xf numFmtId="0" fontId="26" fillId="0" borderId="0" xfId="0" applyFont="1" applyAlignment="1" applyProtection="1">
      <alignment horizontal="center" vertical="center" wrapText="1"/>
      <protection hidden="1"/>
    </xf>
    <xf numFmtId="0" fontId="7" fillId="0" borderId="0" xfId="0" applyFont="1" applyProtection="1">
      <protection hidden="1"/>
    </xf>
    <xf numFmtId="165" fontId="26" fillId="0" borderId="0" xfId="0" applyNumberFormat="1" applyFont="1" applyAlignment="1" applyProtection="1">
      <alignment horizontal="center" vertical="center" wrapText="1"/>
      <protection hidden="1"/>
    </xf>
    <xf numFmtId="2" fontId="26" fillId="0" borderId="0" xfId="0" applyNumberFormat="1" applyFont="1" applyAlignment="1" applyProtection="1">
      <alignment horizontal="center" vertical="center" wrapText="1"/>
      <protection hidden="1"/>
    </xf>
    <xf numFmtId="0" fontId="0" fillId="0" borderId="0" xfId="0" applyAlignment="1" applyProtection="1">
      <alignment vertical="top" wrapText="1"/>
      <protection hidden="1"/>
    </xf>
    <xf numFmtId="0" fontId="26" fillId="0" borderId="0" xfId="0" applyFont="1" applyAlignment="1" applyProtection="1">
      <alignment horizontal="left" vertical="center" wrapText="1"/>
      <protection hidden="1"/>
    </xf>
    <xf numFmtId="0" fontId="0" fillId="0" borderId="4" xfId="0" applyBorder="1" applyAlignment="1" applyProtection="1">
      <alignment vertical="top" wrapText="1"/>
      <protection hidden="1"/>
    </xf>
    <xf numFmtId="49" fontId="28" fillId="0" borderId="4" xfId="0" applyNumberFormat="1" applyFont="1" applyBorder="1" applyAlignment="1" applyProtection="1">
      <alignment horizontal="center" vertical="center" wrapText="1"/>
      <protection hidden="1"/>
    </xf>
    <xf numFmtId="0" fontId="28" fillId="0" borderId="4" xfId="0" applyFont="1" applyBorder="1" applyAlignment="1" applyProtection="1">
      <alignment horizontal="center" vertical="center" wrapText="1"/>
      <protection hidden="1"/>
    </xf>
    <xf numFmtId="0" fontId="0" fillId="0" borderId="11" xfId="0" applyBorder="1" applyAlignment="1" applyProtection="1">
      <alignment horizontal="left" vertical="center" wrapText="1"/>
      <protection hidden="1"/>
    </xf>
    <xf numFmtId="0" fontId="0" fillId="0" borderId="4" xfId="0" applyBorder="1" applyAlignment="1" applyProtection="1">
      <alignment horizontal="center"/>
      <protection hidden="1"/>
    </xf>
    <xf numFmtId="0" fontId="26" fillId="0" borderId="4" xfId="0" applyFont="1" applyBorder="1" applyAlignment="1" applyProtection="1">
      <alignment horizontal="center" vertical="center" wrapText="1"/>
      <protection hidden="1"/>
    </xf>
    <xf numFmtId="0" fontId="0" fillId="0" borderId="28" xfId="0" applyFill="1" applyBorder="1" applyAlignment="1" applyProtection="1">
      <alignment horizontal="left" vertical="top" wrapText="1" indent="1"/>
      <protection hidden="1"/>
    </xf>
    <xf numFmtId="0" fontId="0" fillId="0" borderId="11" xfId="0" applyBorder="1" applyAlignment="1" applyProtection="1">
      <alignment horizontal="center" vertical="center"/>
      <protection hidden="1"/>
    </xf>
    <xf numFmtId="0" fontId="26" fillId="0" borderId="11" xfId="0" applyFont="1" applyBorder="1" applyAlignment="1" applyProtection="1">
      <alignment horizontal="center" vertical="center" wrapText="1"/>
      <protection hidden="1"/>
    </xf>
    <xf numFmtId="0" fontId="26" fillId="0" borderId="11" xfId="0" applyFont="1" applyBorder="1" applyAlignment="1" applyProtection="1">
      <alignment horizontal="left" vertical="center" wrapText="1"/>
      <protection hidden="1"/>
    </xf>
    <xf numFmtId="0" fontId="0" fillId="0" borderId="28" xfId="0" applyBorder="1" applyAlignment="1" applyProtection="1">
      <alignment horizontal="center"/>
      <protection hidden="1"/>
    </xf>
    <xf numFmtId="0" fontId="0" fillId="0" borderId="28" xfId="0" applyBorder="1" applyProtection="1">
      <protection hidden="1"/>
    </xf>
    <xf numFmtId="0" fontId="0" fillId="0" borderId="5" xfId="0" applyFill="1" applyBorder="1" applyAlignment="1" applyProtection="1">
      <alignment horizontal="left" vertical="top" wrapText="1" indent="1"/>
      <protection hidden="1"/>
    </xf>
    <xf numFmtId="0" fontId="26" fillId="0" borderId="13" xfId="0" applyFont="1" applyBorder="1" applyAlignment="1" applyProtection="1">
      <alignment horizontal="center" vertical="center" wrapText="1"/>
      <protection hidden="1"/>
    </xf>
    <xf numFmtId="0" fontId="0" fillId="0" borderId="5" xfId="0" applyBorder="1" applyAlignment="1" applyProtection="1">
      <alignment horizontal="center"/>
      <protection hidden="1"/>
    </xf>
    <xf numFmtId="0" fontId="0" fillId="0" borderId="5" xfId="0" applyBorder="1" applyProtection="1">
      <protection hidden="1"/>
    </xf>
    <xf numFmtId="1" fontId="12" fillId="0" borderId="0" xfId="0" applyNumberFormat="1" applyFont="1" applyBorder="1" applyAlignment="1" applyProtection="1">
      <alignment horizontal="right" vertical="center" wrapText="1"/>
      <protection hidden="1"/>
    </xf>
    <xf numFmtId="165" fontId="0" fillId="0" borderId="0" xfId="0" applyNumberFormat="1" applyProtection="1">
      <protection hidden="1"/>
    </xf>
    <xf numFmtId="170" fontId="0" fillId="0" borderId="0" xfId="0" applyNumberFormat="1" applyBorder="1" applyAlignment="1" applyProtection="1">
      <alignment horizontal="right"/>
      <protection hidden="1"/>
    </xf>
    <xf numFmtId="2" fontId="26" fillId="0" borderId="0" xfId="0" applyNumberFormat="1" applyFont="1" applyBorder="1" applyAlignment="1" applyProtection="1">
      <alignment horizontal="right" vertical="center" wrapText="1"/>
      <protection hidden="1"/>
    </xf>
    <xf numFmtId="0" fontId="28" fillId="0" borderId="8" xfId="0" applyFont="1" applyFill="1" applyBorder="1" applyAlignment="1" applyProtection="1">
      <alignment horizontal="left" vertical="top" wrapText="1"/>
      <protection hidden="1"/>
    </xf>
    <xf numFmtId="49" fontId="28" fillId="0" borderId="4" xfId="0" applyNumberFormat="1" applyFont="1" applyBorder="1" applyAlignment="1" applyProtection="1">
      <alignment horizontal="center" wrapText="1"/>
      <protection hidden="1"/>
    </xf>
    <xf numFmtId="0" fontId="39" fillId="0" borderId="4" xfId="0" applyFont="1" applyBorder="1" applyAlignment="1" applyProtection="1">
      <alignment horizontal="center" vertical="center" wrapText="1"/>
      <protection hidden="1"/>
    </xf>
    <xf numFmtId="0" fontId="28" fillId="0" borderId="4" xfId="0" applyFont="1" applyBorder="1" applyAlignment="1" applyProtection="1">
      <alignment horizontal="center"/>
      <protection hidden="1"/>
    </xf>
    <xf numFmtId="49" fontId="27" fillId="0" borderId="4" xfId="0" applyNumberFormat="1" applyFont="1" applyBorder="1" applyAlignment="1" applyProtection="1">
      <alignment horizontal="left" vertical="center" wrapText="1"/>
      <protection hidden="1"/>
    </xf>
    <xf numFmtId="0" fontId="28" fillId="0" borderId="12" xfId="0" applyFont="1" applyFill="1" applyBorder="1" applyAlignment="1" applyProtection="1">
      <alignment horizontal="left" vertical="top" wrapText="1"/>
      <protection hidden="1"/>
    </xf>
    <xf numFmtId="0" fontId="28" fillId="0" borderId="7" xfId="0" applyFont="1" applyFill="1" applyBorder="1" applyAlignment="1" applyProtection="1">
      <alignment horizontal="left" vertical="top" wrapText="1"/>
      <protection hidden="1"/>
    </xf>
    <xf numFmtId="49" fontId="27" fillId="0" borderId="4" xfId="0" applyNumberFormat="1" applyFont="1" applyBorder="1" applyAlignment="1" applyProtection="1">
      <alignment horizontal="center" wrapText="1"/>
      <protection hidden="1"/>
    </xf>
    <xf numFmtId="0" fontId="27" fillId="0" borderId="4" xfId="0" applyFont="1" applyBorder="1" applyAlignment="1" applyProtection="1">
      <alignment horizontal="center" vertical="center"/>
      <protection hidden="1"/>
    </xf>
    <xf numFmtId="0" fontId="45" fillId="0" borderId="4" xfId="0" applyFont="1" applyBorder="1" applyAlignment="1" applyProtection="1">
      <alignment horizontal="center" vertical="center" wrapText="1"/>
      <protection hidden="1"/>
    </xf>
    <xf numFmtId="0" fontId="26" fillId="0" borderId="4" xfId="0" applyFont="1" applyBorder="1" applyAlignment="1" applyProtection="1">
      <alignment vertical="center" wrapText="1"/>
      <protection hidden="1"/>
    </xf>
    <xf numFmtId="0" fontId="45" fillId="0" borderId="4" xfId="0" applyFont="1" applyBorder="1" applyAlignment="1" applyProtection="1">
      <alignment horizontal="left" vertical="center" wrapText="1"/>
      <protection hidden="1"/>
    </xf>
    <xf numFmtId="0" fontId="27" fillId="0" borderId="4" xfId="0" applyFont="1" applyBorder="1" applyAlignment="1" applyProtection="1">
      <alignment horizontal="center"/>
      <protection hidden="1"/>
    </xf>
    <xf numFmtId="166" fontId="45" fillId="0" borderId="4" xfId="0" applyNumberFormat="1" applyFont="1" applyBorder="1" applyAlignment="1" applyProtection="1">
      <alignment horizontal="center" vertical="center" wrapText="1"/>
      <protection hidden="1"/>
    </xf>
    <xf numFmtId="0" fontId="0" fillId="0" borderId="4" xfId="0" applyBorder="1" applyAlignment="1" applyProtection="1">
      <alignment vertical="center"/>
      <protection hidden="1"/>
    </xf>
    <xf numFmtId="1" fontId="26" fillId="0" borderId="0" xfId="0" applyNumberFormat="1" applyFont="1" applyBorder="1" applyAlignment="1" applyProtection="1">
      <alignment horizontal="left" vertical="center" wrapText="1"/>
      <protection hidden="1"/>
    </xf>
    <xf numFmtId="0" fontId="77" fillId="0" borderId="4" xfId="0" applyFont="1" applyBorder="1" applyAlignment="1" applyProtection="1">
      <alignment horizontal="left" vertical="center" wrapText="1"/>
      <protection hidden="1"/>
    </xf>
    <xf numFmtId="1" fontId="45" fillId="0" borderId="4" xfId="0" applyNumberFormat="1" applyFont="1" applyBorder="1" applyAlignment="1" applyProtection="1">
      <alignment horizontal="center" vertical="center" wrapText="1"/>
      <protection hidden="1"/>
    </xf>
    <xf numFmtId="1" fontId="77" fillId="0" borderId="4" xfId="0" applyNumberFormat="1" applyFont="1" applyBorder="1" applyAlignment="1" applyProtection="1">
      <alignment horizontal="center" vertical="center" wrapText="1"/>
      <protection hidden="1"/>
    </xf>
    <xf numFmtId="0" fontId="27" fillId="0" borderId="4" xfId="0" applyFont="1" applyBorder="1" applyAlignment="1" applyProtection="1">
      <alignment vertical="center"/>
      <protection hidden="1"/>
    </xf>
    <xf numFmtId="0" fontId="77" fillId="0" borderId="4" xfId="0" applyFont="1" applyBorder="1" applyAlignment="1" applyProtection="1">
      <alignment horizontal="center" vertical="center"/>
      <protection hidden="1"/>
    </xf>
    <xf numFmtId="0" fontId="82" fillId="0" borderId="4" xfId="0" applyFont="1" applyBorder="1" applyAlignment="1" applyProtection="1">
      <alignment vertical="center" wrapText="1"/>
      <protection hidden="1"/>
    </xf>
    <xf numFmtId="0" fontId="27" fillId="0" borderId="4" xfId="0" applyFont="1" applyFill="1" applyBorder="1" applyAlignment="1" applyProtection="1">
      <alignment horizontal="left" vertical="center" wrapText="1"/>
      <protection hidden="1"/>
    </xf>
    <xf numFmtId="0" fontId="27" fillId="0" borderId="11" xfId="0" applyFont="1" applyFill="1" applyBorder="1" applyAlignment="1" applyProtection="1">
      <alignment horizontal="left" vertical="center" wrapText="1"/>
      <protection hidden="1"/>
    </xf>
    <xf numFmtId="0" fontId="46" fillId="0" borderId="4" xfId="0" applyFont="1" applyBorder="1" applyAlignment="1" applyProtection="1">
      <alignment horizontal="center" vertical="center" wrapText="1"/>
      <protection hidden="1"/>
    </xf>
    <xf numFmtId="0" fontId="26" fillId="0" borderId="4" xfId="0" applyFont="1" applyFill="1" applyBorder="1" applyAlignment="1" applyProtection="1">
      <alignment vertical="center" wrapText="1"/>
      <protection hidden="1"/>
    </xf>
    <xf numFmtId="0" fontId="27" fillId="0" borderId="4" xfId="0" applyFont="1" applyFill="1" applyBorder="1" applyAlignment="1" applyProtection="1">
      <alignment horizontal="left" vertical="top" wrapText="1"/>
      <protection hidden="1"/>
    </xf>
    <xf numFmtId="0" fontId="0" fillId="0" borderId="11" xfId="0" applyBorder="1" applyAlignment="1" applyProtection="1">
      <alignment horizontal="center"/>
      <protection hidden="1"/>
    </xf>
    <xf numFmtId="0" fontId="46" fillId="0" borderId="11" xfId="0" applyFont="1" applyBorder="1" applyAlignment="1" applyProtection="1">
      <alignment horizontal="center" vertical="center" wrapText="1"/>
      <protection hidden="1"/>
    </xf>
    <xf numFmtId="0" fontId="26" fillId="0" borderId="28" xfId="0" applyFont="1" applyFill="1" applyBorder="1" applyAlignment="1" applyProtection="1">
      <alignment vertical="center" wrapText="1"/>
      <protection hidden="1"/>
    </xf>
    <xf numFmtId="0" fontId="27" fillId="0" borderId="4" xfId="0" applyFont="1" applyFill="1" applyBorder="1" applyAlignment="1" applyProtection="1">
      <alignment vertical="top" wrapText="1"/>
      <protection hidden="1"/>
    </xf>
    <xf numFmtId="1" fontId="45" fillId="0" borderId="4" xfId="0" applyNumberFormat="1" applyFont="1" applyFill="1" applyBorder="1" applyAlignment="1" applyProtection="1">
      <alignment horizontal="center" vertical="center" wrapText="1"/>
      <protection hidden="1"/>
    </xf>
    <xf numFmtId="0" fontId="77" fillId="0" borderId="8" xfId="0" applyFont="1" applyFill="1" applyBorder="1" applyAlignment="1" applyProtection="1">
      <alignment vertical="top" wrapText="1"/>
      <protection hidden="1"/>
    </xf>
    <xf numFmtId="0" fontId="46" fillId="0" borderId="4" xfId="0" applyFont="1" applyFill="1" applyBorder="1" applyAlignment="1" applyProtection="1">
      <alignment vertical="center" wrapText="1"/>
      <protection hidden="1"/>
    </xf>
    <xf numFmtId="1" fontId="39" fillId="0" borderId="4" xfId="0" applyNumberFormat="1" applyFont="1" applyFill="1" applyBorder="1" applyAlignment="1" applyProtection="1">
      <alignment horizontal="center" vertical="center" wrapText="1"/>
      <protection hidden="1"/>
    </xf>
    <xf numFmtId="0" fontId="29" fillId="0" borderId="4" xfId="0" applyFont="1" applyFill="1" applyBorder="1" applyProtection="1">
      <protection hidden="1"/>
    </xf>
    <xf numFmtId="1" fontId="91" fillId="0" borderId="0" xfId="0" applyNumberFormat="1" applyFont="1" applyFill="1" applyBorder="1" applyAlignment="1" applyProtection="1">
      <alignment horizontal="center" vertical="center" wrapText="1"/>
      <protection hidden="1"/>
    </xf>
    <xf numFmtId="0" fontId="77" fillId="0" borderId="12" xfId="0" applyFont="1" applyBorder="1" applyAlignment="1" applyProtection="1">
      <alignment horizontal="center" vertical="center"/>
      <protection hidden="1"/>
    </xf>
    <xf numFmtId="1" fontId="91" fillId="0" borderId="12" xfId="0" applyNumberFormat="1" applyFont="1" applyFill="1" applyBorder="1" applyAlignment="1" applyProtection="1">
      <alignment horizontal="center" vertical="center" wrapText="1"/>
      <protection hidden="1"/>
    </xf>
    <xf numFmtId="0" fontId="92" fillId="0" borderId="7" xfId="0" applyFont="1" applyFill="1" applyBorder="1" applyProtection="1">
      <protection hidden="1"/>
    </xf>
    <xf numFmtId="1" fontId="91" fillId="0" borderId="4" xfId="0" applyNumberFormat="1" applyFont="1" applyFill="1" applyBorder="1" applyAlignment="1" applyProtection="1">
      <alignment horizontal="center" vertical="center" wrapText="1"/>
      <protection hidden="1"/>
    </xf>
    <xf numFmtId="166" fontId="47" fillId="0" borderId="4" xfId="0" applyNumberFormat="1" applyFont="1" applyFill="1" applyBorder="1" applyAlignment="1" applyProtection="1">
      <alignment horizontal="center" vertical="center" wrapText="1"/>
      <protection hidden="1"/>
    </xf>
    <xf numFmtId="0" fontId="77" fillId="0" borderId="4" xfId="0" applyFont="1" applyFill="1" applyBorder="1" applyAlignment="1" applyProtection="1">
      <alignment horizontal="left" vertical="top" wrapText="1"/>
      <protection hidden="1"/>
    </xf>
    <xf numFmtId="0" fontId="30" fillId="0" borderId="4" xfId="0" applyFont="1" applyBorder="1" applyAlignment="1" applyProtection="1">
      <alignment horizontal="center" vertical="center"/>
      <protection hidden="1"/>
    </xf>
    <xf numFmtId="166" fontId="79" fillId="0" borderId="0" xfId="0" applyNumberFormat="1" applyFont="1" applyFill="1" applyBorder="1" applyAlignment="1" applyProtection="1">
      <alignment horizontal="center" vertical="center" wrapText="1"/>
      <protection hidden="1"/>
    </xf>
    <xf numFmtId="0" fontId="80" fillId="0" borderId="0" xfId="0" applyFont="1" applyProtection="1">
      <protection hidden="1"/>
    </xf>
    <xf numFmtId="0" fontId="45" fillId="0" borderId="4" xfId="0" applyFont="1" applyFill="1" applyBorder="1" applyAlignment="1" applyProtection="1">
      <alignment horizontal="left" vertical="top" wrapText="1"/>
      <protection hidden="1"/>
    </xf>
    <xf numFmtId="0" fontId="78" fillId="0" borderId="4" xfId="0" applyFont="1" applyBorder="1" applyAlignment="1" applyProtection="1">
      <alignment horizontal="center" vertical="center"/>
      <protection hidden="1"/>
    </xf>
    <xf numFmtId="166" fontId="79" fillId="0" borderId="4" xfId="0" applyNumberFormat="1" applyFont="1" applyFill="1" applyBorder="1" applyAlignment="1" applyProtection="1">
      <alignment horizontal="center" vertical="center" wrapText="1"/>
      <protection hidden="1"/>
    </xf>
    <xf numFmtId="0" fontId="80" fillId="0" borderId="4" xfId="0" applyFont="1" applyBorder="1" applyProtection="1">
      <protection hidden="1"/>
    </xf>
    <xf numFmtId="0" fontId="49" fillId="0" borderId="29" xfId="0" applyFont="1" applyBorder="1" applyAlignment="1" applyProtection="1">
      <alignment vertical="center" wrapText="1"/>
      <protection hidden="1"/>
    </xf>
    <xf numFmtId="0" fontId="49" fillId="0" borderId="0" xfId="0" applyFont="1" applyBorder="1" applyAlignment="1" applyProtection="1">
      <alignment vertical="center" wrapText="1"/>
      <protection hidden="1"/>
    </xf>
    <xf numFmtId="43" fontId="47" fillId="0" borderId="4" xfId="8" applyFont="1" applyFill="1" applyBorder="1" applyAlignment="1" applyProtection="1">
      <alignment vertical="center" wrapText="1"/>
      <protection hidden="1"/>
    </xf>
    <xf numFmtId="170" fontId="89" fillId="0" borderId="0" xfId="0" applyNumberFormat="1" applyFont="1" applyBorder="1" applyAlignment="1" applyProtection="1">
      <alignment vertical="center" wrapText="1"/>
      <protection hidden="1"/>
    </xf>
    <xf numFmtId="0" fontId="77" fillId="0" borderId="4" xfId="0" applyFont="1" applyFill="1" applyBorder="1" applyAlignment="1" applyProtection="1">
      <alignment horizontal="left" vertical="center" wrapText="1"/>
      <protection hidden="1"/>
    </xf>
    <xf numFmtId="166" fontId="80" fillId="0" borderId="0" xfId="0" applyNumberFormat="1" applyFont="1" applyProtection="1">
      <protection hidden="1"/>
    </xf>
    <xf numFmtId="166" fontId="79" fillId="0" borderId="4" xfId="0" applyNumberFormat="1" applyFont="1" applyBorder="1" applyAlignment="1" applyProtection="1">
      <alignment horizontal="center" vertical="center" wrapText="1"/>
      <protection hidden="1"/>
    </xf>
    <xf numFmtId="0" fontId="29" fillId="0" borderId="4" xfId="0" applyFont="1" applyBorder="1" applyAlignment="1" applyProtection="1">
      <alignment horizontal="center" vertical="center" wrapText="1"/>
      <protection hidden="1"/>
    </xf>
    <xf numFmtId="0" fontId="26" fillId="0" borderId="4" xfId="0" applyFont="1" applyBorder="1" applyAlignment="1" applyProtection="1">
      <alignment vertical="top" wrapText="1"/>
      <protection hidden="1"/>
    </xf>
    <xf numFmtId="1" fontId="50" fillId="0" borderId="4" xfId="0" applyNumberFormat="1" applyFont="1" applyBorder="1" applyAlignment="1" applyProtection="1">
      <alignment horizontal="center" vertical="center" wrapText="1"/>
      <protection hidden="1"/>
    </xf>
    <xf numFmtId="0" fontId="77" fillId="0" borderId="4" xfId="0" applyFont="1" applyFill="1" applyBorder="1" applyAlignment="1" applyProtection="1">
      <alignment vertical="top" wrapText="1"/>
      <protection hidden="1"/>
    </xf>
    <xf numFmtId="1" fontId="81" fillId="0" borderId="0" xfId="0" applyNumberFormat="1" applyFont="1" applyBorder="1" applyAlignment="1" applyProtection="1">
      <alignment horizontal="center" vertical="center" wrapText="1"/>
      <protection hidden="1"/>
    </xf>
    <xf numFmtId="0" fontId="77" fillId="0" borderId="13" xfId="0" applyFont="1" applyBorder="1" applyAlignment="1" applyProtection="1">
      <alignment horizontal="center" vertical="center"/>
      <protection hidden="1"/>
    </xf>
    <xf numFmtId="1" fontId="81" fillId="0" borderId="13" xfId="0" applyNumberFormat="1" applyFont="1" applyBorder="1" applyAlignment="1" applyProtection="1">
      <alignment horizontal="center" vertical="center" wrapText="1"/>
      <protection hidden="1"/>
    </xf>
    <xf numFmtId="0" fontId="80" fillId="0" borderId="13" xfId="0" applyFont="1" applyBorder="1" applyProtection="1">
      <protection hidden="1"/>
    </xf>
    <xf numFmtId="0" fontId="28" fillId="0" borderId="4" xfId="0" applyFont="1" applyBorder="1" applyAlignment="1" applyProtection="1">
      <alignment horizontal="center" vertical="center"/>
      <protection hidden="1"/>
    </xf>
    <xf numFmtId="0" fontId="0" fillId="0" borderId="4" xfId="0" applyFill="1" applyBorder="1" applyAlignment="1" applyProtection="1">
      <alignment horizontal="left" vertical="top" wrapText="1"/>
      <protection hidden="1"/>
    </xf>
    <xf numFmtId="16" fontId="28" fillId="0" borderId="4" xfId="0" applyNumberFormat="1" applyFont="1" applyBorder="1" applyAlignment="1" applyProtection="1">
      <alignment horizontal="center" wrapText="1"/>
      <protection hidden="1"/>
    </xf>
    <xf numFmtId="16" fontId="28" fillId="0" borderId="4" xfId="0" applyNumberFormat="1" applyFont="1" applyBorder="1" applyAlignment="1" applyProtection="1">
      <alignment horizontal="center" vertical="center" wrapText="1"/>
      <protection hidden="1"/>
    </xf>
    <xf numFmtId="0" fontId="26" fillId="0" borderId="13" xfId="0" applyFont="1" applyFill="1" applyBorder="1" applyAlignment="1" applyProtection="1">
      <alignment horizontal="left" vertical="top" wrapText="1"/>
      <protection hidden="1"/>
    </xf>
    <xf numFmtId="0" fontId="0" fillId="0" borderId="4" xfId="0" applyFill="1" applyBorder="1" applyAlignment="1" applyProtection="1">
      <alignment horizontal="center" vertical="center" wrapText="1"/>
      <protection hidden="1"/>
    </xf>
    <xf numFmtId="165" fontId="0" fillId="0" borderId="4" xfId="0" applyNumberFormat="1" applyBorder="1" applyAlignment="1" applyProtection="1">
      <alignment horizontal="center" vertical="center"/>
      <protection hidden="1"/>
    </xf>
    <xf numFmtId="0" fontId="14" fillId="0" borderId="23" xfId="0" applyFont="1" applyBorder="1" applyAlignment="1" applyProtection="1">
      <alignment horizontal="center" vertical="center" wrapText="1"/>
      <protection hidden="1"/>
    </xf>
    <xf numFmtId="0" fontId="14" fillId="0" borderId="24" xfId="0" applyFont="1" applyBorder="1" applyAlignment="1" applyProtection="1">
      <alignment vertical="center"/>
      <protection hidden="1"/>
    </xf>
    <xf numFmtId="0" fontId="14" fillId="0" borderId="14" xfId="0" applyFont="1" applyBorder="1" applyAlignment="1" applyProtection="1">
      <alignment horizontal="center" vertical="center" wrapText="1"/>
      <protection hidden="1"/>
    </xf>
    <xf numFmtId="0" fontId="14" fillId="0" borderId="24" xfId="0" applyFont="1" applyBorder="1" applyAlignment="1" applyProtection="1">
      <alignment horizontal="center" vertical="center"/>
      <protection hidden="1"/>
    </xf>
    <xf numFmtId="0" fontId="14" fillId="0" borderId="16" xfId="0" applyFont="1" applyBorder="1" applyAlignment="1" applyProtection="1">
      <alignment horizontal="center" vertical="center"/>
      <protection hidden="1"/>
    </xf>
    <xf numFmtId="0" fontId="21" fillId="14" borderId="4" xfId="0" applyFont="1" applyFill="1" applyBorder="1" applyAlignment="1" applyProtection="1">
      <alignment horizontal="center" vertical="center" wrapText="1"/>
      <protection hidden="1"/>
    </xf>
    <xf numFmtId="0" fontId="21" fillId="14" borderId="4" xfId="0" applyFont="1" applyFill="1" applyBorder="1" applyAlignment="1" applyProtection="1">
      <alignment horizontal="left" vertical="center" wrapText="1"/>
      <protection hidden="1"/>
    </xf>
    <xf numFmtId="0" fontId="0" fillId="14" borderId="4" xfId="0" applyFill="1" applyBorder="1" applyAlignment="1" applyProtection="1">
      <alignment vertical="top" wrapText="1"/>
      <protection hidden="1"/>
    </xf>
    <xf numFmtId="0" fontId="21" fillId="14" borderId="4" xfId="0" applyFont="1" applyFill="1" applyBorder="1" applyAlignment="1" applyProtection="1">
      <alignment horizontal="justify" vertical="center" wrapText="1"/>
      <protection hidden="1"/>
    </xf>
    <xf numFmtId="0" fontId="10" fillId="0" borderId="0" xfId="0" applyFont="1" applyAlignment="1" applyProtection="1">
      <alignment vertical="center"/>
      <protection hidden="1"/>
    </xf>
    <xf numFmtId="0" fontId="14" fillId="0" borderId="16" xfId="0" applyFont="1" applyBorder="1" applyAlignment="1" applyProtection="1">
      <alignment vertical="center" wrapText="1"/>
      <protection hidden="1"/>
    </xf>
    <xf numFmtId="0" fontId="14" fillId="0" borderId="15" xfId="0" applyFont="1" applyBorder="1" applyAlignment="1" applyProtection="1">
      <alignment horizontal="center" vertical="center" wrapText="1"/>
      <protection hidden="1"/>
    </xf>
    <xf numFmtId="0" fontId="14" fillId="0" borderId="17" xfId="0" applyFont="1" applyBorder="1" applyAlignment="1" applyProtection="1">
      <alignment horizontal="center" vertical="center" wrapText="1"/>
      <protection hidden="1"/>
    </xf>
    <xf numFmtId="0" fontId="0" fillId="0" borderId="0" xfId="0" applyProtection="1">
      <protection locked="0" hidden="1"/>
    </xf>
    <xf numFmtId="0" fontId="0" fillId="0" borderId="0" xfId="0" applyFill="1" applyProtection="1">
      <protection locked="0" hidden="1"/>
    </xf>
    <xf numFmtId="49" fontId="27" fillId="0" borderId="4" xfId="0" applyNumberFormat="1" applyFont="1" applyBorder="1" applyAlignment="1" applyProtection="1">
      <alignment horizontal="left" vertical="top" wrapText="1"/>
      <protection hidden="1"/>
    </xf>
    <xf numFmtId="0" fontId="27" fillId="0" borderId="4" xfId="0" applyFont="1" applyBorder="1" applyAlignment="1" applyProtection="1">
      <alignment horizontal="center" vertical="center" wrapText="1"/>
      <protection hidden="1"/>
    </xf>
    <xf numFmtId="49" fontId="27" fillId="0" borderId="0" xfId="0" applyNumberFormat="1" applyFont="1" applyBorder="1" applyAlignment="1" applyProtection="1">
      <alignment horizontal="left" vertical="top" indent="1"/>
      <protection hidden="1"/>
    </xf>
    <xf numFmtId="0" fontId="27" fillId="0" borderId="4" xfId="0" applyFont="1" applyBorder="1" applyAlignment="1" applyProtection="1">
      <alignment horizontal="left" vertical="center" wrapText="1"/>
      <protection hidden="1"/>
    </xf>
    <xf numFmtId="0" fontId="27" fillId="0" borderId="0" xfId="0" applyFont="1" applyAlignment="1" applyProtection="1">
      <alignment horizontal="left" vertical="center" indent="1"/>
      <protection hidden="1"/>
    </xf>
    <xf numFmtId="49" fontId="27" fillId="0" borderId="4" xfId="0" applyNumberFormat="1" applyFont="1" applyFill="1" applyBorder="1" applyAlignment="1" applyProtection="1">
      <alignment horizontal="left" vertical="top" wrapText="1"/>
      <protection hidden="1"/>
    </xf>
    <xf numFmtId="0" fontId="27" fillId="0" borderId="4" xfId="0" applyFont="1" applyFill="1" applyBorder="1" applyAlignment="1" applyProtection="1">
      <alignment horizontal="center" vertical="center" wrapText="1"/>
      <protection hidden="1"/>
    </xf>
    <xf numFmtId="0" fontId="0" fillId="0" borderId="4" xfId="0" applyFill="1" applyBorder="1" applyAlignment="1" applyProtection="1">
      <alignment horizontal="center" vertical="center"/>
      <protection hidden="1"/>
    </xf>
    <xf numFmtId="0" fontId="0" fillId="0" borderId="0" xfId="0" applyAlignment="1" applyProtection="1">
      <protection hidden="1"/>
    </xf>
    <xf numFmtId="0" fontId="28" fillId="0" borderId="4" xfId="0" applyFont="1" applyFill="1" applyBorder="1" applyAlignment="1" applyProtection="1">
      <alignment horizontal="center" vertical="center" wrapText="1"/>
      <protection hidden="1"/>
    </xf>
    <xf numFmtId="0" fontId="27" fillId="0" borderId="4" xfId="0" applyFont="1" applyBorder="1" applyAlignment="1" applyProtection="1">
      <alignment vertical="top" wrapText="1"/>
      <protection hidden="1"/>
    </xf>
    <xf numFmtId="0" fontId="27" fillId="0" borderId="4" xfId="0" applyFont="1" applyFill="1" applyBorder="1" applyAlignment="1" applyProtection="1">
      <alignment horizontal="center" vertical="center"/>
      <protection hidden="1"/>
    </xf>
    <xf numFmtId="0" fontId="0" fillId="13" borderId="0" xfId="0" applyFill="1" applyProtection="1">
      <protection hidden="1"/>
    </xf>
    <xf numFmtId="0" fontId="14" fillId="0" borderId="18" xfId="0" applyFont="1" applyBorder="1" applyAlignment="1" applyProtection="1">
      <alignment horizontal="center" vertical="center" wrapText="1"/>
      <protection hidden="1"/>
    </xf>
    <xf numFmtId="0" fontId="14" fillId="0" borderId="0" xfId="0" applyFont="1" applyProtection="1">
      <protection hidden="1"/>
    </xf>
    <xf numFmtId="0" fontId="14" fillId="0" borderId="19" xfId="0" applyFont="1" applyBorder="1" applyAlignment="1" applyProtection="1">
      <alignment horizontal="center" vertical="center" wrapText="1"/>
      <protection hidden="1"/>
    </xf>
    <xf numFmtId="0" fontId="14" fillId="0" borderId="21" xfId="0" applyFont="1" applyBorder="1" applyAlignment="1" applyProtection="1">
      <alignment horizontal="center" vertical="center" wrapText="1"/>
      <protection hidden="1"/>
    </xf>
    <xf numFmtId="0" fontId="14" fillId="0" borderId="20" xfId="0" applyFont="1" applyBorder="1" applyAlignment="1" applyProtection="1">
      <alignment horizontal="center" vertical="center" wrapText="1"/>
      <protection hidden="1"/>
    </xf>
    <xf numFmtId="0" fontId="14" fillId="0" borderId="19" xfId="0" applyFont="1" applyBorder="1" applyAlignment="1" applyProtection="1">
      <alignment vertical="center" wrapText="1"/>
      <protection hidden="1"/>
    </xf>
    <xf numFmtId="0" fontId="25" fillId="0" borderId="0" xfId="0" applyFont="1" applyAlignment="1" applyProtection="1">
      <alignment vertical="top" wrapText="1"/>
      <protection hidden="1"/>
    </xf>
    <xf numFmtId="0" fontId="14" fillId="0" borderId="18" xfId="0" applyFont="1" applyBorder="1" applyAlignment="1" applyProtection="1">
      <alignment vertical="center" wrapText="1"/>
      <protection hidden="1"/>
    </xf>
    <xf numFmtId="0" fontId="24" fillId="0" borderId="25" xfId="0" applyFont="1" applyBorder="1" applyAlignment="1" applyProtection="1">
      <alignment horizontal="center" vertical="center" wrapText="1"/>
      <protection hidden="1"/>
    </xf>
    <xf numFmtId="0" fontId="24" fillId="0" borderId="27" xfId="0" applyFont="1" applyBorder="1" applyAlignment="1" applyProtection="1">
      <alignment vertical="top" wrapText="1"/>
      <protection hidden="1"/>
    </xf>
    <xf numFmtId="0" fontId="24" fillId="0" borderId="23" xfId="0" applyFont="1" applyBorder="1" applyAlignment="1" applyProtection="1">
      <alignment vertical="center" wrapText="1"/>
      <protection hidden="1"/>
    </xf>
    <xf numFmtId="0" fontId="24" fillId="0" borderId="14" xfId="0" applyFont="1" applyBorder="1" applyAlignment="1" applyProtection="1">
      <alignment vertical="center" wrapText="1"/>
      <protection hidden="1"/>
    </xf>
    <xf numFmtId="0" fontId="24" fillId="0" borderId="14" xfId="0" applyFont="1" applyBorder="1" applyAlignment="1" applyProtection="1">
      <alignment horizontal="center" vertical="center" wrapText="1"/>
      <protection hidden="1"/>
    </xf>
    <xf numFmtId="0" fontId="0" fillId="0" borderId="4" xfId="0" applyBorder="1" applyProtection="1">
      <protection locked="0" hidden="1"/>
    </xf>
    <xf numFmtId="0" fontId="0" fillId="0" borderId="0" xfId="0" applyAlignment="1" applyProtection="1">
      <alignment wrapText="1"/>
      <protection hidden="1"/>
    </xf>
    <xf numFmtId="0" fontId="14" fillId="0" borderId="16" xfId="0" applyFont="1" applyBorder="1" applyAlignment="1" applyProtection="1">
      <alignment horizontal="center" vertical="center" wrapText="1"/>
      <protection hidden="1"/>
    </xf>
    <xf numFmtId="3" fontId="14" fillId="0" borderId="17" xfId="0" applyNumberFormat="1" applyFont="1" applyBorder="1" applyAlignment="1" applyProtection="1">
      <alignment horizontal="center" vertical="center" wrapText="1"/>
      <protection hidden="1"/>
    </xf>
    <xf numFmtId="0" fontId="0" fillId="0" borderId="0" xfId="0" applyNumberFormat="1" applyProtection="1">
      <protection hidden="1"/>
    </xf>
    <xf numFmtId="0" fontId="0" fillId="4" borderId="3" xfId="0" applyFont="1" applyFill="1" applyBorder="1" applyAlignment="1" applyProtection="1">
      <protection hidden="1"/>
    </xf>
    <xf numFmtId="0" fontId="0" fillId="4" borderId="2" xfId="0" applyFont="1" applyFill="1" applyBorder="1" applyAlignment="1" applyProtection="1">
      <protection hidden="1"/>
    </xf>
    <xf numFmtId="0" fontId="3" fillId="0" borderId="2" xfId="0" applyFont="1" applyBorder="1" applyAlignment="1" applyProtection="1">
      <protection hidden="1"/>
    </xf>
    <xf numFmtId="0" fontId="3" fillId="0" borderId="3" xfId="0" applyFont="1" applyBorder="1" applyAlignment="1" applyProtection="1">
      <protection hidden="1"/>
    </xf>
    <xf numFmtId="0" fontId="3" fillId="0" borderId="1" xfId="0" applyFont="1" applyBorder="1" applyProtection="1">
      <protection hidden="1"/>
    </xf>
    <xf numFmtId="0" fontId="3" fillId="0" borderId="4" xfId="0" applyFont="1" applyBorder="1" applyProtection="1">
      <protection hidden="1"/>
    </xf>
    <xf numFmtId="0" fontId="5" fillId="0" borderId="8" xfId="3" applyNumberFormat="1" applyFont="1" applyBorder="1" applyAlignment="1" applyProtection="1">
      <protection hidden="1"/>
    </xf>
    <xf numFmtId="0" fontId="5" fillId="0" borderId="4" xfId="3" applyNumberFormat="1" applyFont="1" applyBorder="1" applyAlignment="1" applyProtection="1">
      <protection hidden="1"/>
    </xf>
    <xf numFmtId="0" fontId="0" fillId="0" borderId="1" xfId="0" applyBorder="1" applyAlignment="1" applyProtection="1">
      <protection hidden="1"/>
    </xf>
    <xf numFmtId="0" fontId="0" fillId="0" borderId="1" xfId="0" applyBorder="1" applyProtection="1">
      <protection hidden="1"/>
    </xf>
    <xf numFmtId="0" fontId="0" fillId="4" borderId="5" xfId="0" applyFont="1" applyFill="1" applyBorder="1" applyProtection="1">
      <protection hidden="1"/>
    </xf>
    <xf numFmtId="0" fontId="5" fillId="4" borderId="8" xfId="3" applyNumberFormat="1" applyFont="1" applyFill="1" applyBorder="1" applyAlignment="1" applyProtection="1">
      <protection hidden="1"/>
    </xf>
    <xf numFmtId="0" fontId="5" fillId="4" borderId="4" xfId="3" applyNumberFormat="1" applyFont="1" applyFill="1" applyBorder="1" applyAlignment="1" applyProtection="1">
      <protection hidden="1"/>
    </xf>
    <xf numFmtId="0" fontId="5" fillId="0" borderId="7" xfId="3" applyFont="1" applyBorder="1" applyAlignment="1" applyProtection="1">
      <protection hidden="1"/>
    </xf>
    <xf numFmtId="0" fontId="6" fillId="0" borderId="8" xfId="3" applyFont="1" applyBorder="1" applyAlignment="1" applyProtection="1">
      <protection hidden="1"/>
    </xf>
    <xf numFmtId="0" fontId="0" fillId="0" borderId="12" xfId="0" applyBorder="1" applyProtection="1">
      <protection hidden="1"/>
    </xf>
    <xf numFmtId="0" fontId="0" fillId="0" borderId="13" xfId="0" applyBorder="1" applyProtection="1">
      <protection hidden="1"/>
    </xf>
    <xf numFmtId="0" fontId="0" fillId="0" borderId="4" xfId="0" applyFont="1" applyBorder="1" applyProtection="1">
      <protection hidden="1"/>
    </xf>
    <xf numFmtId="0" fontId="0" fillId="21" borderId="4" xfId="0" applyFill="1" applyBorder="1" applyAlignment="1" applyProtection="1">
      <alignment horizontal="left" indent="3"/>
      <protection hidden="1"/>
    </xf>
    <xf numFmtId="0" fontId="0" fillId="0" borderId="8" xfId="0" applyFont="1" applyBorder="1" applyAlignment="1" applyProtection="1">
      <protection hidden="1"/>
    </xf>
    <xf numFmtId="0" fontId="0" fillId="4" borderId="4" xfId="0" applyFont="1" applyFill="1" applyBorder="1" applyProtection="1">
      <protection hidden="1"/>
    </xf>
    <xf numFmtId="0" fontId="0" fillId="0" borderId="0" xfId="0" applyFill="1" applyBorder="1" applyProtection="1">
      <protection hidden="1"/>
    </xf>
    <xf numFmtId="49" fontId="0" fillId="0" borderId="4" xfId="0" applyNumberFormat="1" applyBorder="1" applyProtection="1">
      <protection hidden="1"/>
    </xf>
    <xf numFmtId="0" fontId="6" fillId="0" borderId="8" xfId="3" applyFont="1" applyFill="1" applyBorder="1" applyAlignment="1" applyProtection="1">
      <protection hidden="1"/>
    </xf>
    <xf numFmtId="0" fontId="26" fillId="0" borderId="4" xfId="0" applyFont="1" applyFill="1" applyBorder="1" applyAlignment="1" applyProtection="1">
      <alignment horizontal="center" vertical="top" wrapText="1"/>
      <protection hidden="1"/>
    </xf>
    <xf numFmtId="49" fontId="0" fillId="0" borderId="4" xfId="0" applyNumberFormat="1" applyFont="1" applyBorder="1" applyAlignment="1" applyProtection="1">
      <alignment horizontal="center"/>
      <protection hidden="1"/>
    </xf>
    <xf numFmtId="0" fontId="26" fillId="0" borderId="0" xfId="0" applyFont="1" applyFill="1" applyBorder="1" applyAlignment="1" applyProtection="1">
      <alignment horizontal="center" vertical="top" wrapText="1"/>
      <protection hidden="1"/>
    </xf>
    <xf numFmtId="0" fontId="0" fillId="6" borderId="4" xfId="0" applyFont="1" applyFill="1" applyBorder="1" applyProtection="1">
      <protection hidden="1"/>
    </xf>
    <xf numFmtId="0" fontId="6" fillId="0" borderId="4" xfId="3" applyNumberFormat="1" applyFont="1" applyBorder="1" applyAlignment="1" applyProtection="1">
      <protection hidden="1"/>
    </xf>
    <xf numFmtId="0" fontId="0" fillId="0" borderId="4" xfId="0" applyFill="1" applyBorder="1" applyProtection="1">
      <protection locked="0" hidden="1"/>
    </xf>
    <xf numFmtId="0" fontId="0" fillId="0" borderId="28" xfId="0" applyFill="1" applyBorder="1" applyProtection="1">
      <protection hidden="1"/>
    </xf>
    <xf numFmtId="0" fontId="6" fillId="0" borderId="7" xfId="3" applyFont="1" applyBorder="1" applyAlignment="1" applyProtection="1">
      <protection hidden="1"/>
    </xf>
    <xf numFmtId="0" fontId="0" fillId="0" borderId="11" xfId="0" applyFill="1" applyBorder="1" applyProtection="1">
      <protection hidden="1"/>
    </xf>
    <xf numFmtId="0" fontId="0" fillId="0" borderId="0" xfId="0" applyFill="1" applyAlignment="1" applyProtection="1">
      <alignment vertical="center"/>
      <protection hidden="1"/>
    </xf>
    <xf numFmtId="0" fontId="29" fillId="0" borderId="4" xfId="0" applyFont="1" applyFill="1" applyBorder="1" applyProtection="1">
      <protection locked="0" hidden="1"/>
    </xf>
    <xf numFmtId="0" fontId="5" fillId="0" borderId="9" xfId="3" applyNumberFormat="1" applyFont="1" applyBorder="1" applyAlignment="1" applyProtection="1">
      <protection hidden="1"/>
    </xf>
    <xf numFmtId="0" fontId="6" fillId="0" borderId="4" xfId="3" applyFont="1" applyBorder="1" applyAlignment="1" applyProtection="1">
      <protection hidden="1"/>
    </xf>
    <xf numFmtId="0" fontId="6" fillId="2" borderId="4" xfId="3" applyFont="1" applyFill="1" applyBorder="1" applyAlignment="1" applyProtection="1">
      <protection hidden="1"/>
    </xf>
    <xf numFmtId="0" fontId="6" fillId="0" borderId="4" xfId="3" applyFont="1" applyFill="1" applyBorder="1" applyAlignment="1" applyProtection="1">
      <protection hidden="1"/>
    </xf>
    <xf numFmtId="0" fontId="6" fillId="0" borderId="9" xfId="3" applyFont="1" applyBorder="1" applyAlignment="1" applyProtection="1">
      <protection hidden="1"/>
    </xf>
    <xf numFmtId="0" fontId="0" fillId="0" borderId="4" xfId="0" applyBorder="1" applyAlignment="1" applyProtection="1">
      <alignment wrapText="1"/>
      <protection hidden="1"/>
    </xf>
    <xf numFmtId="2" fontId="0" fillId="0" borderId="4" xfId="0" applyNumberFormat="1" applyBorder="1" applyProtection="1">
      <protection hidden="1"/>
    </xf>
    <xf numFmtId="1" fontId="0" fillId="0" borderId="4" xfId="0" applyNumberFormat="1" applyBorder="1" applyProtection="1">
      <protection hidden="1"/>
    </xf>
    <xf numFmtId="165" fontId="0" fillId="0" borderId="4" xfId="0" applyNumberFormat="1" applyBorder="1" applyProtection="1">
      <protection hidden="1"/>
    </xf>
    <xf numFmtId="0" fontId="30" fillId="31" borderId="0" xfId="0" applyFont="1" applyFill="1" applyProtection="1">
      <protection hidden="1"/>
    </xf>
    <xf numFmtId="0" fontId="30" fillId="20" borderId="0" xfId="0" applyFont="1" applyFill="1" applyProtection="1">
      <protection hidden="1"/>
    </xf>
    <xf numFmtId="0" fontId="30" fillId="0" borderId="4" xfId="0" applyFont="1" applyBorder="1" applyAlignment="1" applyProtection="1">
      <alignment horizontal="right" wrapText="1"/>
      <protection hidden="1"/>
    </xf>
    <xf numFmtId="0" fontId="30" fillId="0" borderId="4" xfId="0" applyFont="1" applyBorder="1" applyProtection="1">
      <protection hidden="1"/>
    </xf>
    <xf numFmtId="0" fontId="30" fillId="0" borderId="4" xfId="0" applyFont="1" applyBorder="1" applyAlignment="1" applyProtection="1">
      <alignment wrapText="1"/>
      <protection hidden="1"/>
    </xf>
    <xf numFmtId="0" fontId="30" fillId="0" borderId="4" xfId="0" applyFont="1" applyFill="1" applyBorder="1" applyProtection="1">
      <protection hidden="1"/>
    </xf>
    <xf numFmtId="1" fontId="30" fillId="20" borderId="0" xfId="0" applyNumberFormat="1" applyFont="1" applyFill="1" applyProtection="1">
      <protection hidden="1"/>
    </xf>
    <xf numFmtId="165" fontId="30" fillId="36" borderId="4" xfId="0" applyNumberFormat="1" applyFont="1" applyFill="1" applyBorder="1" applyProtection="1">
      <protection hidden="1"/>
    </xf>
    <xf numFmtId="169" fontId="30" fillId="36" borderId="4" xfId="1" applyNumberFormat="1" applyFont="1" applyFill="1" applyBorder="1" applyProtection="1">
      <protection hidden="1"/>
    </xf>
    <xf numFmtId="0" fontId="0" fillId="32" borderId="0" xfId="0" applyFill="1" applyProtection="1">
      <protection hidden="1"/>
    </xf>
    <xf numFmtId="0" fontId="33" fillId="26" borderId="1" xfId="0" applyFont="1" applyFill="1" applyBorder="1" applyAlignment="1" applyProtection="1">
      <alignment vertical="center"/>
      <protection hidden="1"/>
    </xf>
    <xf numFmtId="0" fontId="33" fillId="26" borderId="0" xfId="0" applyFont="1" applyFill="1" applyBorder="1" applyAlignment="1" applyProtection="1">
      <alignment vertical="center"/>
      <protection hidden="1"/>
    </xf>
    <xf numFmtId="0" fontId="0" fillId="26" borderId="0" xfId="0" applyFill="1" applyProtection="1">
      <protection hidden="1"/>
    </xf>
    <xf numFmtId="49" fontId="48" fillId="0" borderId="11" xfId="0" applyNumberFormat="1" applyFont="1" applyBorder="1" applyAlignment="1" applyProtection="1">
      <alignment horizontal="center" vertical="center" wrapText="1"/>
      <protection hidden="1"/>
    </xf>
    <xf numFmtId="0" fontId="48" fillId="0" borderId="11" xfId="0" applyFont="1" applyBorder="1" applyAlignment="1" applyProtection="1">
      <alignment horizontal="center" vertical="center" wrapText="1"/>
      <protection hidden="1"/>
    </xf>
    <xf numFmtId="0" fontId="26" fillId="5" borderId="4" xfId="0" applyFont="1" applyFill="1" applyBorder="1" applyAlignment="1" applyProtection="1">
      <alignment vertical="center" wrapText="1"/>
      <protection hidden="1"/>
    </xf>
    <xf numFmtId="0" fontId="26" fillId="5" borderId="4" xfId="0" applyFont="1" applyFill="1" applyBorder="1" applyAlignment="1" applyProtection="1">
      <alignment horizontal="center" vertical="center"/>
      <protection hidden="1"/>
    </xf>
    <xf numFmtId="1" fontId="0" fillId="5" borderId="4" xfId="0" applyNumberFormat="1" applyFill="1" applyBorder="1" applyAlignment="1" applyProtection="1">
      <alignment vertical="center"/>
      <protection hidden="1"/>
    </xf>
    <xf numFmtId="1" fontId="0" fillId="5" borderId="4" xfId="0" applyNumberFormat="1" applyFill="1" applyBorder="1" applyProtection="1">
      <protection hidden="1"/>
    </xf>
    <xf numFmtId="0" fontId="26" fillId="0" borderId="4" xfId="0" applyFont="1" applyBorder="1" applyAlignment="1" applyProtection="1">
      <alignment horizontal="left" vertical="center" indent="1"/>
      <protection hidden="1"/>
    </xf>
    <xf numFmtId="1" fontId="0" fillId="0" borderId="4" xfId="0" applyNumberFormat="1" applyBorder="1" applyAlignment="1" applyProtection="1">
      <alignment vertical="center"/>
      <protection hidden="1"/>
    </xf>
    <xf numFmtId="0" fontId="26" fillId="0" borderId="4" xfId="0" applyFont="1" applyBorder="1" applyAlignment="1" applyProtection="1">
      <alignment horizontal="center" vertical="center"/>
      <protection hidden="1"/>
    </xf>
    <xf numFmtId="9" fontId="0" fillId="0" borderId="4" xfId="1" applyFont="1" applyBorder="1" applyAlignment="1" applyProtection="1">
      <alignment vertical="center"/>
      <protection hidden="1"/>
    </xf>
    <xf numFmtId="0" fontId="26" fillId="5" borderId="4" xfId="0" applyFont="1" applyFill="1" applyBorder="1" applyAlignment="1" applyProtection="1">
      <alignment vertical="top" wrapText="1"/>
      <protection hidden="1"/>
    </xf>
    <xf numFmtId="0" fontId="26" fillId="5" borderId="4" xfId="0" applyFont="1" applyFill="1" applyBorder="1" applyAlignment="1" applyProtection="1">
      <alignment horizontal="left" vertical="center" wrapText="1" indent="1"/>
      <protection hidden="1"/>
    </xf>
    <xf numFmtId="165" fontId="0" fillId="0" borderId="4" xfId="0" applyNumberFormat="1" applyBorder="1" applyAlignment="1" applyProtection="1">
      <alignment vertical="center"/>
      <protection hidden="1"/>
    </xf>
    <xf numFmtId="165" fontId="0" fillId="0" borderId="4" xfId="0" applyNumberFormat="1" applyBorder="1" applyAlignment="1" applyProtection="1">
      <alignment horizontal="right"/>
      <protection hidden="1"/>
    </xf>
    <xf numFmtId="0" fontId="26" fillId="5" borderId="4" xfId="0" applyFont="1" applyFill="1" applyBorder="1" applyAlignment="1" applyProtection="1">
      <alignment horizontal="left" vertical="center" wrapText="1"/>
      <protection hidden="1"/>
    </xf>
    <xf numFmtId="1" fontId="0" fillId="0" borderId="4" xfId="0" applyNumberFormat="1" applyFill="1" applyBorder="1" applyAlignment="1" applyProtection="1">
      <alignment vertical="center"/>
      <protection hidden="1"/>
    </xf>
    <xf numFmtId="1" fontId="0" fillId="20" borderId="0" xfId="0" applyNumberFormat="1" applyFill="1" applyProtection="1">
      <protection hidden="1"/>
    </xf>
    <xf numFmtId="0" fontId="33" fillId="0" borderId="0" xfId="0" applyFont="1" applyBorder="1" applyAlignment="1" applyProtection="1">
      <alignment vertical="center"/>
      <protection hidden="1"/>
    </xf>
    <xf numFmtId="49" fontId="48" fillId="0" borderId="4" xfId="0" applyNumberFormat="1" applyFont="1" applyBorder="1" applyAlignment="1" applyProtection="1">
      <alignment horizontal="center" vertical="center" wrapText="1"/>
      <protection hidden="1"/>
    </xf>
    <xf numFmtId="0" fontId="48" fillId="0" borderId="4" xfId="0" applyFont="1" applyBorder="1" applyAlignment="1" applyProtection="1">
      <alignment horizontal="center" vertical="center" wrapText="1"/>
      <protection hidden="1"/>
    </xf>
    <xf numFmtId="0" fontId="26" fillId="29" borderId="18" xfId="0" applyFont="1" applyFill="1" applyBorder="1" applyAlignment="1" applyProtection="1">
      <alignment vertical="center" wrapText="1"/>
      <protection hidden="1"/>
    </xf>
    <xf numFmtId="0" fontId="26" fillId="29" borderId="18" xfId="0" applyFont="1" applyFill="1" applyBorder="1" applyAlignment="1" applyProtection="1">
      <alignment horizontal="center" vertical="center"/>
      <protection hidden="1"/>
    </xf>
    <xf numFmtId="1" fontId="7" fillId="29" borderId="68" xfId="0" applyNumberFormat="1" applyFont="1" applyFill="1" applyBorder="1" applyAlignment="1" applyProtection="1">
      <alignment horizontal="right" vertical="center"/>
      <protection hidden="1"/>
    </xf>
    <xf numFmtId="1" fontId="7" fillId="29" borderId="85" xfId="0" applyNumberFormat="1" applyFont="1" applyFill="1" applyBorder="1" applyAlignment="1" applyProtection="1">
      <alignment vertical="center"/>
      <protection hidden="1"/>
    </xf>
    <xf numFmtId="0" fontId="26" fillId="5" borderId="44" xfId="0" applyFont="1" applyFill="1" applyBorder="1" applyAlignment="1" applyProtection="1">
      <alignment vertical="center" wrapText="1"/>
      <protection hidden="1"/>
    </xf>
    <xf numFmtId="0" fontId="26" fillId="5" borderId="44" xfId="0" applyFont="1" applyFill="1" applyBorder="1" applyAlignment="1" applyProtection="1">
      <alignment horizontal="center" vertical="center"/>
      <protection hidden="1"/>
    </xf>
    <xf numFmtId="1" fontId="7" fillId="5" borderId="47" xfId="0" applyNumberFormat="1" applyFont="1" applyFill="1" applyBorder="1" applyAlignment="1" applyProtection="1">
      <alignment vertical="center"/>
      <protection hidden="1"/>
    </xf>
    <xf numFmtId="1" fontId="7" fillId="5" borderId="47" xfId="0" applyNumberFormat="1" applyFont="1" applyFill="1" applyBorder="1" applyAlignment="1" applyProtection="1">
      <alignment horizontal="right" vertical="center"/>
      <protection hidden="1"/>
    </xf>
    <xf numFmtId="0" fontId="26" fillId="29" borderId="18" xfId="0" applyFont="1" applyFill="1" applyBorder="1" applyAlignment="1" applyProtection="1">
      <alignment horizontal="left" vertical="center" wrapText="1"/>
      <protection hidden="1"/>
    </xf>
    <xf numFmtId="1" fontId="7" fillId="29" borderId="87" xfId="0" applyNumberFormat="1" applyFont="1" applyFill="1" applyBorder="1" applyAlignment="1" applyProtection="1">
      <alignment vertical="center"/>
      <protection hidden="1"/>
    </xf>
    <xf numFmtId="0" fontId="26" fillId="5" borderId="65" xfId="0" applyFont="1" applyFill="1" applyBorder="1" applyAlignment="1" applyProtection="1">
      <alignment horizontal="center" vertical="center"/>
      <protection hidden="1"/>
    </xf>
    <xf numFmtId="0" fontId="26" fillId="29" borderId="18" xfId="0" applyFont="1" applyFill="1" applyBorder="1" applyAlignment="1" applyProtection="1">
      <alignment horizontal="left" vertical="center" wrapText="1" indent="1"/>
      <protection hidden="1"/>
    </xf>
    <xf numFmtId="1" fontId="0" fillId="29" borderId="87" xfId="0" applyNumberFormat="1" applyFill="1" applyBorder="1" applyAlignment="1" applyProtection="1">
      <alignment vertical="center"/>
      <protection hidden="1"/>
    </xf>
    <xf numFmtId="0" fontId="26" fillId="5" borderId="44" xfId="0" applyFont="1" applyFill="1" applyBorder="1" applyAlignment="1" applyProtection="1">
      <alignment horizontal="left" vertical="center" wrapText="1" indent="1"/>
      <protection hidden="1"/>
    </xf>
    <xf numFmtId="1" fontId="0" fillId="5" borderId="47" xfId="0" applyNumberFormat="1" applyFill="1" applyBorder="1" applyAlignment="1" applyProtection="1">
      <alignment vertical="center"/>
      <protection hidden="1"/>
    </xf>
    <xf numFmtId="0" fontId="0" fillId="0" borderId="10" xfId="0" applyBorder="1" applyProtection="1">
      <protection hidden="1"/>
    </xf>
    <xf numFmtId="0" fontId="0" fillId="0" borderId="9" xfId="0" applyBorder="1" applyProtection="1">
      <protection hidden="1"/>
    </xf>
    <xf numFmtId="0" fontId="0" fillId="0" borderId="2" xfId="0" applyBorder="1" applyProtection="1">
      <protection hidden="1"/>
    </xf>
    <xf numFmtId="0" fontId="0" fillId="0" borderId="3" xfId="0" applyBorder="1" applyProtection="1">
      <protection hidden="1"/>
    </xf>
    <xf numFmtId="0" fontId="0" fillId="0" borderId="6" xfId="0" applyBorder="1" applyProtection="1">
      <protection hidden="1"/>
    </xf>
    <xf numFmtId="0" fontId="0" fillId="0" borderId="29" xfId="0" applyBorder="1" applyProtection="1">
      <protection hidden="1"/>
    </xf>
    <xf numFmtId="1" fontId="0" fillId="29" borderId="87" xfId="0" applyNumberFormat="1" applyFill="1" applyBorder="1" applyProtection="1">
      <protection hidden="1"/>
    </xf>
    <xf numFmtId="1" fontId="0" fillId="5" borderId="47" xfId="0" applyNumberFormat="1" applyFill="1" applyBorder="1" applyProtection="1">
      <protection hidden="1"/>
    </xf>
    <xf numFmtId="0" fontId="26" fillId="5" borderId="44" xfId="0" applyFont="1" applyFill="1" applyBorder="1" applyAlignment="1" applyProtection="1">
      <alignment horizontal="left" vertical="center" wrapText="1"/>
      <protection hidden="1"/>
    </xf>
    <xf numFmtId="0" fontId="26" fillId="5" borderId="55" xfId="0" applyFont="1" applyFill="1" applyBorder="1" applyAlignment="1" applyProtection="1">
      <alignment horizontal="left" vertical="center" wrapText="1"/>
      <protection hidden="1"/>
    </xf>
    <xf numFmtId="0" fontId="26" fillId="5" borderId="55" xfId="0" applyFont="1" applyFill="1" applyBorder="1" applyAlignment="1" applyProtection="1">
      <alignment horizontal="center" vertical="center"/>
      <protection hidden="1"/>
    </xf>
    <xf numFmtId="165" fontId="7" fillId="5" borderId="47" xfId="0" applyNumberFormat="1" applyFont="1" applyFill="1" applyBorder="1" applyAlignment="1" applyProtection="1">
      <alignment vertical="center"/>
      <protection hidden="1"/>
    </xf>
    <xf numFmtId="165" fontId="7" fillId="29" borderId="85" xfId="0" applyNumberFormat="1" applyFont="1" applyFill="1" applyBorder="1" applyAlignment="1" applyProtection="1">
      <alignment vertical="center"/>
      <protection hidden="1"/>
    </xf>
    <xf numFmtId="165" fontId="7" fillId="5" borderId="2" xfId="0" applyNumberFormat="1" applyFont="1" applyFill="1" applyBorder="1" applyAlignment="1" applyProtection="1">
      <alignment vertical="center"/>
      <protection hidden="1"/>
    </xf>
    <xf numFmtId="0" fontId="26" fillId="29" borderId="90" xfId="0" applyFont="1" applyFill="1" applyBorder="1" applyAlignment="1" applyProtection="1">
      <alignment horizontal="left" vertical="center" wrapText="1"/>
      <protection hidden="1"/>
    </xf>
    <xf numFmtId="0" fontId="26" fillId="29" borderId="90" xfId="0" applyFont="1" applyFill="1" applyBorder="1" applyAlignment="1" applyProtection="1">
      <alignment horizontal="center" vertical="center"/>
      <protection hidden="1"/>
    </xf>
    <xf numFmtId="165" fontId="0" fillId="29" borderId="91" xfId="0" applyNumberFormat="1" applyFill="1" applyBorder="1" applyAlignment="1" applyProtection="1">
      <alignment vertical="center"/>
      <protection hidden="1"/>
    </xf>
    <xf numFmtId="165" fontId="0" fillId="5" borderId="47" xfId="0" applyNumberFormat="1" applyFill="1" applyBorder="1" applyAlignment="1" applyProtection="1">
      <alignment vertical="center"/>
      <protection hidden="1"/>
    </xf>
    <xf numFmtId="165" fontId="0" fillId="5" borderId="56" xfId="0" applyNumberFormat="1" applyFill="1" applyBorder="1" applyAlignment="1" applyProtection="1">
      <alignment vertical="center"/>
      <protection hidden="1"/>
    </xf>
    <xf numFmtId="1" fontId="0" fillId="5" borderId="2" xfId="0" applyNumberFormat="1" applyFill="1" applyBorder="1" applyProtection="1">
      <protection hidden="1"/>
    </xf>
    <xf numFmtId="1" fontId="0" fillId="5" borderId="56" xfId="0" applyNumberFormat="1" applyFill="1" applyBorder="1" applyProtection="1">
      <protection hidden="1"/>
    </xf>
    <xf numFmtId="165" fontId="0" fillId="5" borderId="65" xfId="0" applyNumberFormat="1" applyFill="1" applyBorder="1" applyAlignment="1" applyProtection="1">
      <alignment vertical="center"/>
      <protection hidden="1"/>
    </xf>
    <xf numFmtId="0" fontId="26" fillId="0" borderId="90" xfId="0" applyFont="1" applyBorder="1" applyAlignment="1" applyProtection="1">
      <alignment horizontal="left" vertical="center" indent="1"/>
      <protection hidden="1"/>
    </xf>
    <xf numFmtId="0" fontId="26" fillId="0" borderId="90" xfId="0" applyFont="1" applyBorder="1" applyAlignment="1" applyProtection="1">
      <alignment horizontal="center" vertical="center"/>
      <protection hidden="1"/>
    </xf>
    <xf numFmtId="1" fontId="31" fillId="0" borderId="28" xfId="0" applyNumberFormat="1" applyFont="1" applyBorder="1" applyAlignment="1" applyProtection="1">
      <alignment vertical="center"/>
      <protection hidden="1"/>
    </xf>
    <xf numFmtId="1" fontId="31" fillId="0" borderId="91" xfId="0" applyNumberFormat="1" applyFont="1" applyBorder="1" applyProtection="1">
      <protection hidden="1"/>
    </xf>
    <xf numFmtId="0" fontId="26" fillId="0" borderId="46" xfId="0" applyFont="1" applyFill="1" applyBorder="1" applyAlignment="1" applyProtection="1">
      <alignment horizontal="left" vertical="center" indent="1"/>
      <protection hidden="1"/>
    </xf>
    <xf numFmtId="0" fontId="26" fillId="0" borderId="62" xfId="0" applyFont="1" applyFill="1" applyBorder="1" applyAlignment="1" applyProtection="1">
      <alignment horizontal="center" vertical="center"/>
      <protection hidden="1"/>
    </xf>
    <xf numFmtId="1" fontId="0" fillId="0" borderId="71" xfId="0" applyNumberFormat="1" applyFont="1" applyBorder="1" applyAlignment="1" applyProtection="1">
      <alignment vertical="center"/>
      <protection hidden="1"/>
    </xf>
    <xf numFmtId="1" fontId="0" fillId="0" borderId="70" xfId="0" applyNumberFormat="1" applyFont="1" applyBorder="1" applyAlignment="1" applyProtection="1">
      <alignment vertical="center"/>
      <protection hidden="1"/>
    </xf>
    <xf numFmtId="1" fontId="0" fillId="0" borderId="70" xfId="0" applyNumberFormat="1" applyFont="1" applyBorder="1" applyProtection="1">
      <protection hidden="1"/>
    </xf>
    <xf numFmtId="1" fontId="31" fillId="0" borderId="28" xfId="0" applyNumberFormat="1" applyFont="1" applyBorder="1" applyProtection="1">
      <protection hidden="1"/>
    </xf>
    <xf numFmtId="1" fontId="31" fillId="0" borderId="70" xfId="0" applyNumberFormat="1" applyFont="1" applyBorder="1" applyAlignment="1" applyProtection="1">
      <alignment vertical="center"/>
      <protection hidden="1"/>
    </xf>
    <xf numFmtId="1" fontId="31" fillId="0" borderId="70" xfId="0" applyNumberFormat="1" applyFont="1" applyBorder="1" applyProtection="1">
      <protection hidden="1"/>
    </xf>
    <xf numFmtId="1" fontId="31" fillId="0" borderId="5" xfId="0" applyNumberFormat="1" applyFont="1" applyBorder="1" applyProtection="1">
      <protection hidden="1"/>
    </xf>
    <xf numFmtId="1" fontId="0" fillId="0" borderId="84" xfId="0" applyNumberFormat="1" applyFont="1" applyBorder="1" applyProtection="1">
      <protection hidden="1"/>
    </xf>
    <xf numFmtId="1" fontId="0" fillId="29" borderId="85" xfId="0" applyNumberFormat="1" applyFill="1" applyBorder="1" applyProtection="1">
      <protection hidden="1"/>
    </xf>
    <xf numFmtId="0" fontId="0" fillId="5" borderId="47" xfId="0" applyFill="1" applyBorder="1" applyProtection="1">
      <protection hidden="1"/>
    </xf>
    <xf numFmtId="0" fontId="0" fillId="5" borderId="47" xfId="0" applyFill="1" applyBorder="1" applyAlignment="1" applyProtection="1">
      <alignment vertical="center"/>
      <protection hidden="1"/>
    </xf>
    <xf numFmtId="0" fontId="0" fillId="5" borderId="50" xfId="0" applyFill="1" applyBorder="1" applyProtection="1">
      <protection hidden="1"/>
    </xf>
    <xf numFmtId="0" fontId="0" fillId="5" borderId="7" xfId="0" applyFill="1" applyBorder="1" applyProtection="1">
      <protection hidden="1"/>
    </xf>
    <xf numFmtId="1" fontId="0" fillId="0" borderId="28" xfId="0" applyNumberFormat="1" applyBorder="1" applyAlignment="1" applyProtection="1">
      <alignment horizontal="right"/>
      <protection hidden="1"/>
    </xf>
    <xf numFmtId="0" fontId="0" fillId="0" borderId="91" xfId="0" applyBorder="1" applyProtection="1">
      <protection hidden="1"/>
    </xf>
    <xf numFmtId="0" fontId="26" fillId="0" borderId="45" xfId="0" applyFont="1" applyFill="1" applyBorder="1" applyAlignment="1" applyProtection="1">
      <alignment horizontal="left" vertical="center" indent="1"/>
      <protection hidden="1"/>
    </xf>
    <xf numFmtId="0" fontId="26" fillId="0" borderId="45" xfId="0" applyFont="1" applyFill="1" applyBorder="1" applyAlignment="1" applyProtection="1">
      <alignment horizontal="center" vertical="center"/>
      <protection hidden="1"/>
    </xf>
    <xf numFmtId="1" fontId="0" fillId="0" borderId="4" xfId="0" applyNumberFormat="1" applyFill="1" applyBorder="1" applyAlignment="1" applyProtection="1">
      <alignment horizontal="right" vertical="center"/>
      <protection hidden="1"/>
    </xf>
    <xf numFmtId="0" fontId="0" fillId="0" borderId="50" xfId="0" applyFill="1" applyBorder="1" applyProtection="1">
      <protection hidden="1"/>
    </xf>
    <xf numFmtId="0" fontId="0" fillId="0" borderId="50" xfId="0" applyFill="1" applyBorder="1" applyAlignment="1" applyProtection="1">
      <alignment vertical="center"/>
      <protection hidden="1"/>
    </xf>
    <xf numFmtId="0" fontId="0" fillId="0" borderId="7" xfId="0" applyFill="1" applyBorder="1" applyProtection="1">
      <protection hidden="1"/>
    </xf>
    <xf numFmtId="0" fontId="26" fillId="0" borderId="19" xfId="0" applyFont="1" applyBorder="1" applyAlignment="1" applyProtection="1">
      <alignment horizontal="left" vertical="center" indent="1"/>
      <protection hidden="1"/>
    </xf>
    <xf numFmtId="0" fontId="26" fillId="0" borderId="19" xfId="0" applyFont="1" applyBorder="1" applyAlignment="1" applyProtection="1">
      <alignment horizontal="center" vertical="center"/>
      <protection hidden="1"/>
    </xf>
    <xf numFmtId="165" fontId="0" fillId="0" borderId="28" xfId="0" applyNumberFormat="1" applyBorder="1" applyAlignment="1" applyProtection="1">
      <alignment horizontal="right" vertical="center"/>
      <protection hidden="1"/>
    </xf>
    <xf numFmtId="0" fontId="26" fillId="0" borderId="46" xfId="0" applyFont="1" applyFill="1" applyBorder="1" applyAlignment="1" applyProtection="1">
      <alignment horizontal="center" vertical="center"/>
      <protection hidden="1"/>
    </xf>
    <xf numFmtId="1" fontId="0" fillId="0" borderId="53" xfId="0" applyNumberFormat="1" applyFill="1" applyBorder="1" applyAlignment="1" applyProtection="1">
      <alignment horizontal="right" vertical="center"/>
      <protection hidden="1"/>
    </xf>
    <xf numFmtId="0" fontId="0" fillId="0" borderId="52" xfId="0" applyFill="1" applyBorder="1" applyProtection="1">
      <protection hidden="1"/>
    </xf>
    <xf numFmtId="0" fontId="0" fillId="0" borderId="63" xfId="0" applyFill="1" applyBorder="1" applyProtection="1">
      <protection hidden="1"/>
    </xf>
    <xf numFmtId="0" fontId="0" fillId="0" borderId="52" xfId="0" applyFill="1" applyBorder="1" applyAlignment="1" applyProtection="1">
      <alignment vertical="center"/>
      <protection hidden="1"/>
    </xf>
    <xf numFmtId="166" fontId="0" fillId="29" borderId="87" xfId="0" applyNumberFormat="1" applyFill="1" applyBorder="1" applyAlignment="1" applyProtection="1">
      <alignment vertical="center"/>
      <protection hidden="1"/>
    </xf>
    <xf numFmtId="2" fontId="0" fillId="5" borderId="56" xfId="0" applyNumberFormat="1" applyFill="1" applyBorder="1" applyAlignment="1" applyProtection="1">
      <alignment vertical="center"/>
      <protection hidden="1"/>
    </xf>
    <xf numFmtId="0" fontId="0" fillId="5" borderId="2" xfId="0" applyFill="1" applyBorder="1" applyProtection="1">
      <protection hidden="1"/>
    </xf>
    <xf numFmtId="0" fontId="0" fillId="5" borderId="56" xfId="0" applyFill="1" applyBorder="1" applyProtection="1">
      <protection hidden="1"/>
    </xf>
    <xf numFmtId="0" fontId="26" fillId="0" borderId="19" xfId="0" applyFont="1" applyBorder="1" applyAlignment="1" applyProtection="1">
      <alignment horizontal="center"/>
      <protection hidden="1"/>
    </xf>
    <xf numFmtId="166" fontId="0" fillId="0" borderId="71" xfId="0" applyNumberFormat="1" applyBorder="1" applyAlignment="1" applyProtection="1">
      <alignment vertical="center"/>
      <protection hidden="1"/>
    </xf>
    <xf numFmtId="166" fontId="0" fillId="0" borderId="84" xfId="0" applyNumberFormat="1" applyBorder="1" applyAlignment="1" applyProtection="1">
      <alignment vertical="center"/>
      <protection hidden="1"/>
    </xf>
    <xf numFmtId="0" fontId="26" fillId="0" borderId="46" xfId="0" applyFont="1" applyFill="1" applyBorder="1" applyAlignment="1" applyProtection="1">
      <alignment horizontal="center"/>
      <protection hidden="1"/>
    </xf>
    <xf numFmtId="0" fontId="0" fillId="0" borderId="53" xfId="0" applyFill="1" applyBorder="1" applyProtection="1">
      <protection hidden="1"/>
    </xf>
    <xf numFmtId="166" fontId="0" fillId="0" borderId="52" xfId="0" applyNumberFormat="1" applyFill="1" applyBorder="1" applyProtection="1">
      <protection hidden="1"/>
    </xf>
    <xf numFmtId="0" fontId="0" fillId="0" borderId="60" xfId="0" applyFill="1" applyBorder="1" applyProtection="1">
      <protection hidden="1"/>
    </xf>
    <xf numFmtId="0" fontId="0" fillId="0" borderId="70" xfId="0" applyFill="1" applyBorder="1" applyProtection="1">
      <protection hidden="1"/>
    </xf>
    <xf numFmtId="0" fontId="38" fillId="0" borderId="4" xfId="0" applyFont="1" applyFill="1" applyBorder="1" applyAlignment="1" applyProtection="1">
      <alignment horizontal="left" vertical="center" wrapText="1"/>
      <protection hidden="1"/>
    </xf>
    <xf numFmtId="0" fontId="38" fillId="0" borderId="11" xfId="0" applyFont="1" applyFill="1" applyBorder="1" applyAlignment="1" applyProtection="1">
      <alignment horizontal="left" vertical="center" wrapText="1"/>
      <protection hidden="1"/>
    </xf>
    <xf numFmtId="1" fontId="26" fillId="0" borderId="4" xfId="0" applyNumberFormat="1" applyFont="1" applyFill="1" applyBorder="1" applyAlignment="1" applyProtection="1">
      <alignment horizontal="left" vertical="center" wrapText="1"/>
      <protection hidden="1"/>
    </xf>
    <xf numFmtId="1" fontId="26" fillId="0" borderId="4" xfId="0" applyNumberFormat="1" applyFont="1" applyFill="1" applyBorder="1" applyProtection="1">
      <protection hidden="1"/>
    </xf>
    <xf numFmtId="165" fontId="26" fillId="0" borderId="4" xfId="0" applyNumberFormat="1" applyFont="1" applyFill="1" applyBorder="1" applyProtection="1">
      <protection hidden="1"/>
    </xf>
    <xf numFmtId="0" fontId="0" fillId="30" borderId="0" xfId="0" applyFill="1" applyProtection="1">
      <protection hidden="1"/>
    </xf>
    <xf numFmtId="0" fontId="33" fillId="27" borderId="0" xfId="0" applyFont="1" applyFill="1" applyBorder="1" applyAlignment="1" applyProtection="1">
      <alignment vertical="center"/>
      <protection hidden="1"/>
    </xf>
    <xf numFmtId="0" fontId="0" fillId="27" borderId="0" xfId="0" applyFill="1" applyProtection="1">
      <protection hidden="1"/>
    </xf>
    <xf numFmtId="49" fontId="48" fillId="2" borderId="4" xfId="0" applyNumberFormat="1" applyFont="1" applyFill="1" applyBorder="1" applyAlignment="1" applyProtection="1">
      <alignment horizontal="center" vertical="center" wrapText="1"/>
      <protection hidden="1"/>
    </xf>
    <xf numFmtId="0" fontId="48" fillId="2" borderId="4" xfId="0" applyFont="1" applyFill="1" applyBorder="1" applyAlignment="1" applyProtection="1">
      <alignment horizontal="center" vertical="center" wrapText="1"/>
      <protection hidden="1"/>
    </xf>
    <xf numFmtId="0" fontId="26" fillId="0" borderId="50" xfId="0" applyFont="1" applyBorder="1" applyAlignment="1" applyProtection="1">
      <alignment vertical="center" wrapText="1"/>
      <protection hidden="1"/>
    </xf>
    <xf numFmtId="0" fontId="26" fillId="2" borderId="4" xfId="0" applyFont="1" applyFill="1" applyBorder="1" applyAlignment="1" applyProtection="1">
      <alignment horizontal="center" vertical="center"/>
      <protection hidden="1"/>
    </xf>
    <xf numFmtId="1" fontId="0" fillId="0" borderId="4" xfId="0" applyNumberFormat="1" applyFont="1" applyBorder="1" applyAlignment="1" applyProtection="1">
      <alignment horizontal="center" vertical="center"/>
      <protection hidden="1"/>
    </xf>
    <xf numFmtId="1" fontId="0" fillId="0" borderId="4" xfId="0" applyNumberFormat="1" applyFont="1" applyBorder="1" applyProtection="1">
      <protection hidden="1"/>
    </xf>
    <xf numFmtId="165" fontId="0" fillId="20" borderId="0" xfId="0" applyNumberFormat="1" applyFill="1" applyProtection="1">
      <protection hidden="1"/>
    </xf>
    <xf numFmtId="0" fontId="26" fillId="2" borderId="4" xfId="0" applyFont="1" applyFill="1" applyBorder="1" applyAlignment="1" applyProtection="1">
      <alignment vertical="center" wrapText="1"/>
      <protection hidden="1"/>
    </xf>
    <xf numFmtId="1" fontId="0" fillId="2" borderId="4" xfId="0" applyNumberFormat="1" applyFont="1" applyFill="1" applyBorder="1" applyAlignment="1" applyProtection="1">
      <alignment horizontal="center" vertical="center"/>
      <protection hidden="1"/>
    </xf>
    <xf numFmtId="0" fontId="26" fillId="0" borderId="50" xfId="0" applyFont="1" applyBorder="1" applyAlignment="1" applyProtection="1">
      <alignment horizontal="left" vertical="center" indent="1"/>
      <protection hidden="1"/>
    </xf>
    <xf numFmtId="0" fontId="26" fillId="2" borderId="4" xfId="0" applyFont="1" applyFill="1" applyBorder="1" applyAlignment="1" applyProtection="1">
      <alignment horizontal="left" vertical="center" indent="1"/>
      <protection hidden="1"/>
    </xf>
    <xf numFmtId="1" fontId="0" fillId="2" borderId="4" xfId="0" applyNumberFormat="1" applyFill="1" applyBorder="1" applyAlignment="1" applyProtection="1">
      <alignment vertical="center"/>
      <protection hidden="1"/>
    </xf>
    <xf numFmtId="9" fontId="0" fillId="2" borderId="4" xfId="1" applyFont="1" applyFill="1" applyBorder="1" applyAlignment="1" applyProtection="1">
      <alignment vertical="center"/>
      <protection hidden="1"/>
    </xf>
    <xf numFmtId="1" fontId="0" fillId="0" borderId="4" xfId="0" applyNumberFormat="1" applyFont="1" applyBorder="1" applyAlignment="1" applyProtection="1">
      <alignment horizontal="right" vertical="center"/>
      <protection hidden="1"/>
    </xf>
    <xf numFmtId="1" fontId="0" fillId="2" borderId="4" xfId="0" applyNumberFormat="1" applyFont="1" applyFill="1" applyBorder="1" applyAlignment="1" applyProtection="1">
      <alignment horizontal="right" vertical="center"/>
      <protection hidden="1"/>
    </xf>
    <xf numFmtId="0" fontId="0" fillId="2" borderId="4" xfId="0" applyFill="1" applyBorder="1" applyAlignment="1" applyProtection="1">
      <alignment vertical="center"/>
      <protection hidden="1"/>
    </xf>
    <xf numFmtId="10" fontId="0" fillId="0" borderId="4" xfId="1" applyNumberFormat="1" applyFont="1" applyBorder="1" applyAlignment="1" applyProtection="1">
      <alignment horizontal="right" vertical="center"/>
      <protection hidden="1"/>
    </xf>
    <xf numFmtId="10" fontId="0" fillId="2" borderId="4" xfId="1" applyNumberFormat="1" applyFont="1" applyFill="1" applyBorder="1" applyAlignment="1" applyProtection="1">
      <alignment horizontal="right" vertical="center"/>
      <protection hidden="1"/>
    </xf>
    <xf numFmtId="0" fontId="26" fillId="2" borderId="4" xfId="0" applyFont="1" applyFill="1" applyBorder="1" applyAlignment="1" applyProtection="1">
      <alignment horizontal="left" vertical="center"/>
      <protection hidden="1"/>
    </xf>
    <xf numFmtId="0" fontId="26" fillId="0" borderId="50" xfId="0" applyFont="1" applyBorder="1" applyAlignment="1" applyProtection="1">
      <alignment horizontal="left" vertical="center" wrapText="1"/>
      <protection hidden="1"/>
    </xf>
    <xf numFmtId="165" fontId="0" fillId="0" borderId="4" xfId="0" applyNumberFormat="1" applyFont="1" applyBorder="1" applyAlignment="1" applyProtection="1">
      <alignment vertical="center"/>
      <protection hidden="1"/>
    </xf>
    <xf numFmtId="0" fontId="26" fillId="0" borderId="4" xfId="0" applyFont="1" applyBorder="1" applyAlignment="1" applyProtection="1">
      <alignment horizontal="center"/>
      <protection hidden="1"/>
    </xf>
    <xf numFmtId="166" fontId="0" fillId="0" borderId="4" xfId="0" applyNumberFormat="1" applyFont="1" applyBorder="1" applyAlignment="1" applyProtection="1">
      <alignment vertical="center"/>
      <protection hidden="1"/>
    </xf>
    <xf numFmtId="166" fontId="0" fillId="0" borderId="4" xfId="0" applyNumberFormat="1" applyFont="1" applyBorder="1" applyProtection="1">
      <protection hidden="1"/>
    </xf>
    <xf numFmtId="0" fontId="26" fillId="0" borderId="52" xfId="0" applyFont="1" applyBorder="1" applyAlignment="1" applyProtection="1">
      <alignment vertical="center"/>
      <protection hidden="1"/>
    </xf>
    <xf numFmtId="49" fontId="26" fillId="0" borderId="53" xfId="0" applyNumberFormat="1" applyFont="1" applyBorder="1" applyAlignment="1" applyProtection="1">
      <alignment horizontal="center" vertical="center" wrapText="1"/>
      <protection hidden="1"/>
    </xf>
    <xf numFmtId="165" fontId="0" fillId="0" borderId="53" xfId="0" applyNumberFormat="1" applyFont="1" applyBorder="1" applyProtection="1">
      <protection hidden="1"/>
    </xf>
    <xf numFmtId="1" fontId="0" fillId="0" borderId="53" xfId="0" applyNumberFormat="1" applyFont="1" applyBorder="1" applyProtection="1">
      <protection hidden="1"/>
    </xf>
    <xf numFmtId="0" fontId="29" fillId="31" borderId="0" xfId="0" applyFont="1" applyFill="1" applyProtection="1">
      <protection hidden="1"/>
    </xf>
    <xf numFmtId="0" fontId="34" fillId="6" borderId="0" xfId="0" applyFont="1" applyFill="1" applyBorder="1" applyAlignment="1" applyProtection="1">
      <alignment vertical="center"/>
      <protection hidden="1"/>
    </xf>
    <xf numFmtId="0" fontId="29" fillId="6" borderId="0" xfId="0" applyFont="1" applyFill="1" applyProtection="1">
      <protection hidden="1"/>
    </xf>
    <xf numFmtId="0" fontId="48" fillId="2" borderId="48" xfId="0" applyFont="1" applyFill="1" applyBorder="1" applyAlignment="1" applyProtection="1">
      <alignment vertical="center"/>
      <protection hidden="1"/>
    </xf>
    <xf numFmtId="0" fontId="48" fillId="2" borderId="49" xfId="0" applyFont="1" applyFill="1" applyBorder="1" applyAlignment="1" applyProtection="1">
      <alignment vertical="center"/>
      <protection hidden="1"/>
    </xf>
    <xf numFmtId="0" fontId="26" fillId="2" borderId="50" xfId="0" applyFont="1" applyFill="1" applyBorder="1" applyAlignment="1" applyProtection="1">
      <alignment vertical="center" wrapText="1"/>
      <protection hidden="1"/>
    </xf>
    <xf numFmtId="1" fontId="0" fillId="2" borderId="51" xfId="0" applyNumberFormat="1" applyFill="1" applyBorder="1" applyAlignment="1" applyProtection="1">
      <alignment vertical="center"/>
      <protection hidden="1"/>
    </xf>
    <xf numFmtId="1" fontId="7" fillId="2" borderId="4" xfId="0" applyNumberFormat="1" applyFont="1" applyFill="1" applyBorder="1" applyAlignment="1" applyProtection="1">
      <alignment vertical="center"/>
      <protection hidden="1"/>
    </xf>
    <xf numFmtId="1" fontId="7" fillId="2" borderId="4" xfId="0" applyNumberFormat="1" applyFont="1" applyFill="1" applyBorder="1" applyProtection="1">
      <protection hidden="1"/>
    </xf>
    <xf numFmtId="1" fontId="0" fillId="2" borderId="4" xfId="0" applyNumberFormat="1" applyFill="1" applyBorder="1" applyProtection="1">
      <protection hidden="1"/>
    </xf>
    <xf numFmtId="1" fontId="0" fillId="2" borderId="51" xfId="0" applyNumberFormat="1" applyFill="1" applyBorder="1" applyProtection="1">
      <protection hidden="1"/>
    </xf>
    <xf numFmtId="0" fontId="26" fillId="2" borderId="50" xfId="0" applyFont="1" applyFill="1" applyBorder="1" applyAlignment="1" applyProtection="1">
      <alignment horizontal="left" vertical="center" indent="1"/>
      <protection hidden="1"/>
    </xf>
    <xf numFmtId="9" fontId="0" fillId="2" borderId="51" xfId="1" applyFont="1" applyFill="1" applyBorder="1" applyAlignment="1" applyProtection="1">
      <alignment vertical="center"/>
      <protection hidden="1"/>
    </xf>
    <xf numFmtId="0" fontId="26" fillId="2" borderId="50" xfId="0" applyFont="1" applyFill="1" applyBorder="1" applyAlignment="1" applyProtection="1">
      <alignment horizontal="left" vertical="center" wrapText="1" indent="1"/>
      <protection hidden="1"/>
    </xf>
    <xf numFmtId="167" fontId="0" fillId="20" borderId="0" xfId="0" applyNumberFormat="1" applyFill="1" applyProtection="1">
      <protection hidden="1"/>
    </xf>
    <xf numFmtId="9" fontId="0" fillId="20" borderId="0" xfId="1" applyFont="1" applyFill="1" applyProtection="1">
      <protection hidden="1"/>
    </xf>
    <xf numFmtId="0" fontId="0" fillId="2" borderId="4" xfId="0" applyFill="1" applyBorder="1" applyProtection="1">
      <protection hidden="1"/>
    </xf>
    <xf numFmtId="0" fontId="0" fillId="2" borderId="51" xfId="0" applyFill="1" applyBorder="1" applyProtection="1">
      <protection hidden="1"/>
    </xf>
    <xf numFmtId="165" fontId="0" fillId="2" borderId="51" xfId="1" applyNumberFormat="1" applyFont="1" applyFill="1" applyBorder="1" applyAlignment="1" applyProtection="1">
      <alignment vertical="center"/>
      <protection hidden="1"/>
    </xf>
    <xf numFmtId="0" fontId="0" fillId="2" borderId="51" xfId="0" applyFill="1" applyBorder="1" applyAlignment="1" applyProtection="1">
      <alignment vertical="center"/>
      <protection hidden="1"/>
    </xf>
    <xf numFmtId="0" fontId="26" fillId="2" borderId="50" xfId="0" applyFont="1" applyFill="1" applyBorder="1" applyAlignment="1" applyProtection="1">
      <alignment horizontal="left" vertical="center" wrapText="1"/>
      <protection hidden="1"/>
    </xf>
    <xf numFmtId="0" fontId="26" fillId="2" borderId="52" xfId="0" applyFont="1" applyFill="1" applyBorder="1" applyAlignment="1" applyProtection="1">
      <alignment horizontal="left" vertical="center" wrapText="1"/>
      <protection hidden="1"/>
    </xf>
    <xf numFmtId="0" fontId="26" fillId="2" borderId="53" xfId="0" applyFont="1" applyFill="1" applyBorder="1" applyAlignment="1" applyProtection="1">
      <alignment horizontal="center" vertical="center"/>
      <protection hidden="1"/>
    </xf>
    <xf numFmtId="1" fontId="0" fillId="2" borderId="53" xfId="0" applyNumberFormat="1" applyFill="1" applyBorder="1" applyAlignment="1" applyProtection="1">
      <alignment vertical="center"/>
      <protection hidden="1"/>
    </xf>
    <xf numFmtId="1" fontId="0" fillId="0" borderId="82" xfId="0" applyNumberFormat="1" applyBorder="1" applyAlignment="1" applyProtection="1">
      <alignment vertical="center"/>
      <protection hidden="1"/>
    </xf>
    <xf numFmtId="0" fontId="0" fillId="33" borderId="52" xfId="0" applyFill="1" applyBorder="1" applyProtection="1">
      <protection hidden="1"/>
    </xf>
    <xf numFmtId="0" fontId="0" fillId="33" borderId="53" xfId="0" applyFill="1" applyBorder="1" applyProtection="1">
      <protection hidden="1"/>
    </xf>
    <xf numFmtId="0" fontId="0" fillId="33" borderId="54" xfId="0" applyFill="1" applyBorder="1" applyProtection="1">
      <protection hidden="1"/>
    </xf>
    <xf numFmtId="0" fontId="0" fillId="13" borderId="4" xfId="0" applyFill="1" applyBorder="1" applyProtection="1">
      <protection hidden="1"/>
    </xf>
    <xf numFmtId="0" fontId="0" fillId="13" borderId="0" xfId="0" applyFill="1" applyBorder="1" applyProtection="1">
      <protection hidden="1"/>
    </xf>
    <xf numFmtId="0" fontId="0" fillId="16" borderId="4" xfId="0" applyFill="1" applyBorder="1" applyProtection="1">
      <protection hidden="1"/>
    </xf>
    <xf numFmtId="0" fontId="0" fillId="16" borderId="0" xfId="0" applyFill="1" applyBorder="1" applyProtection="1">
      <protection hidden="1"/>
    </xf>
    <xf numFmtId="0" fontId="0" fillId="20" borderId="4" xfId="0" applyFill="1" applyBorder="1" applyProtection="1">
      <protection hidden="1"/>
    </xf>
    <xf numFmtId="0" fontId="0" fillId="13" borderId="4" xfId="0" applyFill="1" applyBorder="1" applyAlignment="1" applyProtection="1">
      <alignment horizontal="center"/>
      <protection hidden="1"/>
    </xf>
    <xf numFmtId="0" fontId="0" fillId="13" borderId="4" xfId="0" applyFill="1" applyBorder="1" applyAlignment="1" applyProtection="1">
      <protection hidden="1"/>
    </xf>
    <xf numFmtId="1" fontId="0" fillId="13" borderId="4" xfId="6" applyNumberFormat="1" applyFont="1" applyFill="1" applyBorder="1" applyProtection="1">
      <protection hidden="1"/>
    </xf>
    <xf numFmtId="1" fontId="0" fillId="13" borderId="0" xfId="6" applyNumberFormat="1" applyFont="1" applyFill="1" applyBorder="1" applyProtection="1">
      <protection hidden="1"/>
    </xf>
    <xf numFmtId="0" fontId="12" fillId="13" borderId="4" xfId="0" applyFont="1" applyFill="1" applyBorder="1" applyAlignment="1" applyProtection="1">
      <alignment horizontal="center"/>
      <protection hidden="1"/>
    </xf>
    <xf numFmtId="0" fontId="0" fillId="13" borderId="0" xfId="0" applyFill="1" applyBorder="1" applyAlignment="1" applyProtection="1">
      <alignment horizontal="center"/>
      <protection hidden="1"/>
    </xf>
    <xf numFmtId="0" fontId="30" fillId="13" borderId="4" xfId="0" applyFont="1" applyFill="1" applyBorder="1" applyProtection="1">
      <protection hidden="1"/>
    </xf>
    <xf numFmtId="0" fontId="0" fillId="10" borderId="4" xfId="0" applyFill="1" applyBorder="1" applyProtection="1">
      <protection hidden="1"/>
    </xf>
    <xf numFmtId="166" fontId="29" fillId="16" borderId="4" xfId="0" applyNumberFormat="1" applyFont="1" applyFill="1" applyBorder="1" applyAlignment="1" applyProtection="1">
      <alignment horizontal="right"/>
      <protection hidden="1"/>
    </xf>
    <xf numFmtId="1" fontId="0" fillId="10" borderId="4" xfId="0" applyNumberFormat="1" applyFill="1" applyBorder="1" applyProtection="1">
      <protection hidden="1"/>
    </xf>
    <xf numFmtId="1" fontId="12" fillId="10" borderId="4" xfId="0" applyNumberFormat="1" applyFont="1" applyFill="1" applyBorder="1" applyProtection="1">
      <protection hidden="1"/>
    </xf>
    <xf numFmtId="1" fontId="0" fillId="10" borderId="0" xfId="0" applyNumberFormat="1" applyFill="1" applyBorder="1" applyProtection="1">
      <protection hidden="1"/>
    </xf>
    <xf numFmtId="2" fontId="0" fillId="10" borderId="4" xfId="0" applyNumberFormat="1" applyFill="1" applyBorder="1" applyProtection="1">
      <protection hidden="1"/>
    </xf>
    <xf numFmtId="166" fontId="0" fillId="10" borderId="4" xfId="0" applyNumberFormat="1" applyFill="1" applyBorder="1" applyProtection="1">
      <protection hidden="1"/>
    </xf>
    <xf numFmtId="0" fontId="0" fillId="13" borderId="4" xfId="0" applyFill="1" applyBorder="1" applyAlignment="1" applyProtection="1">
      <alignment horizontal="right"/>
      <protection hidden="1"/>
    </xf>
    <xf numFmtId="1" fontId="0" fillId="13" borderId="4" xfId="0" applyNumberFormat="1" applyFill="1" applyBorder="1" applyAlignment="1" applyProtection="1">
      <alignment horizontal="right"/>
      <protection hidden="1"/>
    </xf>
    <xf numFmtId="0" fontId="0" fillId="21" borderId="4" xfId="0" applyFill="1" applyBorder="1" applyProtection="1">
      <protection hidden="1"/>
    </xf>
    <xf numFmtId="1" fontId="1" fillId="13" borderId="4" xfId="6" applyNumberFormat="1" applyFill="1" applyBorder="1" applyProtection="1">
      <protection hidden="1"/>
    </xf>
    <xf numFmtId="1" fontId="31" fillId="0" borderId="4" xfId="6" applyNumberFormat="1" applyFont="1" applyFill="1" applyBorder="1" applyAlignment="1" applyProtection="1">
      <alignment horizontal="left"/>
      <protection hidden="1"/>
    </xf>
    <xf numFmtId="1" fontId="1" fillId="13" borderId="4" xfId="6" applyNumberFormat="1" applyFill="1" applyBorder="1" applyAlignment="1" applyProtection="1">
      <alignment horizontal="right"/>
      <protection hidden="1"/>
    </xf>
    <xf numFmtId="166" fontId="1" fillId="0" borderId="4" xfId="6" applyNumberFormat="1" applyFill="1" applyBorder="1" applyProtection="1">
      <protection hidden="1"/>
    </xf>
    <xf numFmtId="1" fontId="12" fillId="20" borderId="4" xfId="0" applyNumberFormat="1" applyFont="1" applyFill="1" applyBorder="1" applyProtection="1">
      <protection hidden="1"/>
    </xf>
    <xf numFmtId="1" fontId="1" fillId="0" borderId="4" xfId="6" applyNumberFormat="1" applyFill="1" applyBorder="1" applyProtection="1">
      <protection hidden="1"/>
    </xf>
    <xf numFmtId="1" fontId="0" fillId="13" borderId="4" xfId="6" applyNumberFormat="1" applyFont="1" applyFill="1" applyBorder="1" applyAlignment="1" applyProtection="1">
      <alignment horizontal="right"/>
      <protection hidden="1"/>
    </xf>
    <xf numFmtId="1" fontId="0" fillId="13" borderId="4" xfId="0" applyNumberFormat="1" applyFill="1" applyBorder="1" applyProtection="1">
      <protection hidden="1"/>
    </xf>
    <xf numFmtId="1" fontId="31" fillId="0" borderId="4" xfId="0" applyNumberFormat="1" applyFont="1" applyFill="1" applyBorder="1" applyAlignment="1" applyProtection="1">
      <alignment horizontal="left"/>
      <protection hidden="1"/>
    </xf>
    <xf numFmtId="1" fontId="0" fillId="0" borderId="4" xfId="0" applyNumberFormat="1" applyFill="1" applyBorder="1" applyProtection="1">
      <protection hidden="1"/>
    </xf>
    <xf numFmtId="166" fontId="0" fillId="0" borderId="4" xfId="0" applyNumberFormat="1" applyFill="1" applyBorder="1" applyProtection="1">
      <protection hidden="1"/>
    </xf>
    <xf numFmtId="166" fontId="70" fillId="0" borderId="4" xfId="6" applyNumberFormat="1" applyFont="1" applyFill="1" applyBorder="1" applyProtection="1">
      <protection hidden="1"/>
    </xf>
    <xf numFmtId="166" fontId="70" fillId="0" borderId="4" xfId="0" applyNumberFormat="1" applyFont="1" applyFill="1" applyBorder="1" applyProtection="1">
      <protection hidden="1"/>
    </xf>
    <xf numFmtId="1" fontId="31" fillId="0" borderId="4" xfId="6" applyNumberFormat="1" applyFont="1" applyFill="1" applyBorder="1" applyAlignment="1" applyProtection="1">
      <alignment horizontal="right"/>
      <protection hidden="1"/>
    </xf>
    <xf numFmtId="168" fontId="12" fillId="0" borderId="4" xfId="1" applyNumberFormat="1" applyFont="1" applyFill="1" applyBorder="1" applyProtection="1">
      <protection hidden="1"/>
    </xf>
    <xf numFmtId="0" fontId="0" fillId="13" borderId="4" xfId="0" applyFont="1" applyFill="1" applyBorder="1" applyProtection="1">
      <protection hidden="1"/>
    </xf>
    <xf numFmtId="1" fontId="31" fillId="21" borderId="4" xfId="6" applyNumberFormat="1" applyFont="1" applyFill="1" applyBorder="1" applyProtection="1">
      <protection hidden="1"/>
    </xf>
    <xf numFmtId="1" fontId="0" fillId="21" borderId="4" xfId="0" applyNumberFormat="1" applyFont="1" applyFill="1" applyBorder="1" applyProtection="1">
      <protection hidden="1"/>
    </xf>
    <xf numFmtId="1" fontId="29" fillId="21" borderId="4" xfId="0" applyNumberFormat="1" applyFont="1" applyFill="1" applyBorder="1" applyProtection="1">
      <protection hidden="1"/>
    </xf>
    <xf numFmtId="0" fontId="9" fillId="13" borderId="4" xfId="0" applyFont="1" applyFill="1" applyBorder="1" applyProtection="1">
      <protection hidden="1"/>
    </xf>
    <xf numFmtId="0" fontId="0" fillId="21" borderId="4" xfId="0" applyFont="1" applyFill="1" applyBorder="1" applyProtection="1">
      <protection hidden="1"/>
    </xf>
    <xf numFmtId="166" fontId="0" fillId="21" borderId="4" xfId="0" applyNumberFormat="1" applyFont="1" applyFill="1" applyBorder="1" applyProtection="1">
      <protection hidden="1"/>
    </xf>
    <xf numFmtId="165" fontId="0" fillId="21" borderId="4" xfId="0" applyNumberFormat="1" applyFont="1" applyFill="1" applyBorder="1" applyProtection="1">
      <protection hidden="1"/>
    </xf>
    <xf numFmtId="166" fontId="0" fillId="20" borderId="0" xfId="0" applyNumberFormat="1" applyFill="1" applyProtection="1">
      <protection hidden="1"/>
    </xf>
    <xf numFmtId="0" fontId="31" fillId="21" borderId="4" xfId="0" applyFont="1" applyFill="1" applyBorder="1" applyProtection="1">
      <protection hidden="1"/>
    </xf>
    <xf numFmtId="0" fontId="29" fillId="21" borderId="4" xfId="0" applyFont="1" applyFill="1" applyBorder="1" applyProtection="1">
      <protection hidden="1"/>
    </xf>
    <xf numFmtId="2" fontId="0" fillId="21" borderId="4" xfId="0" applyNumberFormat="1" applyFont="1" applyFill="1" applyBorder="1" applyProtection="1">
      <protection hidden="1"/>
    </xf>
    <xf numFmtId="0" fontId="48" fillId="0" borderId="52" xfId="0" applyFont="1" applyBorder="1" applyAlignment="1" applyProtection="1">
      <alignment horizontal="center" vertical="center" wrapText="1"/>
      <protection hidden="1"/>
    </xf>
    <xf numFmtId="49" fontId="48" fillId="0" borderId="53" xfId="0" applyNumberFormat="1" applyFont="1" applyBorder="1" applyAlignment="1" applyProtection="1">
      <alignment horizontal="center" vertical="center" wrapText="1"/>
      <protection hidden="1"/>
    </xf>
    <xf numFmtId="0" fontId="48" fillId="0" borderId="54" xfId="0" applyFont="1" applyBorder="1" applyAlignment="1" applyProtection="1">
      <alignment horizontal="center" vertical="center" wrapText="1"/>
      <protection hidden="1"/>
    </xf>
    <xf numFmtId="0" fontId="48" fillId="0" borderId="7" xfId="0" applyFont="1" applyBorder="1" applyAlignment="1" applyProtection="1">
      <alignment horizontal="center" vertical="center" wrapText="1"/>
      <protection hidden="1"/>
    </xf>
    <xf numFmtId="0" fontId="48" fillId="5" borderId="18" xfId="0" applyFont="1" applyFill="1" applyBorder="1" applyAlignment="1" applyProtection="1">
      <alignment vertical="center" wrapText="1"/>
      <protection hidden="1"/>
    </xf>
    <xf numFmtId="0" fontId="48" fillId="5" borderId="18" xfId="0" applyFont="1" applyFill="1" applyBorder="1" applyAlignment="1" applyProtection="1">
      <alignment horizontal="center" vertical="center"/>
      <protection hidden="1"/>
    </xf>
    <xf numFmtId="1" fontId="7" fillId="5" borderId="85" xfId="0" applyNumberFormat="1" applyFont="1" applyFill="1" applyBorder="1" applyAlignment="1" applyProtection="1">
      <alignment vertical="center"/>
      <protection hidden="1"/>
    </xf>
    <xf numFmtId="1" fontId="7" fillId="5" borderId="68" xfId="0" applyNumberFormat="1" applyFont="1" applyFill="1" applyBorder="1" applyAlignment="1" applyProtection="1">
      <alignment vertical="center"/>
      <protection hidden="1"/>
    </xf>
    <xf numFmtId="1" fontId="7" fillId="5" borderId="86" xfId="0" applyNumberFormat="1" applyFont="1" applyFill="1" applyBorder="1" applyAlignment="1" applyProtection="1">
      <alignment vertical="center"/>
      <protection hidden="1"/>
    </xf>
    <xf numFmtId="0" fontId="48" fillId="5" borderId="44" xfId="0" applyFont="1" applyFill="1" applyBorder="1" applyAlignment="1" applyProtection="1">
      <alignment vertical="center" wrapText="1"/>
      <protection hidden="1"/>
    </xf>
    <xf numFmtId="0" fontId="48" fillId="5" borderId="44" xfId="0" applyFont="1" applyFill="1" applyBorder="1" applyAlignment="1" applyProtection="1">
      <alignment horizontal="center" vertical="center"/>
      <protection hidden="1"/>
    </xf>
    <xf numFmtId="1" fontId="7" fillId="5" borderId="48" xfId="0" applyNumberFormat="1" applyFont="1" applyFill="1" applyBorder="1" applyAlignment="1" applyProtection="1">
      <alignment vertical="center"/>
      <protection hidden="1"/>
    </xf>
    <xf numFmtId="1" fontId="7" fillId="5" borderId="49" xfId="0" applyNumberFormat="1" applyFont="1" applyFill="1" applyBorder="1" applyAlignment="1" applyProtection="1">
      <alignment vertical="center"/>
      <protection hidden="1"/>
    </xf>
    <xf numFmtId="1" fontId="7" fillId="5" borderId="2" xfId="0" applyNumberFormat="1" applyFont="1" applyFill="1" applyBorder="1" applyAlignment="1" applyProtection="1">
      <alignment vertical="center"/>
      <protection hidden="1"/>
    </xf>
    <xf numFmtId="1" fontId="7" fillId="5" borderId="5" xfId="0" applyNumberFormat="1" applyFont="1" applyFill="1" applyBorder="1" applyAlignment="1" applyProtection="1">
      <alignment vertical="center"/>
      <protection hidden="1"/>
    </xf>
    <xf numFmtId="1" fontId="7" fillId="5" borderId="3" xfId="0" applyNumberFormat="1" applyFont="1" applyFill="1" applyBorder="1" applyAlignment="1" applyProtection="1">
      <alignment vertical="center"/>
      <protection hidden="1"/>
    </xf>
    <xf numFmtId="1" fontId="7" fillId="5" borderId="7" xfId="0" applyNumberFormat="1" applyFont="1" applyFill="1" applyBorder="1" applyAlignment="1" applyProtection="1">
      <alignment vertical="center"/>
      <protection hidden="1"/>
    </xf>
    <xf numFmtId="1" fontId="7" fillId="5" borderId="4" xfId="0" applyNumberFormat="1" applyFont="1" applyFill="1" applyBorder="1" applyAlignment="1" applyProtection="1">
      <alignment vertical="center"/>
      <protection hidden="1"/>
    </xf>
    <xf numFmtId="1" fontId="0" fillId="0" borderId="91" xfId="0" applyNumberFormat="1" applyBorder="1" applyAlignment="1" applyProtection="1">
      <alignment vertical="center"/>
      <protection hidden="1"/>
    </xf>
    <xf numFmtId="1" fontId="0" fillId="0" borderId="28" xfId="0" applyNumberFormat="1" applyBorder="1" applyAlignment="1" applyProtection="1">
      <alignment vertical="center"/>
      <protection hidden="1"/>
    </xf>
    <xf numFmtId="1" fontId="0" fillId="0" borderId="69" xfId="0" applyNumberFormat="1" applyBorder="1" applyAlignment="1" applyProtection="1">
      <alignment vertical="center"/>
      <protection hidden="1"/>
    </xf>
    <xf numFmtId="0" fontId="26" fillId="0" borderId="45" xfId="0" applyFont="1" applyBorder="1" applyAlignment="1" applyProtection="1">
      <alignment horizontal="left" vertical="center" indent="1"/>
      <protection hidden="1"/>
    </xf>
    <xf numFmtId="0" fontId="26" fillId="0" borderId="45" xfId="0" applyFont="1" applyBorder="1" applyAlignment="1" applyProtection="1">
      <alignment horizontal="center" vertical="center"/>
      <protection hidden="1"/>
    </xf>
    <xf numFmtId="1" fontId="0" fillId="0" borderId="29" xfId="0" applyNumberFormat="1" applyBorder="1" applyAlignment="1" applyProtection="1">
      <alignment vertical="center"/>
      <protection hidden="1"/>
    </xf>
    <xf numFmtId="1" fontId="0" fillId="0" borderId="6" xfId="0" applyNumberFormat="1" applyBorder="1" applyAlignment="1" applyProtection="1">
      <alignment vertical="center"/>
      <protection hidden="1"/>
    </xf>
    <xf numFmtId="9" fontId="0" fillId="0" borderId="91" xfId="1" applyFont="1" applyBorder="1" applyAlignment="1" applyProtection="1">
      <alignment vertical="center"/>
      <protection hidden="1"/>
    </xf>
    <xf numFmtId="0" fontId="26" fillId="0" borderId="46" xfId="0" applyFont="1" applyBorder="1" applyAlignment="1" applyProtection="1">
      <alignment horizontal="left" vertical="center" indent="1"/>
      <protection hidden="1"/>
    </xf>
    <xf numFmtId="0" fontId="26" fillId="0" borderId="46" xfId="0" applyFont="1" applyBorder="1" applyAlignment="1" applyProtection="1">
      <alignment horizontal="center" vertical="center"/>
      <protection hidden="1"/>
    </xf>
    <xf numFmtId="9" fontId="0" fillId="0" borderId="52" xfId="1" applyFont="1" applyBorder="1" applyProtection="1">
      <protection hidden="1"/>
    </xf>
    <xf numFmtId="9" fontId="0" fillId="0" borderId="53" xfId="1" applyFont="1" applyBorder="1" applyProtection="1">
      <protection hidden="1"/>
    </xf>
    <xf numFmtId="9" fontId="0" fillId="0" borderId="54" xfId="1" applyFont="1" applyBorder="1" applyProtection="1">
      <protection hidden="1"/>
    </xf>
    <xf numFmtId="9" fontId="0" fillId="0" borderId="10" xfId="1" applyFont="1" applyBorder="1" applyProtection="1">
      <protection hidden="1"/>
    </xf>
    <xf numFmtId="9" fontId="0" fillId="0" borderId="11" xfId="1" applyFont="1" applyBorder="1" applyProtection="1">
      <protection hidden="1"/>
    </xf>
    <xf numFmtId="9" fontId="0" fillId="0" borderId="9" xfId="1" applyFont="1" applyBorder="1" applyProtection="1">
      <protection hidden="1"/>
    </xf>
    <xf numFmtId="9" fontId="0" fillId="0" borderId="7" xfId="1" applyFont="1" applyBorder="1" applyProtection="1">
      <protection hidden="1"/>
    </xf>
    <xf numFmtId="9" fontId="0" fillId="0" borderId="4" xfId="1" applyFont="1" applyBorder="1" applyProtection="1">
      <protection hidden="1"/>
    </xf>
    <xf numFmtId="0" fontId="48" fillId="5" borderId="18" xfId="0" applyFont="1" applyFill="1" applyBorder="1" applyAlignment="1" applyProtection="1">
      <alignment vertical="top" wrapText="1"/>
      <protection hidden="1"/>
    </xf>
    <xf numFmtId="1" fontId="7" fillId="5" borderId="87" xfId="0" applyNumberFormat="1" applyFont="1" applyFill="1" applyBorder="1" applyAlignment="1" applyProtection="1">
      <alignment vertical="center"/>
      <protection hidden="1"/>
    </xf>
    <xf numFmtId="1" fontId="7" fillId="5" borderId="78" xfId="0" applyNumberFormat="1" applyFont="1" applyFill="1" applyBorder="1" applyAlignment="1" applyProtection="1">
      <alignment vertical="center"/>
      <protection hidden="1"/>
    </xf>
    <xf numFmtId="0" fontId="48" fillId="5" borderId="44" xfId="0" applyFont="1" applyFill="1" applyBorder="1" applyAlignment="1" applyProtection="1">
      <alignment vertical="top" wrapText="1"/>
      <protection hidden="1"/>
    </xf>
    <xf numFmtId="1" fontId="0" fillId="0" borderId="92" xfId="0" applyNumberFormat="1" applyBorder="1" applyProtection="1">
      <protection hidden="1"/>
    </xf>
    <xf numFmtId="1" fontId="0" fillId="0" borderId="28" xfId="0" applyNumberFormat="1" applyBorder="1" applyProtection="1">
      <protection hidden="1"/>
    </xf>
    <xf numFmtId="1" fontId="0" fillId="0" borderId="93" xfId="0" applyNumberFormat="1" applyBorder="1" applyProtection="1">
      <protection hidden="1"/>
    </xf>
    <xf numFmtId="1" fontId="0" fillId="0" borderId="50" xfId="0" applyNumberFormat="1" applyBorder="1" applyProtection="1">
      <protection hidden="1"/>
    </xf>
    <xf numFmtId="1" fontId="0" fillId="0" borderId="51" xfId="0" applyNumberFormat="1" applyBorder="1" applyProtection="1">
      <protection hidden="1"/>
    </xf>
    <xf numFmtId="1" fontId="0" fillId="0" borderId="7" xfId="0" applyNumberFormat="1" applyBorder="1" applyProtection="1">
      <protection hidden="1"/>
    </xf>
    <xf numFmtId="9" fontId="0" fillId="0" borderId="92" xfId="1" applyFont="1" applyBorder="1" applyProtection="1">
      <protection hidden="1"/>
    </xf>
    <xf numFmtId="9" fontId="0" fillId="0" borderId="28" xfId="1" applyFont="1" applyBorder="1" applyProtection="1">
      <protection hidden="1"/>
    </xf>
    <xf numFmtId="0" fontId="0" fillId="0" borderId="93" xfId="0" applyBorder="1" applyProtection="1">
      <protection hidden="1"/>
    </xf>
    <xf numFmtId="9" fontId="0" fillId="0" borderId="50" xfId="1" applyFont="1" applyBorder="1" applyProtection="1">
      <protection hidden="1"/>
    </xf>
    <xf numFmtId="9" fontId="0" fillId="0" borderId="51" xfId="1" applyFont="1" applyBorder="1" applyProtection="1">
      <protection hidden="1"/>
    </xf>
    <xf numFmtId="0" fontId="26" fillId="5" borderId="90" xfId="0" applyFont="1" applyFill="1" applyBorder="1" applyAlignment="1" applyProtection="1">
      <alignment horizontal="left" vertical="center" wrapText="1" indent="1"/>
      <protection hidden="1"/>
    </xf>
    <xf numFmtId="0" fontId="26" fillId="5" borderId="90" xfId="0" applyFont="1" applyFill="1" applyBorder="1" applyAlignment="1" applyProtection="1">
      <alignment horizontal="center" vertical="center"/>
      <protection hidden="1"/>
    </xf>
    <xf numFmtId="1" fontId="0" fillId="5" borderId="92" xfId="0" applyNumberFormat="1" applyFill="1" applyBorder="1" applyAlignment="1" applyProtection="1">
      <alignment vertical="center"/>
      <protection hidden="1"/>
    </xf>
    <xf numFmtId="1" fontId="0" fillId="5" borderId="28" xfId="0" applyNumberFormat="1" applyFill="1" applyBorder="1" applyAlignment="1" applyProtection="1">
      <alignment vertical="center"/>
      <protection hidden="1"/>
    </xf>
    <xf numFmtId="1" fontId="0" fillId="5" borderId="93" xfId="0" applyNumberFormat="1" applyFill="1" applyBorder="1" applyAlignment="1" applyProtection="1">
      <alignment vertical="center"/>
      <protection hidden="1"/>
    </xf>
    <xf numFmtId="0" fontId="26" fillId="5" borderId="45" xfId="0" applyFont="1" applyFill="1" applyBorder="1" applyAlignment="1" applyProtection="1">
      <alignment horizontal="left" vertical="center" wrapText="1" indent="1"/>
      <protection hidden="1"/>
    </xf>
    <xf numFmtId="0" fontId="26" fillId="5" borderId="45" xfId="0" applyFont="1" applyFill="1" applyBorder="1" applyAlignment="1" applyProtection="1">
      <alignment horizontal="center" vertical="center"/>
      <protection hidden="1"/>
    </xf>
    <xf numFmtId="1" fontId="0" fillId="5" borderId="50" xfId="0" applyNumberFormat="1" applyFill="1" applyBorder="1" applyAlignment="1" applyProtection="1">
      <alignment vertical="center"/>
      <protection hidden="1"/>
    </xf>
    <xf numFmtId="1" fontId="0" fillId="5" borderId="51" xfId="0" applyNumberFormat="1" applyFill="1" applyBorder="1" applyAlignment="1" applyProtection="1">
      <alignment vertical="center"/>
      <protection hidden="1"/>
    </xf>
    <xf numFmtId="1" fontId="0" fillId="5" borderId="50" xfId="0" applyNumberFormat="1" applyFill="1" applyBorder="1" applyProtection="1">
      <protection hidden="1"/>
    </xf>
    <xf numFmtId="1" fontId="0" fillId="5" borderId="7" xfId="0" applyNumberFormat="1" applyFill="1" applyBorder="1" applyProtection="1">
      <protection hidden="1"/>
    </xf>
    <xf numFmtId="1" fontId="0" fillId="5" borderId="92" xfId="0" applyNumberFormat="1" applyFill="1" applyBorder="1" applyProtection="1">
      <protection hidden="1"/>
    </xf>
    <xf numFmtId="1" fontId="0" fillId="5" borderId="28" xfId="0" applyNumberFormat="1" applyFill="1" applyBorder="1" applyProtection="1">
      <protection hidden="1"/>
    </xf>
    <xf numFmtId="1" fontId="0" fillId="5" borderId="93" xfId="0" applyNumberFormat="1" applyFill="1" applyBorder="1" applyProtection="1">
      <protection hidden="1"/>
    </xf>
    <xf numFmtId="1" fontId="0" fillId="5" borderId="51" xfId="0" applyNumberFormat="1" applyFill="1" applyBorder="1" applyProtection="1">
      <protection hidden="1"/>
    </xf>
    <xf numFmtId="1" fontId="0" fillId="5" borderId="51" xfId="0" applyNumberFormat="1" applyFill="1" applyBorder="1" applyAlignment="1" applyProtection="1">
      <alignment horizontal="right"/>
      <protection hidden="1"/>
    </xf>
    <xf numFmtId="1" fontId="0" fillId="5" borderId="7" xfId="0" applyNumberFormat="1" applyFill="1" applyBorder="1" applyAlignment="1" applyProtection="1">
      <alignment vertical="center"/>
      <protection hidden="1"/>
    </xf>
    <xf numFmtId="0" fontId="0" fillId="0" borderId="51" xfId="0" applyBorder="1" applyProtection="1">
      <protection hidden="1"/>
    </xf>
    <xf numFmtId="0" fontId="0" fillId="0" borderId="51" xfId="0" applyBorder="1" applyAlignment="1" applyProtection="1">
      <alignment horizontal="right"/>
      <protection hidden="1"/>
    </xf>
    <xf numFmtId="9" fontId="0" fillId="0" borderId="84" xfId="1" applyFont="1" applyBorder="1" applyProtection="1">
      <protection hidden="1"/>
    </xf>
    <xf numFmtId="9" fontId="0" fillId="0" borderId="71" xfId="1" applyFont="1" applyBorder="1" applyProtection="1">
      <protection hidden="1"/>
    </xf>
    <xf numFmtId="0" fontId="0" fillId="0" borderId="21" xfId="0" applyBorder="1" applyProtection="1">
      <protection hidden="1"/>
    </xf>
    <xf numFmtId="9" fontId="0" fillId="0" borderId="54" xfId="1" applyFont="1" applyBorder="1" applyAlignment="1" applyProtection="1">
      <alignment horizontal="right"/>
      <protection hidden="1"/>
    </xf>
    <xf numFmtId="0" fontId="48" fillId="5" borderId="87" xfId="0" applyFont="1" applyFill="1" applyBorder="1" applyAlignment="1" applyProtection="1">
      <alignment horizontal="center" vertical="center"/>
      <protection hidden="1"/>
    </xf>
    <xf numFmtId="1" fontId="7" fillId="5" borderId="92" xfId="0" applyNumberFormat="1" applyFont="1" applyFill="1" applyBorder="1" applyAlignment="1" applyProtection="1">
      <alignment vertical="center"/>
      <protection hidden="1"/>
    </xf>
    <xf numFmtId="0" fontId="7" fillId="5" borderId="28" xfId="0" applyFont="1" applyFill="1" applyBorder="1" applyAlignment="1" applyProtection="1">
      <alignment vertical="center"/>
      <protection hidden="1"/>
    </xf>
    <xf numFmtId="0" fontId="7" fillId="5" borderId="93" xfId="0" applyFont="1" applyFill="1" applyBorder="1" applyAlignment="1" applyProtection="1">
      <alignment vertical="center"/>
      <protection hidden="1"/>
    </xf>
    <xf numFmtId="0" fontId="7" fillId="5" borderId="48" xfId="0" applyFont="1" applyFill="1" applyBorder="1" applyAlignment="1" applyProtection="1">
      <alignment vertical="center"/>
      <protection hidden="1"/>
    </xf>
    <xf numFmtId="0" fontId="7" fillId="5" borderId="49" xfId="0" applyFont="1" applyFill="1" applyBorder="1" applyAlignment="1" applyProtection="1">
      <alignment vertical="center"/>
      <protection hidden="1"/>
    </xf>
    <xf numFmtId="0" fontId="26" fillId="0" borderId="84" xfId="0" applyFont="1" applyBorder="1" applyAlignment="1" applyProtection="1">
      <alignment horizontal="center" vertical="center"/>
      <protection hidden="1"/>
    </xf>
    <xf numFmtId="9" fontId="0" fillId="0" borderId="21" xfId="1" applyFont="1" applyBorder="1" applyProtection="1">
      <protection hidden="1"/>
    </xf>
    <xf numFmtId="0" fontId="26" fillId="0" borderId="46" xfId="0" applyFont="1" applyBorder="1" applyAlignment="1" applyProtection="1">
      <alignment vertical="center" wrapText="1"/>
      <protection hidden="1"/>
    </xf>
    <xf numFmtId="0" fontId="0" fillId="0" borderId="53" xfId="0" applyBorder="1" applyProtection="1">
      <protection hidden="1"/>
    </xf>
    <xf numFmtId="0" fontId="0" fillId="0" borderId="54" xfId="0" applyBorder="1" applyProtection="1">
      <protection hidden="1"/>
    </xf>
    <xf numFmtId="0" fontId="26" fillId="5" borderId="18" xfId="0" applyFont="1" applyFill="1" applyBorder="1" applyAlignment="1" applyProtection="1">
      <alignment horizontal="left" vertical="center" wrapText="1"/>
      <protection hidden="1"/>
    </xf>
    <xf numFmtId="0" fontId="26" fillId="5" borderId="18" xfId="0" applyFont="1" applyFill="1" applyBorder="1" applyAlignment="1" applyProtection="1">
      <alignment horizontal="center" vertical="center"/>
      <protection hidden="1"/>
    </xf>
    <xf numFmtId="0" fontId="0" fillId="5" borderId="91" xfId="0" applyFill="1" applyBorder="1" applyProtection="1">
      <protection hidden="1"/>
    </xf>
    <xf numFmtId="1" fontId="0" fillId="5" borderId="69" xfId="0" applyNumberFormat="1" applyFill="1" applyBorder="1" applyAlignment="1" applyProtection="1">
      <alignment horizontal="right" vertical="center"/>
      <protection hidden="1"/>
    </xf>
    <xf numFmtId="1" fontId="0" fillId="5" borderId="48" xfId="0" applyNumberFormat="1" applyFill="1" applyBorder="1" applyAlignment="1" applyProtection="1">
      <alignment vertical="center"/>
      <protection hidden="1"/>
    </xf>
    <xf numFmtId="1" fontId="0" fillId="5" borderId="49" xfId="0" applyNumberFormat="1" applyFill="1" applyBorder="1" applyAlignment="1" applyProtection="1">
      <alignment horizontal="right" vertical="center"/>
      <protection hidden="1"/>
    </xf>
    <xf numFmtId="1" fontId="0" fillId="5" borderId="59" xfId="0" applyNumberFormat="1" applyFill="1" applyBorder="1" applyAlignment="1" applyProtection="1">
      <alignment horizontal="right" vertical="center"/>
      <protection hidden="1"/>
    </xf>
    <xf numFmtId="1" fontId="0" fillId="5" borderId="48" xfId="0" applyNumberFormat="1" applyFill="1" applyBorder="1" applyAlignment="1" applyProtection="1">
      <alignment horizontal="right" vertical="center"/>
      <protection hidden="1"/>
    </xf>
    <xf numFmtId="0" fontId="0" fillId="5" borderId="58" xfId="0" applyFill="1" applyBorder="1" applyAlignment="1" applyProtection="1">
      <alignment vertical="center"/>
      <protection hidden="1"/>
    </xf>
    <xf numFmtId="1" fontId="0" fillId="5" borderId="49" xfId="0" applyNumberFormat="1" applyFill="1" applyBorder="1" applyAlignment="1" applyProtection="1">
      <alignment horizontal="center" vertical="center"/>
      <protection hidden="1"/>
    </xf>
    <xf numFmtId="165" fontId="0" fillId="0" borderId="28" xfId="0" applyNumberFormat="1" applyBorder="1" applyAlignment="1" applyProtection="1">
      <alignment vertical="center"/>
      <protection hidden="1"/>
    </xf>
    <xf numFmtId="0" fontId="0" fillId="0" borderId="50" xfId="0" applyBorder="1" applyProtection="1">
      <protection hidden="1"/>
    </xf>
    <xf numFmtId="165" fontId="0" fillId="0" borderId="51" xfId="0" applyNumberFormat="1" applyBorder="1" applyAlignment="1" applyProtection="1">
      <alignment vertical="center"/>
      <protection hidden="1"/>
    </xf>
    <xf numFmtId="165" fontId="0" fillId="0" borderId="8" xfId="0" applyNumberFormat="1" applyBorder="1" applyAlignment="1" applyProtection="1">
      <alignment vertical="center"/>
      <protection hidden="1"/>
    </xf>
    <xf numFmtId="0" fontId="0" fillId="0" borderId="7" xfId="0" applyBorder="1" applyAlignment="1" applyProtection="1">
      <alignment vertical="center"/>
      <protection hidden="1"/>
    </xf>
    <xf numFmtId="0" fontId="0" fillId="0" borderId="50" xfId="0" applyBorder="1" applyAlignment="1" applyProtection="1">
      <alignment vertical="center"/>
      <protection hidden="1"/>
    </xf>
    <xf numFmtId="165" fontId="0" fillId="0" borderId="51" xfId="0" applyNumberFormat="1" applyBorder="1" applyAlignment="1" applyProtection="1">
      <alignment horizontal="right" vertical="center"/>
      <protection hidden="1"/>
    </xf>
    <xf numFmtId="0" fontId="0" fillId="0" borderId="70" xfId="0" applyBorder="1" applyProtection="1">
      <protection hidden="1"/>
    </xf>
    <xf numFmtId="165" fontId="0" fillId="0" borderId="71" xfId="0" applyNumberFormat="1" applyBorder="1" applyAlignment="1" applyProtection="1">
      <alignment horizontal="right"/>
      <protection hidden="1"/>
    </xf>
    <xf numFmtId="0" fontId="0" fillId="0" borderId="52" xfId="0" applyBorder="1" applyProtection="1">
      <protection hidden="1"/>
    </xf>
    <xf numFmtId="165" fontId="0" fillId="0" borderId="53" xfId="0" applyNumberFormat="1" applyBorder="1" applyAlignment="1" applyProtection="1">
      <alignment horizontal="right"/>
      <protection hidden="1"/>
    </xf>
    <xf numFmtId="165" fontId="0" fillId="0" borderId="54" xfId="0" applyNumberFormat="1" applyBorder="1" applyAlignment="1" applyProtection="1">
      <alignment horizontal="right"/>
      <protection hidden="1"/>
    </xf>
    <xf numFmtId="165" fontId="0" fillId="0" borderId="61" xfId="0" applyNumberFormat="1" applyBorder="1" applyAlignment="1" applyProtection="1">
      <alignment horizontal="right"/>
      <protection hidden="1"/>
    </xf>
    <xf numFmtId="165" fontId="0" fillId="0" borderId="72" xfId="0" applyNumberFormat="1" applyBorder="1" applyAlignment="1" applyProtection="1">
      <alignment horizontal="right"/>
      <protection hidden="1"/>
    </xf>
    <xf numFmtId="0" fontId="0" fillId="0" borderId="60" xfId="0" applyBorder="1" applyAlignment="1" applyProtection="1">
      <alignment vertical="center"/>
      <protection hidden="1"/>
    </xf>
    <xf numFmtId="165" fontId="0" fillId="0" borderId="53" xfId="0" applyNumberFormat="1" applyBorder="1" applyAlignment="1" applyProtection="1">
      <alignment horizontal="right" vertical="center"/>
      <protection hidden="1"/>
    </xf>
    <xf numFmtId="165" fontId="0" fillId="0" borderId="54" xfId="0" applyNumberFormat="1" applyBorder="1" applyAlignment="1" applyProtection="1">
      <alignment horizontal="right" vertical="center"/>
      <protection hidden="1"/>
    </xf>
    <xf numFmtId="0" fontId="0" fillId="0" borderId="52" xfId="0" applyBorder="1" applyAlignment="1" applyProtection="1">
      <alignment vertical="center"/>
      <protection hidden="1"/>
    </xf>
    <xf numFmtId="0" fontId="48" fillId="5" borderId="87" xfId="0" applyFont="1" applyFill="1" applyBorder="1" applyAlignment="1" applyProtection="1">
      <alignment horizontal="left" vertical="center" wrapText="1"/>
      <protection hidden="1"/>
    </xf>
    <xf numFmtId="1" fontId="7" fillId="5" borderId="88" xfId="0" applyNumberFormat="1" applyFont="1" applyFill="1" applyBorder="1" applyAlignment="1" applyProtection="1">
      <alignment vertical="center"/>
      <protection hidden="1"/>
    </xf>
    <xf numFmtId="0" fontId="26" fillId="5" borderId="76" xfId="0" applyFont="1" applyFill="1" applyBorder="1" applyAlignment="1" applyProtection="1">
      <alignment horizontal="center" vertical="center"/>
      <protection hidden="1"/>
    </xf>
    <xf numFmtId="1" fontId="0" fillId="5" borderId="49" xfId="0" applyNumberFormat="1" applyFill="1" applyBorder="1" applyAlignment="1" applyProtection="1">
      <alignment vertical="center"/>
      <protection hidden="1"/>
    </xf>
    <xf numFmtId="0" fontId="26" fillId="0" borderId="84" xfId="0" applyFont="1" applyBorder="1" applyAlignment="1" applyProtection="1">
      <alignment horizontal="left" vertical="center" indent="1"/>
      <protection hidden="1"/>
    </xf>
    <xf numFmtId="1" fontId="0" fillId="0" borderId="70" xfId="0" applyNumberFormat="1" applyFill="1" applyBorder="1" applyAlignment="1" applyProtection="1">
      <alignment vertical="center"/>
      <protection hidden="1"/>
    </xf>
    <xf numFmtId="1" fontId="0" fillId="0" borderId="89" xfId="0" applyNumberFormat="1" applyBorder="1" applyAlignment="1" applyProtection="1">
      <alignment vertical="center"/>
      <protection hidden="1"/>
    </xf>
    <xf numFmtId="1" fontId="0" fillId="0" borderId="21" xfId="0" applyNumberFormat="1" applyBorder="1" applyAlignment="1" applyProtection="1">
      <alignment vertical="center"/>
      <protection hidden="1"/>
    </xf>
    <xf numFmtId="0" fontId="26" fillId="0" borderId="77" xfId="0" applyFont="1" applyBorder="1" applyAlignment="1" applyProtection="1">
      <alignment horizontal="center" vertical="center"/>
      <protection hidden="1"/>
    </xf>
    <xf numFmtId="1" fontId="0" fillId="0" borderId="52" xfId="0" applyNumberFormat="1" applyBorder="1" applyAlignment="1" applyProtection="1">
      <alignment vertical="center"/>
      <protection hidden="1"/>
    </xf>
    <xf numFmtId="1" fontId="0" fillId="0" borderId="53" xfId="0" applyNumberFormat="1" applyBorder="1" applyAlignment="1" applyProtection="1">
      <alignment vertical="center"/>
      <protection hidden="1"/>
    </xf>
    <xf numFmtId="1" fontId="0" fillId="0" borderId="54" xfId="0" applyNumberFormat="1" applyBorder="1" applyAlignment="1" applyProtection="1">
      <alignment vertical="center"/>
      <protection hidden="1"/>
    </xf>
    <xf numFmtId="1" fontId="0" fillId="0" borderId="52" xfId="0" applyNumberFormat="1" applyBorder="1" applyProtection="1">
      <protection hidden="1"/>
    </xf>
    <xf numFmtId="0" fontId="48" fillId="5" borderId="52" xfId="0" applyFont="1" applyFill="1" applyBorder="1" applyAlignment="1" applyProtection="1">
      <alignment horizontal="center" vertical="center" wrapText="1"/>
      <protection hidden="1"/>
    </xf>
    <xf numFmtId="49" fontId="48" fillId="5" borderId="53" xfId="0" applyNumberFormat="1" applyFont="1" applyFill="1" applyBorder="1" applyAlignment="1" applyProtection="1">
      <alignment horizontal="center" vertical="center" wrapText="1"/>
      <protection hidden="1"/>
    </xf>
    <xf numFmtId="0" fontId="48" fillId="5" borderId="54" xfId="0" applyFont="1" applyFill="1" applyBorder="1" applyAlignment="1" applyProtection="1">
      <alignment horizontal="center" vertical="center" wrapText="1"/>
      <protection hidden="1"/>
    </xf>
    <xf numFmtId="0" fontId="48" fillId="5" borderId="60" xfId="0" applyFont="1" applyFill="1" applyBorder="1" applyAlignment="1" applyProtection="1">
      <alignment horizontal="center" vertical="center" wrapText="1"/>
      <protection hidden="1"/>
    </xf>
    <xf numFmtId="0" fontId="48" fillId="5" borderId="61" xfId="0" applyFont="1" applyFill="1" applyBorder="1" applyAlignment="1" applyProtection="1">
      <alignment horizontal="center" vertical="center" wrapText="1"/>
      <protection hidden="1"/>
    </xf>
    <xf numFmtId="0" fontId="48" fillId="29" borderId="18" xfId="0" applyFont="1" applyFill="1" applyBorder="1" applyAlignment="1" applyProtection="1">
      <alignment vertical="center" wrapText="1"/>
      <protection hidden="1"/>
    </xf>
    <xf numFmtId="0" fontId="48" fillId="29" borderId="18" xfId="0" applyFont="1" applyFill="1" applyBorder="1" applyAlignment="1" applyProtection="1">
      <alignment horizontal="center" vertical="center"/>
      <protection hidden="1"/>
    </xf>
    <xf numFmtId="1" fontId="7" fillId="29" borderId="86" xfId="0" applyNumberFormat="1" applyFont="1" applyFill="1" applyBorder="1" applyAlignment="1" applyProtection="1">
      <alignment horizontal="right" vertical="center"/>
      <protection hidden="1"/>
    </xf>
    <xf numFmtId="1" fontId="9" fillId="20" borderId="0" xfId="1" applyNumberFormat="1" applyFont="1" applyFill="1" applyAlignment="1" applyProtection="1">
      <alignment horizontal="center" vertical="center"/>
      <protection hidden="1"/>
    </xf>
    <xf numFmtId="1" fontId="7" fillId="5" borderId="48" xfId="0" applyNumberFormat="1" applyFont="1" applyFill="1" applyBorder="1" applyAlignment="1" applyProtection="1">
      <alignment horizontal="right" vertical="center"/>
      <protection hidden="1"/>
    </xf>
    <xf numFmtId="1" fontId="7" fillId="5" borderId="49" xfId="0" applyNumberFormat="1" applyFont="1" applyFill="1" applyBorder="1" applyAlignment="1" applyProtection="1">
      <alignment horizontal="right" vertical="center"/>
      <protection hidden="1"/>
    </xf>
    <xf numFmtId="1" fontId="7" fillId="5" borderId="48" xfId="0" applyNumberFormat="1" applyFont="1" applyFill="1" applyBorder="1" applyAlignment="1" applyProtection="1">
      <alignment horizontal="center" vertical="center"/>
      <protection hidden="1"/>
    </xf>
    <xf numFmtId="1" fontId="7" fillId="5" borderId="49" xfId="0" applyNumberFormat="1" applyFont="1" applyFill="1" applyBorder="1" applyAlignment="1" applyProtection="1">
      <alignment horizontal="center" vertical="center"/>
      <protection hidden="1"/>
    </xf>
    <xf numFmtId="165" fontId="0" fillId="20" borderId="0" xfId="0" applyNumberFormat="1" applyFill="1" applyAlignment="1" applyProtection="1">
      <alignment vertical="center"/>
      <protection hidden="1"/>
    </xf>
    <xf numFmtId="1" fontId="0" fillId="0" borderId="91" xfId="0" applyNumberFormat="1" applyBorder="1" applyProtection="1">
      <protection hidden="1"/>
    </xf>
    <xf numFmtId="1" fontId="0" fillId="0" borderId="69" xfId="0" applyNumberFormat="1" applyBorder="1" applyAlignment="1" applyProtection="1">
      <alignment horizontal="right"/>
      <protection hidden="1"/>
    </xf>
    <xf numFmtId="1" fontId="9" fillId="20" borderId="0" xfId="0" applyNumberFormat="1" applyFont="1" applyFill="1" applyAlignment="1" applyProtection="1">
      <alignment horizontal="center"/>
      <protection hidden="1"/>
    </xf>
    <xf numFmtId="1" fontId="0" fillId="0" borderId="50" xfId="0" applyNumberFormat="1" applyFill="1" applyBorder="1" applyProtection="1">
      <protection hidden="1"/>
    </xf>
    <xf numFmtId="0" fontId="0" fillId="0" borderId="4" xfId="0" applyFill="1" applyBorder="1" applyAlignment="1" applyProtection="1">
      <alignment vertical="center"/>
      <protection hidden="1"/>
    </xf>
    <xf numFmtId="165" fontId="0" fillId="0" borderId="4" xfId="0" applyNumberFormat="1" applyFill="1" applyBorder="1" applyProtection="1">
      <protection hidden="1"/>
    </xf>
    <xf numFmtId="165" fontId="0" fillId="0" borderId="28" xfId="0" applyNumberFormat="1" applyBorder="1" applyProtection="1">
      <protection hidden="1"/>
    </xf>
    <xf numFmtId="165" fontId="75" fillId="20" borderId="0" xfId="0" applyNumberFormat="1" applyFont="1" applyFill="1" applyAlignment="1" applyProtection="1">
      <alignment horizontal="center"/>
      <protection hidden="1"/>
    </xf>
    <xf numFmtId="0" fontId="0" fillId="0" borderId="64" xfId="0" applyFill="1" applyBorder="1" applyAlignment="1" applyProtection="1">
      <alignment horizontal="right"/>
      <protection hidden="1"/>
    </xf>
    <xf numFmtId="0" fontId="0" fillId="0" borderId="54" xfId="0" applyFill="1" applyBorder="1" applyProtection="1">
      <protection hidden="1"/>
    </xf>
    <xf numFmtId="0" fontId="0" fillId="0" borderId="64" xfId="0" applyFill="1" applyBorder="1" applyProtection="1">
      <protection hidden="1"/>
    </xf>
    <xf numFmtId="0" fontId="0" fillId="0" borderId="61" xfId="0" applyFill="1" applyBorder="1" applyProtection="1">
      <protection hidden="1"/>
    </xf>
    <xf numFmtId="1" fontId="75" fillId="20" borderId="0" xfId="0" applyNumberFormat="1" applyFont="1" applyFill="1" applyProtection="1">
      <protection hidden="1"/>
    </xf>
    <xf numFmtId="0" fontId="48" fillId="29" borderId="18" xfId="0" applyFont="1" applyFill="1" applyBorder="1" applyAlignment="1" applyProtection="1">
      <alignment horizontal="left" vertical="center" wrapText="1"/>
      <protection hidden="1"/>
    </xf>
    <xf numFmtId="165" fontId="7" fillId="29" borderId="68" xfId="0" applyNumberFormat="1" applyFont="1" applyFill="1" applyBorder="1" applyAlignment="1" applyProtection="1">
      <alignment vertical="center"/>
      <protection hidden="1"/>
    </xf>
    <xf numFmtId="165" fontId="9" fillId="20" borderId="0" xfId="0" applyNumberFormat="1" applyFont="1" applyFill="1" applyAlignment="1" applyProtection="1">
      <alignment horizontal="center" vertical="center"/>
      <protection hidden="1"/>
    </xf>
    <xf numFmtId="0" fontId="48" fillId="5" borderId="65" xfId="0" applyFont="1" applyFill="1" applyBorder="1" applyAlignment="1" applyProtection="1">
      <alignment horizontal="center" vertical="center"/>
      <protection hidden="1"/>
    </xf>
    <xf numFmtId="0" fontId="0" fillId="20" borderId="0" xfId="0" applyFill="1" applyAlignment="1" applyProtection="1">
      <alignment vertical="center"/>
      <protection hidden="1"/>
    </xf>
    <xf numFmtId="1" fontId="0" fillId="0" borderId="93" xfId="0" applyNumberFormat="1" applyBorder="1" applyAlignment="1" applyProtection="1">
      <alignment horizontal="right"/>
      <protection hidden="1"/>
    </xf>
    <xf numFmtId="165" fontId="0" fillId="20" borderId="0" xfId="0" applyNumberFormat="1" applyFill="1" applyAlignment="1" applyProtection="1">
      <alignment horizontal="center"/>
      <protection hidden="1"/>
    </xf>
    <xf numFmtId="0" fontId="26" fillId="0" borderId="73" xfId="0" applyFont="1" applyFill="1" applyBorder="1" applyAlignment="1" applyProtection="1">
      <alignment horizontal="center" vertical="center"/>
      <protection hidden="1"/>
    </xf>
    <xf numFmtId="1" fontId="0" fillId="0" borderId="50" xfId="0" applyNumberFormat="1" applyFont="1" applyBorder="1" applyAlignment="1" applyProtection="1">
      <alignment vertical="center"/>
      <protection hidden="1"/>
    </xf>
    <xf numFmtId="1" fontId="0" fillId="0" borderId="4" xfId="0" applyNumberFormat="1" applyFont="1" applyBorder="1" applyAlignment="1" applyProtection="1">
      <alignment horizontal="right"/>
      <protection hidden="1"/>
    </xf>
    <xf numFmtId="1" fontId="0" fillId="0" borderId="51" xfId="0" applyNumberFormat="1" applyFont="1" applyBorder="1" applyAlignment="1" applyProtection="1">
      <alignment horizontal="right"/>
      <protection hidden="1"/>
    </xf>
    <xf numFmtId="1" fontId="0" fillId="0" borderId="56" xfId="0" applyNumberFormat="1" applyFont="1" applyBorder="1" applyAlignment="1" applyProtection="1">
      <alignment vertical="center"/>
      <protection hidden="1"/>
    </xf>
    <xf numFmtId="1" fontId="0" fillId="0" borderId="8" xfId="0" applyNumberFormat="1" applyFont="1" applyBorder="1" applyAlignment="1" applyProtection="1">
      <alignment horizontal="right"/>
      <protection hidden="1"/>
    </xf>
    <xf numFmtId="1" fontId="0" fillId="0" borderId="2" xfId="0" applyNumberFormat="1" applyFont="1" applyBorder="1" applyProtection="1">
      <protection hidden="1"/>
    </xf>
    <xf numFmtId="1" fontId="31" fillId="0" borderId="56" xfId="0" applyNumberFormat="1" applyFont="1" applyBorder="1" applyAlignment="1" applyProtection="1">
      <alignment vertical="center"/>
      <protection hidden="1"/>
    </xf>
    <xf numFmtId="1" fontId="0" fillId="0" borderId="79" xfId="0" applyNumberFormat="1" applyFont="1" applyBorder="1" applyAlignment="1" applyProtection="1">
      <alignment horizontal="right"/>
      <protection hidden="1"/>
    </xf>
    <xf numFmtId="1" fontId="31" fillId="0" borderId="5" xfId="0" applyNumberFormat="1" applyFont="1" applyBorder="1" applyAlignment="1" applyProtection="1">
      <alignment vertical="center"/>
      <protection hidden="1"/>
    </xf>
    <xf numFmtId="1" fontId="0" fillId="0" borderId="5" xfId="0" applyNumberFormat="1" applyFont="1" applyBorder="1" applyAlignment="1" applyProtection="1">
      <alignment vertical="center"/>
      <protection hidden="1"/>
    </xf>
    <xf numFmtId="0" fontId="0" fillId="0" borderId="84" xfId="0" applyBorder="1" applyProtection="1">
      <protection hidden="1"/>
    </xf>
    <xf numFmtId="0" fontId="0" fillId="0" borderId="71" xfId="0" applyBorder="1" applyProtection="1">
      <protection hidden="1"/>
    </xf>
    <xf numFmtId="0" fontId="26" fillId="0" borderId="74" xfId="0" applyFont="1" applyFill="1" applyBorder="1" applyAlignment="1" applyProtection="1">
      <alignment horizontal="center" vertical="center"/>
      <protection hidden="1"/>
    </xf>
    <xf numFmtId="0" fontId="0" fillId="0" borderId="71" xfId="0" applyFill="1" applyBorder="1" applyProtection="1">
      <protection hidden="1"/>
    </xf>
    <xf numFmtId="0" fontId="0" fillId="0" borderId="72" xfId="0" applyFill="1" applyBorder="1" applyAlignment="1" applyProtection="1">
      <alignment horizontal="right"/>
      <protection hidden="1"/>
    </xf>
    <xf numFmtId="0" fontId="0" fillId="0" borderId="54" xfId="0" applyFill="1" applyBorder="1" applyAlignment="1" applyProtection="1">
      <alignment horizontal="right"/>
      <protection hidden="1"/>
    </xf>
    <xf numFmtId="0" fontId="0" fillId="0" borderId="10" xfId="0" applyFill="1" applyBorder="1" applyProtection="1">
      <protection hidden="1"/>
    </xf>
    <xf numFmtId="0" fontId="0" fillId="0" borderId="9" xfId="0" applyFill="1" applyBorder="1" applyProtection="1">
      <protection hidden="1"/>
    </xf>
    <xf numFmtId="0" fontId="0" fillId="0" borderId="77" xfId="0" applyFill="1" applyBorder="1" applyProtection="1">
      <protection hidden="1"/>
    </xf>
    <xf numFmtId="0" fontId="0" fillId="0" borderId="53" xfId="0" applyFill="1" applyBorder="1" applyAlignment="1" applyProtection="1">
      <alignment vertical="center"/>
      <protection hidden="1"/>
    </xf>
    <xf numFmtId="0" fontId="0" fillId="0" borderId="54" xfId="0" applyFill="1" applyBorder="1" applyAlignment="1" applyProtection="1">
      <alignment vertical="center"/>
      <protection hidden="1"/>
    </xf>
    <xf numFmtId="0" fontId="0" fillId="0" borderId="63" xfId="0" applyFill="1" applyBorder="1" applyAlignment="1" applyProtection="1">
      <alignment vertical="center"/>
      <protection hidden="1"/>
    </xf>
    <xf numFmtId="0" fontId="0" fillId="0" borderId="11" xfId="0" applyFill="1" applyBorder="1" applyAlignment="1" applyProtection="1">
      <alignment vertical="center"/>
      <protection hidden="1"/>
    </xf>
    <xf numFmtId="0" fontId="0" fillId="0" borderId="64" xfId="0" applyFill="1" applyBorder="1" applyAlignment="1" applyProtection="1">
      <alignment vertical="center"/>
      <protection hidden="1"/>
    </xf>
    <xf numFmtId="0" fontId="0" fillId="0" borderId="60" xfId="0" applyFill="1" applyBorder="1" applyAlignment="1" applyProtection="1">
      <alignment vertical="center"/>
      <protection hidden="1"/>
    </xf>
    <xf numFmtId="0" fontId="0" fillId="0" borderId="61" xfId="0" applyFill="1" applyBorder="1" applyAlignment="1" applyProtection="1">
      <alignment vertical="center"/>
      <protection hidden="1"/>
    </xf>
    <xf numFmtId="0" fontId="75" fillId="20" borderId="0" xfId="0" applyFont="1" applyFill="1" applyProtection="1">
      <protection hidden="1"/>
    </xf>
    <xf numFmtId="165" fontId="0" fillId="29" borderId="68" xfId="0" applyNumberFormat="1" applyFill="1" applyBorder="1" applyAlignment="1" applyProtection="1">
      <alignment vertical="center"/>
      <protection hidden="1"/>
    </xf>
    <xf numFmtId="165" fontId="0" fillId="29" borderId="78" xfId="0" applyNumberFormat="1" applyFill="1" applyBorder="1" applyAlignment="1" applyProtection="1">
      <alignment horizontal="right" vertical="center"/>
      <protection hidden="1"/>
    </xf>
    <xf numFmtId="165" fontId="0" fillId="5" borderId="49" xfId="0" applyNumberFormat="1" applyFill="1" applyBorder="1" applyAlignment="1" applyProtection="1">
      <alignment horizontal="right" vertical="center"/>
      <protection hidden="1"/>
    </xf>
    <xf numFmtId="165" fontId="0" fillId="5" borderId="66" xfId="0" applyNumberFormat="1" applyFill="1" applyBorder="1" applyAlignment="1" applyProtection="1">
      <alignment horizontal="right" vertical="center"/>
      <protection hidden="1"/>
    </xf>
    <xf numFmtId="165" fontId="0" fillId="5" borderId="59" xfId="0" applyNumberFormat="1" applyFill="1" applyBorder="1" applyAlignment="1" applyProtection="1">
      <alignment horizontal="right" vertical="center"/>
      <protection hidden="1"/>
    </xf>
    <xf numFmtId="165" fontId="0" fillId="5" borderId="48" xfId="0" applyNumberFormat="1" applyFont="1" applyFill="1" applyBorder="1" applyAlignment="1" applyProtection="1">
      <alignment horizontal="right" vertical="center"/>
      <protection hidden="1"/>
    </xf>
    <xf numFmtId="165" fontId="0" fillId="5" borderId="67" xfId="0" applyNumberFormat="1" applyFont="1" applyFill="1" applyBorder="1" applyAlignment="1" applyProtection="1">
      <alignment horizontal="right" vertical="center"/>
      <protection hidden="1"/>
    </xf>
    <xf numFmtId="1" fontId="0" fillId="0" borderId="5" xfId="0" applyNumberFormat="1" applyFont="1" applyBorder="1" applyAlignment="1" applyProtection="1">
      <alignment horizontal="right"/>
      <protection hidden="1"/>
    </xf>
    <xf numFmtId="1" fontId="0" fillId="0" borderId="51" xfId="0" applyNumberFormat="1" applyFont="1" applyBorder="1" applyAlignment="1" applyProtection="1">
      <alignment horizontal="right" vertical="center"/>
      <protection hidden="1"/>
    </xf>
    <xf numFmtId="0" fontId="0" fillId="0" borderId="61" xfId="0" applyFill="1" applyBorder="1" applyAlignment="1" applyProtection="1">
      <alignment horizontal="right"/>
      <protection hidden="1"/>
    </xf>
    <xf numFmtId="0" fontId="12" fillId="20" borderId="0" xfId="0" applyFont="1" applyFill="1" applyProtection="1">
      <protection hidden="1"/>
    </xf>
    <xf numFmtId="165" fontId="0" fillId="0" borderId="4" xfId="0" applyNumberFormat="1" applyFont="1" applyFill="1" applyBorder="1" applyAlignment="1" applyProtection="1">
      <alignment horizontal="right" vertical="center"/>
      <protection hidden="1"/>
    </xf>
    <xf numFmtId="165" fontId="0" fillId="0" borderId="51" xfId="0" applyNumberFormat="1" applyFont="1" applyFill="1" applyBorder="1" applyAlignment="1" applyProtection="1">
      <alignment horizontal="right" vertical="center"/>
      <protection hidden="1"/>
    </xf>
    <xf numFmtId="0" fontId="0" fillId="0" borderId="72" xfId="0" applyFill="1" applyBorder="1" applyProtection="1">
      <protection hidden="1"/>
    </xf>
    <xf numFmtId="165" fontId="7" fillId="5" borderId="48" xfId="0" applyNumberFormat="1" applyFont="1" applyFill="1" applyBorder="1" applyAlignment="1" applyProtection="1">
      <alignment horizontal="right" vertical="center"/>
      <protection hidden="1"/>
    </xf>
    <xf numFmtId="165" fontId="7" fillId="5" borderId="67" xfId="0" applyNumberFormat="1" applyFont="1" applyFill="1" applyBorder="1" applyAlignment="1" applyProtection="1">
      <alignment horizontal="right" vertical="center"/>
      <protection hidden="1"/>
    </xf>
    <xf numFmtId="2" fontId="75" fillId="20" borderId="0" xfId="0" applyNumberFormat="1" applyFont="1" applyFill="1" applyAlignment="1" applyProtection="1">
      <alignment vertical="center"/>
      <protection hidden="1"/>
    </xf>
    <xf numFmtId="1" fontId="0" fillId="0" borderId="56" xfId="0" applyNumberFormat="1" applyFont="1" applyBorder="1" applyProtection="1">
      <protection hidden="1"/>
    </xf>
    <xf numFmtId="1" fontId="0" fillId="0" borderId="57" xfId="0" applyNumberFormat="1" applyFont="1" applyBorder="1" applyAlignment="1" applyProtection="1">
      <alignment horizontal="right"/>
      <protection hidden="1"/>
    </xf>
    <xf numFmtId="165" fontId="0" fillId="0" borderId="4" xfId="0" applyNumberFormat="1" applyFont="1" applyBorder="1" applyAlignment="1" applyProtection="1">
      <alignment horizontal="right"/>
      <protection hidden="1"/>
    </xf>
    <xf numFmtId="165" fontId="0" fillId="0" borderId="79" xfId="0" applyNumberFormat="1" applyFont="1" applyBorder="1" applyAlignment="1" applyProtection="1">
      <alignment horizontal="right"/>
      <protection hidden="1"/>
    </xf>
    <xf numFmtId="0" fontId="0" fillId="0" borderId="81" xfId="0" applyFill="1" applyBorder="1" applyAlignment="1" applyProtection="1">
      <alignment vertical="center"/>
      <protection hidden="1"/>
    </xf>
    <xf numFmtId="1" fontId="0" fillId="0" borderId="5" xfId="0" applyNumberFormat="1" applyFont="1" applyBorder="1" applyProtection="1">
      <protection hidden="1"/>
    </xf>
    <xf numFmtId="1" fontId="0" fillId="0" borderId="84" xfId="0" applyNumberFormat="1" applyBorder="1" applyProtection="1">
      <protection hidden="1"/>
    </xf>
    <xf numFmtId="0" fontId="26" fillId="0" borderId="62" xfId="0" applyFont="1" applyFill="1" applyBorder="1" applyAlignment="1" applyProtection="1">
      <alignment horizontal="left" vertical="center" indent="1"/>
      <protection hidden="1"/>
    </xf>
    <xf numFmtId="0" fontId="0" fillId="0" borderId="92" xfId="0" applyBorder="1" applyProtection="1">
      <protection hidden="1"/>
    </xf>
    <xf numFmtId="1" fontId="0" fillId="0" borderId="69" xfId="0" applyNumberFormat="1" applyBorder="1" applyProtection="1">
      <protection hidden="1"/>
    </xf>
    <xf numFmtId="1" fontId="30" fillId="0" borderId="5" xfId="0" applyNumberFormat="1" applyFont="1" applyBorder="1" applyProtection="1">
      <protection hidden="1"/>
    </xf>
    <xf numFmtId="165" fontId="0" fillId="0" borderId="72" xfId="0" applyNumberFormat="1" applyBorder="1" applyProtection="1">
      <protection hidden="1"/>
    </xf>
    <xf numFmtId="0" fontId="48" fillId="5" borderId="55" xfId="0" applyFont="1" applyFill="1" applyBorder="1" applyAlignment="1" applyProtection="1">
      <alignment horizontal="left" vertical="center" wrapText="1"/>
      <protection hidden="1"/>
    </xf>
    <xf numFmtId="0" fontId="48" fillId="5" borderId="55" xfId="0" applyFont="1" applyFill="1" applyBorder="1" applyAlignment="1" applyProtection="1">
      <alignment horizontal="center" vertical="center"/>
      <protection hidden="1"/>
    </xf>
    <xf numFmtId="165" fontId="7" fillId="5" borderId="56" xfId="0" applyNumberFormat="1" applyFont="1" applyFill="1" applyBorder="1" applyAlignment="1" applyProtection="1">
      <alignment vertical="center"/>
      <protection hidden="1"/>
    </xf>
    <xf numFmtId="0" fontId="0" fillId="5" borderId="2" xfId="0" applyFill="1" applyBorder="1" applyAlignment="1" applyProtection="1">
      <alignment vertical="center"/>
      <protection hidden="1"/>
    </xf>
    <xf numFmtId="0" fontId="0" fillId="5" borderId="56" xfId="0" applyFill="1" applyBorder="1" applyAlignment="1" applyProtection="1">
      <alignment vertical="center"/>
      <protection hidden="1"/>
    </xf>
    <xf numFmtId="2" fontId="7" fillId="5" borderId="56" xfId="0" applyNumberFormat="1" applyFont="1" applyFill="1" applyBorder="1" applyAlignment="1" applyProtection="1">
      <alignment vertical="center"/>
      <protection hidden="1"/>
    </xf>
    <xf numFmtId="1" fontId="0" fillId="0" borderId="2" xfId="0" applyNumberFormat="1" applyFont="1" applyBorder="1" applyAlignment="1" applyProtection="1">
      <alignment vertical="center"/>
      <protection hidden="1"/>
    </xf>
    <xf numFmtId="1" fontId="41" fillId="0" borderId="5" xfId="0" applyNumberFormat="1" applyFont="1" applyBorder="1" applyProtection="1">
      <protection hidden="1"/>
    </xf>
    <xf numFmtId="1" fontId="31" fillId="0" borderId="2" xfId="0" applyNumberFormat="1" applyFont="1" applyBorder="1" applyProtection="1">
      <protection hidden="1"/>
    </xf>
    <xf numFmtId="165" fontId="0" fillId="5" borderId="56" xfId="0" applyNumberFormat="1" applyFill="1" applyBorder="1" applyAlignment="1" applyProtection="1">
      <alignment horizontal="right" vertical="center"/>
      <protection hidden="1"/>
    </xf>
    <xf numFmtId="0" fontId="0" fillId="5" borderId="56" xfId="0" applyFill="1" applyBorder="1" applyAlignment="1" applyProtection="1">
      <alignment horizontal="right" vertical="center"/>
      <protection hidden="1"/>
    </xf>
    <xf numFmtId="165" fontId="7" fillId="5" borderId="65" xfId="0" applyNumberFormat="1" applyFont="1" applyFill="1" applyBorder="1" applyAlignment="1" applyProtection="1">
      <alignment vertical="center"/>
      <protection hidden="1"/>
    </xf>
    <xf numFmtId="1" fontId="31" fillId="0" borderId="69" xfId="0" applyNumberFormat="1" applyFont="1" applyBorder="1" applyProtection="1">
      <protection hidden="1"/>
    </xf>
    <xf numFmtId="1" fontId="0" fillId="0" borderId="75" xfId="0" applyNumberFormat="1" applyFont="1" applyBorder="1" applyAlignment="1" applyProtection="1">
      <alignment vertical="center"/>
      <protection hidden="1"/>
    </xf>
    <xf numFmtId="1" fontId="0" fillId="0" borderId="4" xfId="0" applyNumberFormat="1" applyFont="1" applyBorder="1" applyAlignment="1" applyProtection="1">
      <alignment vertical="center"/>
      <protection hidden="1"/>
    </xf>
    <xf numFmtId="1" fontId="0" fillId="0" borderId="76" xfId="0" applyNumberFormat="1" applyFont="1" applyBorder="1" applyAlignment="1" applyProtection="1">
      <alignment vertical="center"/>
      <protection hidden="1"/>
    </xf>
    <xf numFmtId="1" fontId="31" fillId="0" borderId="5" xfId="0" applyNumberFormat="1" applyFont="1" applyBorder="1" applyAlignment="1" applyProtection="1">
      <alignment horizontal="right"/>
      <protection hidden="1"/>
    </xf>
    <xf numFmtId="1" fontId="0" fillId="0" borderId="76" xfId="0" applyNumberFormat="1" applyFont="1" applyBorder="1" applyAlignment="1" applyProtection="1">
      <alignment horizontal="right"/>
      <protection hidden="1"/>
    </xf>
    <xf numFmtId="1" fontId="0" fillId="0" borderId="75" xfId="0" applyNumberFormat="1" applyFont="1" applyBorder="1" applyProtection="1">
      <protection hidden="1"/>
    </xf>
    <xf numFmtId="165" fontId="0" fillId="0" borderId="70" xfId="0" applyNumberFormat="1" applyBorder="1" applyProtection="1">
      <protection hidden="1"/>
    </xf>
    <xf numFmtId="165" fontId="0" fillId="0" borderId="71" xfId="0" applyNumberFormat="1" applyBorder="1" applyProtection="1">
      <protection hidden="1"/>
    </xf>
    <xf numFmtId="165" fontId="0" fillId="0" borderId="74" xfId="0" applyNumberFormat="1" applyFill="1" applyBorder="1" applyAlignment="1" applyProtection="1">
      <alignment vertical="center"/>
      <protection hidden="1"/>
    </xf>
    <xf numFmtId="165" fontId="0" fillId="0" borderId="53" xfId="0" applyNumberFormat="1" applyFill="1" applyBorder="1" applyAlignment="1" applyProtection="1">
      <alignment vertical="center"/>
      <protection hidden="1"/>
    </xf>
    <xf numFmtId="165" fontId="0" fillId="0" borderId="77" xfId="0" applyNumberFormat="1" applyFill="1" applyBorder="1" applyAlignment="1" applyProtection="1">
      <alignment vertical="center"/>
      <protection hidden="1"/>
    </xf>
    <xf numFmtId="1" fontId="7" fillId="29" borderId="68" xfId="0" applyNumberFormat="1" applyFont="1" applyFill="1" applyBorder="1" applyAlignment="1" applyProtection="1">
      <alignment vertical="center"/>
      <protection hidden="1"/>
    </xf>
    <xf numFmtId="1" fontId="29" fillId="29" borderId="69" xfId="0" applyNumberFormat="1" applyFont="1" applyFill="1" applyBorder="1" applyAlignment="1" applyProtection="1">
      <alignment vertical="center"/>
      <protection hidden="1"/>
    </xf>
    <xf numFmtId="165" fontId="0" fillId="5" borderId="48" xfId="0" applyNumberFormat="1" applyFill="1" applyBorder="1" applyAlignment="1" applyProtection="1">
      <alignment horizontal="right" vertical="center"/>
      <protection hidden="1"/>
    </xf>
    <xf numFmtId="165" fontId="0" fillId="5" borderId="48" xfId="0" applyNumberFormat="1" applyFill="1" applyBorder="1" applyAlignment="1" applyProtection="1">
      <alignment vertical="center"/>
      <protection hidden="1"/>
    </xf>
    <xf numFmtId="1" fontId="0" fillId="0" borderId="72" xfId="0" applyNumberFormat="1" applyFont="1" applyBorder="1" applyAlignment="1" applyProtection="1">
      <alignment vertical="center"/>
      <protection hidden="1"/>
    </xf>
    <xf numFmtId="1" fontId="0" fillId="0" borderId="28" xfId="0" applyNumberFormat="1" applyFont="1" applyBorder="1" applyAlignment="1" applyProtection="1">
      <alignment vertical="center"/>
      <protection hidden="1"/>
    </xf>
    <xf numFmtId="1" fontId="0" fillId="0" borderId="69" xfId="0" applyNumberFormat="1" applyFont="1" applyBorder="1" applyAlignment="1" applyProtection="1">
      <alignment vertical="center"/>
      <protection hidden="1"/>
    </xf>
    <xf numFmtId="1" fontId="0" fillId="0" borderId="53" xfId="0" applyNumberFormat="1" applyFont="1" applyBorder="1" applyAlignment="1" applyProtection="1">
      <alignment horizontal="right"/>
      <protection hidden="1"/>
    </xf>
    <xf numFmtId="1" fontId="0" fillId="0" borderId="77" xfId="0" applyNumberFormat="1" applyFont="1" applyBorder="1" applyAlignment="1" applyProtection="1">
      <alignment horizontal="right"/>
      <protection hidden="1"/>
    </xf>
    <xf numFmtId="1" fontId="0" fillId="0" borderId="21" xfId="0" applyNumberFormat="1" applyFont="1" applyBorder="1" applyProtection="1">
      <protection hidden="1"/>
    </xf>
    <xf numFmtId="0" fontId="0" fillId="29" borderId="85" xfId="0" applyFill="1" applyBorder="1" applyProtection="1">
      <protection hidden="1"/>
    </xf>
    <xf numFmtId="1" fontId="0" fillId="29" borderId="68" xfId="0" applyNumberFormat="1" applyFill="1" applyBorder="1" applyAlignment="1" applyProtection="1">
      <alignment horizontal="right" vertical="center"/>
      <protection hidden="1"/>
    </xf>
    <xf numFmtId="1" fontId="0" fillId="29" borderId="86" xfId="0" applyNumberFormat="1" applyFill="1" applyBorder="1" applyAlignment="1" applyProtection="1">
      <alignment horizontal="right" vertical="center"/>
      <protection hidden="1"/>
    </xf>
    <xf numFmtId="1" fontId="0" fillId="5" borderId="48" xfId="0" applyNumberFormat="1" applyFill="1" applyBorder="1" applyAlignment="1" applyProtection="1">
      <alignment horizontal="center" vertical="center"/>
      <protection hidden="1"/>
    </xf>
    <xf numFmtId="1" fontId="0" fillId="5" borderId="48" xfId="0" applyNumberFormat="1" applyFill="1" applyBorder="1" applyAlignment="1" applyProtection="1">
      <alignment horizontal="right" vertical="center" indent="2"/>
      <protection hidden="1"/>
    </xf>
    <xf numFmtId="1" fontId="0" fillId="5" borderId="49" xfId="0" applyNumberFormat="1" applyFill="1" applyBorder="1" applyAlignment="1" applyProtection="1">
      <alignment horizontal="right" vertical="center" indent="2"/>
      <protection hidden="1"/>
    </xf>
    <xf numFmtId="1" fontId="0" fillId="5" borderId="5" xfId="0" applyNumberFormat="1" applyFill="1" applyBorder="1" applyAlignment="1" applyProtection="1">
      <alignment horizontal="center" vertical="center"/>
      <protection hidden="1"/>
    </xf>
    <xf numFmtId="1" fontId="0" fillId="5" borderId="57" xfId="0" applyNumberFormat="1" applyFill="1" applyBorder="1" applyAlignment="1" applyProtection="1">
      <alignment horizontal="center" vertical="center"/>
      <protection hidden="1"/>
    </xf>
    <xf numFmtId="165" fontId="0" fillId="0" borderId="51" xfId="0" applyNumberFormat="1" applyFill="1" applyBorder="1" applyAlignment="1" applyProtection="1">
      <alignment horizontal="right" vertical="center"/>
      <protection hidden="1"/>
    </xf>
    <xf numFmtId="165" fontId="0" fillId="0" borderId="4" xfId="0" applyNumberFormat="1" applyFill="1" applyBorder="1" applyAlignment="1" applyProtection="1">
      <alignment horizontal="right" vertical="center"/>
      <protection hidden="1"/>
    </xf>
    <xf numFmtId="1" fontId="0" fillId="0" borderId="4" xfId="0" applyNumberFormat="1" applyFill="1" applyBorder="1" applyAlignment="1" applyProtection="1">
      <alignment horizontal="center" vertical="center"/>
      <protection hidden="1"/>
    </xf>
    <xf numFmtId="165" fontId="0" fillId="0" borderId="51" xfId="0" applyNumberFormat="1" applyFill="1" applyBorder="1" applyAlignment="1" applyProtection="1">
      <alignment horizontal="center" vertical="center"/>
      <protection hidden="1"/>
    </xf>
    <xf numFmtId="1" fontId="0" fillId="0" borderId="4" xfId="0" applyNumberFormat="1" applyFill="1" applyBorder="1" applyAlignment="1" applyProtection="1">
      <alignment horizontal="right" vertical="center" indent="2"/>
      <protection hidden="1"/>
    </xf>
    <xf numFmtId="165" fontId="0" fillId="0" borderId="51" xfId="0" applyNumberFormat="1" applyFill="1" applyBorder="1" applyAlignment="1" applyProtection="1">
      <alignment horizontal="right" vertical="center" indent="2"/>
      <protection hidden="1"/>
    </xf>
    <xf numFmtId="165" fontId="0" fillId="0" borderId="69" xfId="0" applyNumberFormat="1" applyBorder="1" applyAlignment="1" applyProtection="1">
      <alignment horizontal="right" vertical="center"/>
      <protection hidden="1"/>
    </xf>
    <xf numFmtId="165" fontId="0" fillId="0" borderId="54" xfId="0" applyNumberFormat="1" applyFill="1" applyBorder="1" applyAlignment="1" applyProtection="1">
      <alignment horizontal="right" vertical="center"/>
      <protection hidden="1"/>
    </xf>
    <xf numFmtId="165" fontId="0" fillId="0" borderId="53" xfId="0" applyNumberFormat="1" applyFill="1" applyBorder="1" applyAlignment="1" applyProtection="1">
      <alignment horizontal="right" vertical="center"/>
      <protection hidden="1"/>
    </xf>
    <xf numFmtId="1" fontId="0" fillId="0" borderId="53" xfId="0" applyNumberFormat="1" applyFill="1" applyBorder="1" applyAlignment="1" applyProtection="1">
      <alignment horizontal="right" vertical="center" indent="2"/>
      <protection hidden="1"/>
    </xf>
    <xf numFmtId="165" fontId="0" fillId="0" borderId="54" xfId="0" applyNumberFormat="1" applyFill="1" applyBorder="1" applyAlignment="1" applyProtection="1">
      <alignment horizontal="right" vertical="center" indent="2"/>
      <protection hidden="1"/>
    </xf>
    <xf numFmtId="165" fontId="0" fillId="0" borderId="54" xfId="0" applyNumberFormat="1" applyFill="1" applyBorder="1" applyAlignment="1" applyProtection="1">
      <alignment horizontal="center" vertical="center"/>
      <protection hidden="1"/>
    </xf>
    <xf numFmtId="0" fontId="48" fillId="29" borderId="90" xfId="0" applyFont="1" applyFill="1" applyBorder="1" applyAlignment="1" applyProtection="1">
      <alignment horizontal="left" vertical="center" wrapText="1"/>
      <protection hidden="1"/>
    </xf>
    <xf numFmtId="0" fontId="48" fillId="29" borderId="90" xfId="0" applyFont="1" applyFill="1" applyBorder="1" applyAlignment="1" applyProtection="1">
      <alignment horizontal="center" vertical="center"/>
      <protection hidden="1"/>
    </xf>
    <xf numFmtId="165" fontId="7" fillId="29" borderId="87" xfId="0" applyNumberFormat="1" applyFont="1" applyFill="1" applyBorder="1" applyAlignment="1" applyProtection="1">
      <alignment vertical="center"/>
      <protection hidden="1"/>
    </xf>
    <xf numFmtId="165" fontId="7" fillId="29" borderId="78" xfId="0" applyNumberFormat="1" applyFont="1" applyFill="1" applyBorder="1" applyAlignment="1" applyProtection="1">
      <alignment vertical="center"/>
      <protection hidden="1"/>
    </xf>
    <xf numFmtId="0" fontId="0" fillId="5" borderId="5" xfId="0" applyFill="1" applyBorder="1" applyProtection="1">
      <protection hidden="1"/>
    </xf>
    <xf numFmtId="0" fontId="0" fillId="5" borderId="57" xfId="0" applyFill="1" applyBorder="1" applyProtection="1">
      <protection hidden="1"/>
    </xf>
    <xf numFmtId="0" fontId="0" fillId="5" borderId="3" xfId="0" applyFill="1" applyBorder="1" applyProtection="1">
      <protection hidden="1"/>
    </xf>
    <xf numFmtId="0" fontId="0" fillId="5" borderId="48" xfId="0" applyFill="1" applyBorder="1" applyProtection="1">
      <protection hidden="1"/>
    </xf>
    <xf numFmtId="0" fontId="0" fillId="5" borderId="49" xfId="0" applyFill="1" applyBorder="1" applyProtection="1">
      <protection hidden="1"/>
    </xf>
    <xf numFmtId="0" fontId="0" fillId="5" borderId="4" xfId="0" applyFill="1" applyBorder="1" applyProtection="1">
      <protection hidden="1"/>
    </xf>
    <xf numFmtId="0" fontId="0" fillId="5" borderId="51" xfId="0" applyFill="1" applyBorder="1" applyProtection="1">
      <protection hidden="1"/>
    </xf>
    <xf numFmtId="0" fontId="0" fillId="5" borderId="8" xfId="0" applyFill="1" applyBorder="1" applyProtection="1">
      <protection hidden="1"/>
    </xf>
    <xf numFmtId="166" fontId="0" fillId="0" borderId="21" xfId="0" applyNumberFormat="1" applyBorder="1" applyAlignment="1" applyProtection="1">
      <alignment vertical="center"/>
      <protection hidden="1"/>
    </xf>
    <xf numFmtId="0" fontId="0" fillId="0" borderId="8" xfId="0" applyFill="1" applyBorder="1" applyProtection="1">
      <protection hidden="1"/>
    </xf>
    <xf numFmtId="49" fontId="48" fillId="0" borderId="54" xfId="0" applyNumberFormat="1" applyFont="1" applyBorder="1" applyAlignment="1" applyProtection="1">
      <alignment horizontal="center" vertical="center" wrapText="1"/>
      <protection hidden="1"/>
    </xf>
    <xf numFmtId="0" fontId="48" fillId="0" borderId="18" xfId="0" applyFont="1" applyBorder="1" applyAlignment="1" applyProtection="1">
      <alignment vertical="center" wrapText="1"/>
      <protection hidden="1"/>
    </xf>
    <xf numFmtId="0" fontId="48" fillId="0" borderId="18" xfId="0" applyFont="1" applyBorder="1" applyAlignment="1" applyProtection="1">
      <alignment horizontal="center" vertical="center"/>
      <protection hidden="1"/>
    </xf>
    <xf numFmtId="1" fontId="7" fillId="0" borderId="88" xfId="0" applyNumberFormat="1" applyFont="1" applyBorder="1" applyAlignment="1" applyProtection="1">
      <alignment vertical="center"/>
      <protection hidden="1"/>
    </xf>
    <xf numFmtId="1" fontId="7" fillId="0" borderId="86" xfId="0" applyNumberFormat="1" applyFont="1" applyBorder="1" applyAlignment="1" applyProtection="1">
      <alignment horizontal="right" vertical="center"/>
      <protection hidden="1"/>
    </xf>
    <xf numFmtId="0" fontId="48" fillId="0" borderId="44" xfId="0" applyFont="1" applyBorder="1" applyAlignment="1" applyProtection="1">
      <alignment vertical="center" wrapText="1"/>
      <protection hidden="1"/>
    </xf>
    <xf numFmtId="0" fontId="26" fillId="0" borderId="44" xfId="0" applyFont="1" applyBorder="1" applyAlignment="1" applyProtection="1">
      <alignment horizontal="center" vertical="center"/>
      <protection hidden="1"/>
    </xf>
    <xf numFmtId="1" fontId="7" fillId="0" borderId="47" xfId="0" applyNumberFormat="1" applyFont="1" applyBorder="1" applyAlignment="1" applyProtection="1">
      <alignment vertical="center"/>
      <protection hidden="1"/>
    </xf>
    <xf numFmtId="1" fontId="7" fillId="0" borderId="49" xfId="0" applyNumberFormat="1" applyFont="1" applyBorder="1" applyAlignment="1" applyProtection="1">
      <alignment vertical="center"/>
      <protection hidden="1"/>
    </xf>
    <xf numFmtId="1" fontId="7" fillId="0" borderId="3" xfId="0" applyNumberFormat="1" applyFont="1" applyBorder="1" applyAlignment="1" applyProtection="1">
      <alignment vertical="center"/>
      <protection hidden="1"/>
    </xf>
    <xf numFmtId="1" fontId="7" fillId="0" borderId="57" xfId="0" applyNumberFormat="1" applyFont="1" applyBorder="1" applyAlignment="1" applyProtection="1">
      <alignment vertical="center"/>
      <protection hidden="1"/>
    </xf>
    <xf numFmtId="0" fontId="26" fillId="0" borderId="19" xfId="0" applyFont="1" applyBorder="1" applyAlignment="1" applyProtection="1">
      <alignment vertical="center"/>
      <protection hidden="1"/>
    </xf>
    <xf numFmtId="1" fontId="0" fillId="0" borderId="89" xfId="0" applyNumberFormat="1" applyFont="1" applyBorder="1" applyProtection="1">
      <protection hidden="1"/>
    </xf>
    <xf numFmtId="0" fontId="0" fillId="0" borderId="72" xfId="0" applyFont="1" applyBorder="1" applyAlignment="1" applyProtection="1">
      <alignment horizontal="right" vertical="center"/>
      <protection hidden="1"/>
    </xf>
    <xf numFmtId="165" fontId="0" fillId="0" borderId="54" xfId="0" applyNumberFormat="1" applyFont="1" applyBorder="1" applyAlignment="1" applyProtection="1">
      <alignment vertical="center"/>
      <protection hidden="1"/>
    </xf>
    <xf numFmtId="1" fontId="0" fillId="0" borderId="6" xfId="0" applyNumberFormat="1" applyFont="1" applyBorder="1" applyAlignment="1" applyProtection="1">
      <alignment vertical="center"/>
      <protection hidden="1"/>
    </xf>
    <xf numFmtId="165" fontId="0" fillId="0" borderId="9" xfId="0" applyNumberFormat="1" applyFont="1" applyBorder="1" applyAlignment="1" applyProtection="1">
      <alignment vertical="center"/>
      <protection hidden="1"/>
    </xf>
    <xf numFmtId="0" fontId="0" fillId="0" borderId="11" xfId="0" applyFont="1" applyBorder="1" applyAlignment="1" applyProtection="1">
      <alignment vertical="center"/>
      <protection hidden="1"/>
    </xf>
    <xf numFmtId="165" fontId="0" fillId="0" borderId="11" xfId="0" applyNumberFormat="1" applyFont="1" applyBorder="1" applyAlignment="1" applyProtection="1">
      <alignment vertical="center"/>
      <protection hidden="1"/>
    </xf>
    <xf numFmtId="165" fontId="0" fillId="0" borderId="9" xfId="0" applyNumberFormat="1" applyBorder="1" applyProtection="1">
      <protection hidden="1"/>
    </xf>
    <xf numFmtId="165" fontId="0" fillId="0" borderId="54" xfId="0" applyNumberFormat="1" applyBorder="1" applyProtection="1">
      <protection hidden="1"/>
    </xf>
    <xf numFmtId="0" fontId="26" fillId="0" borderId="18" xfId="0" applyFont="1" applyBorder="1" applyAlignment="1" applyProtection="1">
      <alignment horizontal="left" vertical="center" wrapText="1"/>
      <protection hidden="1"/>
    </xf>
    <xf numFmtId="0" fontId="26" fillId="0" borderId="18" xfId="0" applyFont="1" applyBorder="1" applyAlignment="1" applyProtection="1">
      <alignment horizontal="center" vertical="center"/>
      <protection hidden="1"/>
    </xf>
    <xf numFmtId="0" fontId="0" fillId="0" borderId="85" xfId="0" applyFont="1" applyBorder="1" applyProtection="1">
      <protection hidden="1"/>
    </xf>
    <xf numFmtId="1" fontId="0" fillId="0" borderId="86" xfId="0" applyNumberFormat="1" applyFont="1" applyBorder="1" applyAlignment="1" applyProtection="1">
      <alignment horizontal="right" vertical="center"/>
      <protection hidden="1"/>
    </xf>
    <xf numFmtId="0" fontId="26" fillId="0" borderId="44" xfId="0" applyFont="1" applyBorder="1" applyAlignment="1" applyProtection="1">
      <alignment horizontal="left" vertical="center" wrapText="1"/>
      <protection hidden="1"/>
    </xf>
    <xf numFmtId="0" fontId="0" fillId="0" borderId="47" xfId="0" applyBorder="1" applyAlignment="1" applyProtection="1">
      <alignment vertical="center"/>
      <protection hidden="1"/>
    </xf>
    <xf numFmtId="165" fontId="0" fillId="0" borderId="49" xfId="0" applyNumberFormat="1" applyBorder="1" applyAlignment="1" applyProtection="1">
      <alignment vertical="center"/>
      <protection hidden="1"/>
    </xf>
    <xf numFmtId="0" fontId="0" fillId="0" borderId="91" xfId="0" applyFont="1" applyBorder="1" applyProtection="1">
      <protection hidden="1"/>
    </xf>
    <xf numFmtId="1" fontId="0" fillId="0" borderId="69" xfId="0" applyNumberFormat="1" applyFont="1" applyBorder="1" applyAlignment="1" applyProtection="1">
      <alignment horizontal="right" vertical="center"/>
      <protection hidden="1"/>
    </xf>
    <xf numFmtId="0" fontId="26" fillId="0" borderId="62" xfId="0" applyFont="1" applyBorder="1" applyAlignment="1" applyProtection="1">
      <alignment horizontal="left" vertical="center" indent="1"/>
      <protection hidden="1"/>
    </xf>
    <xf numFmtId="0" fontId="26" fillId="0" borderId="62" xfId="0" applyFont="1" applyBorder="1" applyAlignment="1" applyProtection="1">
      <alignment horizontal="center" vertical="center"/>
      <protection hidden="1"/>
    </xf>
    <xf numFmtId="0" fontId="0" fillId="0" borderId="70" xfId="0" applyFont="1" applyBorder="1" applyProtection="1">
      <protection hidden="1"/>
    </xf>
    <xf numFmtId="165" fontId="0" fillId="0" borderId="72" xfId="0" applyNumberFormat="1" applyFont="1" applyBorder="1" applyAlignment="1" applyProtection="1">
      <alignment horizontal="right" vertical="center"/>
      <protection hidden="1"/>
    </xf>
    <xf numFmtId="2" fontId="0" fillId="0" borderId="54" xfId="0" applyNumberFormat="1" applyBorder="1" applyAlignment="1" applyProtection="1">
      <alignment vertical="center"/>
      <protection hidden="1"/>
    </xf>
    <xf numFmtId="0" fontId="48" fillId="0" borderId="22" xfId="0" applyFont="1" applyBorder="1" applyAlignment="1" applyProtection="1">
      <alignment vertical="center" wrapText="1"/>
      <protection hidden="1"/>
    </xf>
    <xf numFmtId="0" fontId="48" fillId="0" borderId="80" xfId="0" applyFont="1" applyBorder="1" applyAlignment="1" applyProtection="1">
      <alignment horizontal="center" vertical="center"/>
      <protection hidden="1"/>
    </xf>
    <xf numFmtId="1" fontId="7" fillId="0" borderId="88" xfId="0" applyNumberFormat="1" applyFont="1" applyBorder="1" applyProtection="1">
      <protection hidden="1"/>
    </xf>
    <xf numFmtId="0" fontId="7" fillId="0" borderId="86" xfId="0" applyFont="1" applyBorder="1" applyAlignment="1" applyProtection="1">
      <alignment vertical="center"/>
      <protection hidden="1"/>
    </xf>
    <xf numFmtId="0" fontId="48" fillId="0" borderId="80" xfId="0" applyFont="1" applyBorder="1" applyAlignment="1" applyProtection="1">
      <alignment horizontal="left" vertical="center"/>
      <protection hidden="1"/>
    </xf>
    <xf numFmtId="165" fontId="7" fillId="0" borderId="82" xfId="0" applyNumberFormat="1" applyFont="1" applyBorder="1" applyProtection="1">
      <protection hidden="1"/>
    </xf>
    <xf numFmtId="165" fontId="7" fillId="0" borderId="83" xfId="0" applyNumberFormat="1" applyFont="1" applyBorder="1" applyProtection="1">
      <protection hidden="1"/>
    </xf>
    <xf numFmtId="165" fontId="0" fillId="0" borderId="29" xfId="0" applyNumberFormat="1" applyBorder="1" applyProtection="1">
      <protection hidden="1"/>
    </xf>
    <xf numFmtId="165" fontId="0" fillId="0" borderId="83" xfId="0" applyNumberFormat="1" applyBorder="1" applyAlignment="1" applyProtection="1">
      <alignment vertical="center"/>
      <protection hidden="1"/>
    </xf>
    <xf numFmtId="165" fontId="0" fillId="0" borderId="83" xfId="0" applyNumberFormat="1" applyBorder="1" applyProtection="1">
      <protection hidden="1"/>
    </xf>
    <xf numFmtId="0" fontId="26" fillId="0" borderId="87" xfId="0" applyFont="1" applyBorder="1" applyAlignment="1" applyProtection="1">
      <alignment horizontal="center" vertical="center"/>
      <protection hidden="1"/>
    </xf>
    <xf numFmtId="165" fontId="0" fillId="0" borderId="86" xfId="0" applyNumberFormat="1" applyFont="1" applyBorder="1" applyAlignment="1" applyProtection="1">
      <alignment vertical="center"/>
      <protection hidden="1"/>
    </xf>
    <xf numFmtId="0" fontId="0" fillId="0" borderId="47" xfId="0" applyBorder="1" applyProtection="1">
      <protection hidden="1"/>
    </xf>
    <xf numFmtId="165" fontId="0" fillId="0" borderId="59" xfId="0" applyNumberFormat="1" applyBorder="1" applyAlignment="1" applyProtection="1">
      <alignment vertical="center"/>
      <protection hidden="1"/>
    </xf>
    <xf numFmtId="165" fontId="0" fillId="0" borderId="76" xfId="0" applyNumberFormat="1" applyBorder="1" applyAlignment="1" applyProtection="1">
      <alignment vertical="center"/>
      <protection hidden="1"/>
    </xf>
    <xf numFmtId="165" fontId="0" fillId="0" borderId="72" xfId="0" applyNumberFormat="1" applyFont="1" applyBorder="1" applyProtection="1">
      <protection hidden="1"/>
    </xf>
    <xf numFmtId="2" fontId="0" fillId="0" borderId="54" xfId="0" applyNumberFormat="1" applyBorder="1" applyProtection="1">
      <protection hidden="1"/>
    </xf>
    <xf numFmtId="165" fontId="0" fillId="0" borderId="91" xfId="0" applyNumberFormat="1" applyFont="1" applyBorder="1" applyAlignment="1" applyProtection="1">
      <alignment vertical="center"/>
      <protection hidden="1"/>
    </xf>
    <xf numFmtId="165" fontId="0" fillId="0" borderId="69" xfId="0" applyNumberFormat="1" applyFont="1" applyBorder="1" applyAlignment="1" applyProtection="1">
      <alignment vertical="center"/>
      <protection hidden="1"/>
    </xf>
    <xf numFmtId="166" fontId="0" fillId="0" borderId="91" xfId="0" applyNumberFormat="1" applyFont="1" applyBorder="1" applyProtection="1">
      <protection hidden="1"/>
    </xf>
    <xf numFmtId="166" fontId="0" fillId="0" borderId="72" xfId="0" applyNumberFormat="1" applyFont="1" applyBorder="1" applyAlignment="1" applyProtection="1">
      <alignment vertical="center"/>
      <protection hidden="1"/>
    </xf>
    <xf numFmtId="0" fontId="26" fillId="0" borderId="80" xfId="0" applyFont="1" applyBorder="1" applyAlignment="1" applyProtection="1">
      <alignment vertical="center"/>
      <protection hidden="1"/>
    </xf>
    <xf numFmtId="49" fontId="26" fillId="0" borderId="80" xfId="0" applyNumberFormat="1" applyFont="1" applyBorder="1" applyAlignment="1" applyProtection="1">
      <alignment horizontal="center" vertical="center" wrapText="1"/>
      <protection hidden="1"/>
    </xf>
    <xf numFmtId="1" fontId="0" fillId="0" borderId="82" xfId="0" applyNumberFormat="1" applyFont="1" applyBorder="1" applyProtection="1">
      <protection hidden="1"/>
    </xf>
    <xf numFmtId="165" fontId="0" fillId="0" borderId="83" xfId="0" applyNumberFormat="1" applyFont="1" applyBorder="1" applyProtection="1">
      <protection hidden="1"/>
    </xf>
    <xf numFmtId="0" fontId="48" fillId="0" borderId="87" xfId="0" applyFont="1" applyBorder="1" applyAlignment="1" applyProtection="1">
      <alignment horizontal="center" vertical="center"/>
      <protection hidden="1"/>
    </xf>
    <xf numFmtId="1" fontId="7" fillId="0" borderId="87" xfId="0" applyNumberFormat="1" applyFont="1" applyBorder="1" applyAlignment="1" applyProtection="1">
      <alignment vertical="center"/>
      <protection hidden="1"/>
    </xf>
    <xf numFmtId="0" fontId="48" fillId="0" borderId="66" xfId="0" applyFont="1" applyBorder="1" applyAlignment="1" applyProtection="1">
      <alignment horizontal="center" vertical="center"/>
      <protection hidden="1"/>
    </xf>
    <xf numFmtId="0" fontId="7" fillId="0" borderId="49" xfId="0" applyFont="1" applyBorder="1" applyAlignment="1" applyProtection="1">
      <alignment vertical="center"/>
      <protection hidden="1"/>
    </xf>
    <xf numFmtId="0" fontId="48" fillId="0" borderId="90" xfId="0" applyFont="1" applyBorder="1" applyAlignment="1" applyProtection="1">
      <alignment horizontal="left" vertical="center" indent="1"/>
      <protection hidden="1"/>
    </xf>
    <xf numFmtId="0" fontId="48" fillId="0" borderId="92" xfId="0" applyFont="1" applyBorder="1" applyAlignment="1" applyProtection="1">
      <alignment horizontal="center" vertical="center"/>
      <protection hidden="1"/>
    </xf>
    <xf numFmtId="9" fontId="7" fillId="0" borderId="92" xfId="1" applyFont="1" applyBorder="1" applyAlignment="1" applyProtection="1">
      <alignment vertical="center"/>
      <protection hidden="1"/>
    </xf>
    <xf numFmtId="9" fontId="7" fillId="0" borderId="69" xfId="1" applyFont="1" applyBorder="1" applyAlignment="1" applyProtection="1">
      <alignment vertical="center"/>
      <protection hidden="1"/>
    </xf>
    <xf numFmtId="0" fontId="48" fillId="0" borderId="45" xfId="0" applyFont="1" applyBorder="1" applyAlignment="1" applyProtection="1">
      <alignment horizontal="left" vertical="center" indent="1"/>
      <protection hidden="1"/>
    </xf>
    <xf numFmtId="0" fontId="48" fillId="0" borderId="12" xfId="0" applyFont="1" applyBorder="1" applyAlignment="1" applyProtection="1">
      <alignment horizontal="center" vertical="center"/>
      <protection hidden="1"/>
    </xf>
    <xf numFmtId="1" fontId="7" fillId="0" borderId="73" xfId="0" applyNumberFormat="1" applyFont="1" applyBorder="1" applyAlignment="1" applyProtection="1">
      <alignment vertical="center"/>
      <protection hidden="1"/>
    </xf>
    <xf numFmtId="1" fontId="7" fillId="0" borderId="51" xfId="0" applyNumberFormat="1" applyFont="1" applyBorder="1" applyAlignment="1" applyProtection="1">
      <alignment vertical="center"/>
      <protection hidden="1"/>
    </xf>
    <xf numFmtId="0" fontId="0" fillId="0" borderId="51" xfId="0" applyBorder="1" applyAlignment="1" applyProtection="1">
      <alignment vertical="center"/>
      <protection hidden="1"/>
    </xf>
    <xf numFmtId="0" fontId="26" fillId="0" borderId="90" xfId="0" applyFont="1" applyBorder="1" applyAlignment="1" applyProtection="1">
      <alignment horizontal="left" vertical="center" wrapText="1" indent="1"/>
      <protection hidden="1"/>
    </xf>
    <xf numFmtId="0" fontId="26" fillId="0" borderId="92" xfId="0" applyFont="1" applyBorder="1" applyAlignment="1" applyProtection="1">
      <alignment horizontal="center" vertical="center"/>
      <protection hidden="1"/>
    </xf>
    <xf numFmtId="1" fontId="0" fillId="0" borderId="92" xfId="0" applyNumberFormat="1" applyBorder="1" applyAlignment="1" applyProtection="1">
      <alignment vertical="center"/>
      <protection hidden="1"/>
    </xf>
    <xf numFmtId="0" fontId="0" fillId="0" borderId="69" xfId="0" applyBorder="1" applyAlignment="1" applyProtection="1">
      <alignment vertical="center"/>
      <protection hidden="1"/>
    </xf>
    <xf numFmtId="0" fontId="26" fillId="0" borderId="45" xfId="0" applyFont="1" applyBorder="1" applyAlignment="1" applyProtection="1">
      <alignment horizontal="left" vertical="center" wrapText="1" indent="1"/>
      <protection hidden="1"/>
    </xf>
    <xf numFmtId="0" fontId="26" fillId="0" borderId="12" xfId="0" applyFont="1" applyBorder="1" applyAlignment="1" applyProtection="1">
      <alignment horizontal="center" vertical="center"/>
      <protection hidden="1"/>
    </xf>
    <xf numFmtId="1" fontId="0" fillId="0" borderId="50" xfId="0" applyNumberFormat="1" applyBorder="1" applyAlignment="1" applyProtection="1">
      <alignment vertical="center"/>
      <protection hidden="1"/>
    </xf>
    <xf numFmtId="9" fontId="0" fillId="0" borderId="92" xfId="1" applyFont="1" applyBorder="1" applyAlignment="1" applyProtection="1">
      <alignment vertical="center"/>
      <protection hidden="1"/>
    </xf>
    <xf numFmtId="9" fontId="0" fillId="0" borderId="69" xfId="1" applyFont="1" applyBorder="1" applyAlignment="1" applyProtection="1">
      <alignment vertical="center"/>
      <protection hidden="1"/>
    </xf>
    <xf numFmtId="1" fontId="0" fillId="0" borderId="45" xfId="0" applyNumberFormat="1" applyBorder="1" applyAlignment="1" applyProtection="1">
      <alignment vertical="center"/>
      <protection hidden="1"/>
    </xf>
    <xf numFmtId="1" fontId="0" fillId="0" borderId="73" xfId="0" applyNumberFormat="1" applyBorder="1" applyAlignment="1" applyProtection="1">
      <alignment vertical="center"/>
      <protection hidden="1"/>
    </xf>
    <xf numFmtId="1" fontId="0" fillId="0" borderId="51" xfId="0" applyNumberFormat="1" applyBorder="1" applyAlignment="1" applyProtection="1">
      <alignment vertical="center"/>
      <protection hidden="1"/>
    </xf>
    <xf numFmtId="165" fontId="0" fillId="0" borderId="50" xfId="0" applyNumberFormat="1" applyBorder="1" applyAlignment="1" applyProtection="1">
      <alignment vertical="center"/>
      <protection hidden="1"/>
    </xf>
    <xf numFmtId="2" fontId="0" fillId="0" borderId="92" xfId="1" applyNumberFormat="1" applyFont="1" applyBorder="1" applyAlignment="1" applyProtection="1">
      <alignment vertical="center"/>
      <protection hidden="1"/>
    </xf>
    <xf numFmtId="165" fontId="0" fillId="0" borderId="69" xfId="1" applyNumberFormat="1" applyFont="1" applyBorder="1" applyAlignment="1" applyProtection="1">
      <alignment vertical="center"/>
      <protection hidden="1"/>
    </xf>
    <xf numFmtId="9" fontId="0" fillId="0" borderId="84" xfId="1" applyFont="1" applyBorder="1" applyAlignment="1" applyProtection="1">
      <alignment vertical="center"/>
      <protection hidden="1"/>
    </xf>
    <xf numFmtId="9" fontId="0" fillId="0" borderId="72" xfId="1" applyFont="1" applyBorder="1" applyAlignment="1" applyProtection="1">
      <alignment vertical="center"/>
      <protection hidden="1"/>
    </xf>
    <xf numFmtId="0" fontId="26" fillId="0" borderId="13" xfId="0" applyFont="1" applyBorder="1" applyAlignment="1" applyProtection="1">
      <alignment horizontal="center" vertical="center"/>
      <protection hidden="1"/>
    </xf>
    <xf numFmtId="0" fontId="0" fillId="0" borderId="84" xfId="0" applyBorder="1" applyAlignment="1" applyProtection="1">
      <alignment vertical="center"/>
      <protection hidden="1"/>
    </xf>
    <xf numFmtId="0" fontId="0" fillId="0" borderId="72" xfId="0" applyBorder="1" applyAlignment="1" applyProtection="1">
      <alignment vertical="center"/>
      <protection hidden="1"/>
    </xf>
    <xf numFmtId="0" fontId="0" fillId="0" borderId="92" xfId="0" applyBorder="1" applyAlignment="1" applyProtection="1">
      <alignment vertical="center"/>
      <protection hidden="1"/>
    </xf>
    <xf numFmtId="0" fontId="26" fillId="0" borderId="96" xfId="0" applyFont="1" applyBorder="1" applyAlignment="1" applyProtection="1">
      <alignment horizontal="center" vertical="center"/>
      <protection hidden="1"/>
    </xf>
    <xf numFmtId="0" fontId="0" fillId="0" borderId="91" xfId="0" applyBorder="1" applyAlignment="1" applyProtection="1">
      <alignment vertical="center"/>
      <protection hidden="1"/>
    </xf>
    <xf numFmtId="1" fontId="0" fillId="0" borderId="93" xfId="0" applyNumberFormat="1" applyBorder="1" applyAlignment="1" applyProtection="1">
      <alignment vertical="center"/>
      <protection hidden="1"/>
    </xf>
    <xf numFmtId="0" fontId="0" fillId="0" borderId="85" xfId="0" applyBorder="1" applyAlignment="1" applyProtection="1">
      <alignment vertical="center"/>
      <protection hidden="1"/>
    </xf>
    <xf numFmtId="1" fontId="0" fillId="0" borderId="78" xfId="0" applyNumberFormat="1" applyBorder="1" applyAlignment="1" applyProtection="1">
      <alignment vertical="center"/>
      <protection hidden="1"/>
    </xf>
    <xf numFmtId="0" fontId="0" fillId="0" borderId="87" xfId="0" applyBorder="1" applyAlignment="1" applyProtection="1">
      <alignment vertical="center"/>
      <protection hidden="1"/>
    </xf>
    <xf numFmtId="1" fontId="0" fillId="0" borderId="86" xfId="0" applyNumberFormat="1" applyBorder="1" applyAlignment="1" applyProtection="1">
      <alignment vertical="center"/>
      <protection hidden="1"/>
    </xf>
    <xf numFmtId="0" fontId="0" fillId="0" borderId="87" xfId="0" applyBorder="1" applyProtection="1">
      <protection hidden="1"/>
    </xf>
    <xf numFmtId="1" fontId="0" fillId="0" borderId="70" xfId="0" applyNumberFormat="1" applyBorder="1" applyAlignment="1" applyProtection="1">
      <alignment vertical="center"/>
      <protection hidden="1"/>
    </xf>
    <xf numFmtId="165" fontId="0" fillId="0" borderId="72" xfId="0" applyNumberFormat="1" applyBorder="1" applyAlignment="1" applyProtection="1">
      <alignment vertical="center"/>
      <protection hidden="1"/>
    </xf>
    <xf numFmtId="0" fontId="26" fillId="0" borderId="94" xfId="0" applyFont="1" applyBorder="1" applyAlignment="1" applyProtection="1">
      <alignment horizontal="center" vertical="center"/>
      <protection hidden="1"/>
    </xf>
    <xf numFmtId="0" fontId="0" fillId="0" borderId="70" xfId="0" applyBorder="1" applyAlignment="1" applyProtection="1">
      <alignment vertical="center"/>
      <protection hidden="1"/>
    </xf>
    <xf numFmtId="165" fontId="0" fillId="0" borderId="21" xfId="0" applyNumberFormat="1" applyBorder="1" applyAlignment="1" applyProtection="1">
      <alignment vertical="center"/>
      <protection hidden="1"/>
    </xf>
    <xf numFmtId="0" fontId="26" fillId="0" borderId="80" xfId="0" applyFont="1" applyFill="1" applyBorder="1" applyAlignment="1" applyProtection="1">
      <alignment horizontal="left" vertical="center" wrapText="1"/>
      <protection hidden="1"/>
    </xf>
    <xf numFmtId="0" fontId="26" fillId="0" borderId="80" xfId="0" applyFont="1" applyBorder="1" applyAlignment="1" applyProtection="1">
      <alignment horizontal="center" vertical="center"/>
      <protection hidden="1"/>
    </xf>
    <xf numFmtId="0" fontId="29" fillId="16" borderId="4" xfId="0" applyFont="1" applyFill="1" applyBorder="1" applyAlignment="1" applyProtection="1">
      <alignment horizontal="right"/>
      <protection hidden="1"/>
    </xf>
    <xf numFmtId="2" fontId="29" fillId="10" borderId="4" xfId="0" applyNumberFormat="1" applyFont="1" applyFill="1" applyBorder="1" applyAlignment="1" applyProtection="1">
      <alignment horizontal="right"/>
      <protection hidden="1"/>
    </xf>
    <xf numFmtId="165" fontId="0" fillId="10" borderId="4" xfId="0" applyNumberFormat="1" applyFill="1" applyBorder="1" applyProtection="1">
      <protection hidden="1"/>
    </xf>
    <xf numFmtId="166" fontId="29" fillId="10" borderId="4" xfId="0" applyNumberFormat="1" applyFont="1" applyFill="1" applyBorder="1" applyAlignment="1" applyProtection="1">
      <alignment horizontal="right"/>
      <protection hidden="1"/>
    </xf>
    <xf numFmtId="0" fontId="29" fillId="10" borderId="4" xfId="0" applyFont="1" applyFill="1" applyBorder="1" applyAlignment="1" applyProtection="1">
      <alignment horizontal="right"/>
      <protection hidden="1"/>
    </xf>
    <xf numFmtId="1" fontId="1" fillId="21" borderId="4" xfId="6" applyNumberFormat="1" applyFill="1" applyBorder="1" applyProtection="1">
      <protection hidden="1"/>
    </xf>
    <xf numFmtId="166" fontId="29" fillId="0" borderId="4" xfId="6" applyNumberFormat="1" applyFont="1" applyFill="1" applyBorder="1" applyProtection="1">
      <protection hidden="1"/>
    </xf>
    <xf numFmtId="166" fontId="29" fillId="0" borderId="4" xfId="0" applyNumberFormat="1" applyFont="1" applyFill="1" applyBorder="1" applyProtection="1">
      <protection hidden="1"/>
    </xf>
    <xf numFmtId="1" fontId="0" fillId="36" borderId="4" xfId="0" applyNumberFormat="1" applyFill="1" applyBorder="1" applyProtection="1">
      <protection hidden="1"/>
    </xf>
    <xf numFmtId="2" fontId="0" fillId="0" borderId="4" xfId="0" applyNumberFormat="1" applyFill="1" applyBorder="1" applyProtection="1">
      <protection hidden="1"/>
    </xf>
    <xf numFmtId="165" fontId="29" fillId="21" borderId="4" xfId="0" applyNumberFormat="1" applyFont="1" applyFill="1" applyBorder="1" applyProtection="1">
      <protection hidden="1"/>
    </xf>
    <xf numFmtId="49" fontId="0" fillId="15" borderId="0" xfId="0" applyNumberFormat="1" applyFill="1" applyProtection="1">
      <protection hidden="1"/>
    </xf>
    <xf numFmtId="0" fontId="0" fillId="15" borderId="0" xfId="0" applyFill="1" applyProtection="1">
      <protection hidden="1"/>
    </xf>
    <xf numFmtId="49" fontId="0" fillId="0" borderId="0" xfId="0" applyNumberFormat="1" applyFill="1" applyProtection="1">
      <protection hidden="1"/>
    </xf>
    <xf numFmtId="2" fontId="0" fillId="0" borderId="0" xfId="0" applyNumberFormat="1" applyFill="1" applyAlignment="1" applyProtection="1">
      <alignment vertical="center" wrapText="1"/>
      <protection hidden="1"/>
    </xf>
    <xf numFmtId="0" fontId="9" fillId="0" borderId="0" xfId="0" applyFont="1" applyFill="1" applyAlignment="1" applyProtection="1">
      <alignment vertical="center"/>
      <protection hidden="1"/>
    </xf>
    <xf numFmtId="0" fontId="9" fillId="0" borderId="0" xfId="0" applyFont="1" applyFill="1" applyAlignment="1" applyProtection="1">
      <alignment vertical="center" wrapText="1"/>
      <protection hidden="1"/>
    </xf>
    <xf numFmtId="0" fontId="9" fillId="0" borderId="0" xfId="0" applyFont="1" applyFill="1" applyAlignment="1" applyProtection="1">
      <alignment vertical="top" wrapText="1"/>
      <protection hidden="1"/>
    </xf>
    <xf numFmtId="0" fontId="9" fillId="0" borderId="1" xfId="0" applyFont="1" applyFill="1" applyBorder="1" applyAlignment="1" applyProtection="1">
      <alignment horizontal="center" vertical="center" wrapText="1"/>
      <protection hidden="1"/>
    </xf>
    <xf numFmtId="49" fontId="0" fillId="13" borderId="4" xfId="0" applyNumberFormat="1" applyFont="1" applyFill="1" applyBorder="1" applyAlignment="1" applyProtection="1">
      <alignment vertical="center" wrapText="1"/>
      <protection hidden="1"/>
    </xf>
    <xf numFmtId="0" fontId="0" fillId="13" borderId="4" xfId="0" applyFill="1" applyBorder="1" applyAlignment="1" applyProtection="1">
      <alignment horizontal="center" vertical="center" wrapText="1"/>
      <protection hidden="1"/>
    </xf>
    <xf numFmtId="0" fontId="0" fillId="13" borderId="4" xfId="0" applyFill="1" applyBorder="1" applyAlignment="1" applyProtection="1">
      <alignment vertical="center" wrapText="1"/>
      <protection hidden="1"/>
    </xf>
    <xf numFmtId="0" fontId="0" fillId="13" borderId="4" xfId="0" applyFont="1" applyFill="1" applyBorder="1" applyAlignment="1" applyProtection="1">
      <alignment vertical="center" wrapText="1"/>
      <protection hidden="1"/>
    </xf>
    <xf numFmtId="0" fontId="0" fillId="13" borderId="4" xfId="0" applyFont="1" applyFill="1" applyBorder="1" applyAlignment="1" applyProtection="1">
      <alignment horizontal="center" vertical="center" wrapText="1"/>
      <protection hidden="1"/>
    </xf>
    <xf numFmtId="49" fontId="0" fillId="16" borderId="4" xfId="0" applyNumberFormat="1" applyFill="1" applyBorder="1" applyAlignment="1" applyProtection="1">
      <alignment horizontal="center" wrapText="1"/>
      <protection hidden="1"/>
    </xf>
    <xf numFmtId="0" fontId="12" fillId="0" borderId="4" xfId="0" applyFont="1" applyBorder="1" applyAlignment="1" applyProtection="1">
      <alignment horizontal="center" wrapText="1"/>
      <protection hidden="1"/>
    </xf>
    <xf numFmtId="0" fontId="0" fillId="0" borderId="4" xfId="0" applyFont="1" applyBorder="1" applyAlignment="1" applyProtection="1">
      <alignment horizontal="center" wrapText="1"/>
      <protection hidden="1"/>
    </xf>
    <xf numFmtId="16" fontId="0" fillId="0" borderId="4" xfId="0" applyNumberFormat="1" applyFont="1" applyBorder="1" applyAlignment="1" applyProtection="1">
      <alignment horizontal="center" wrapText="1"/>
      <protection hidden="1"/>
    </xf>
    <xf numFmtId="0" fontId="0" fillId="0" borderId="4" xfId="0" applyBorder="1" applyAlignment="1" applyProtection="1">
      <alignment horizontal="center" vertical="center" wrapText="1"/>
      <protection hidden="1"/>
    </xf>
    <xf numFmtId="0" fontId="0" fillId="0" borderId="4" xfId="0" applyBorder="1" applyAlignment="1" applyProtection="1">
      <alignment horizontal="center" wrapText="1"/>
      <protection hidden="1"/>
    </xf>
    <xf numFmtId="0" fontId="0" fillId="0" borderId="4" xfId="0" applyFont="1" applyBorder="1" applyAlignment="1" applyProtection="1">
      <alignment horizontal="center" vertical="center" wrapText="1"/>
      <protection hidden="1"/>
    </xf>
    <xf numFmtId="0" fontId="0" fillId="0" borderId="5" xfId="0" applyBorder="1" applyAlignment="1" applyProtection="1">
      <alignment horizontal="center" vertical="center" wrapText="1"/>
      <protection hidden="1"/>
    </xf>
    <xf numFmtId="0" fontId="0" fillId="0" borderId="8" xfId="0" applyBorder="1" applyAlignment="1" applyProtection="1">
      <alignment horizontal="center" wrapText="1"/>
      <protection hidden="1"/>
    </xf>
    <xf numFmtId="49" fontId="0" fillId="16" borderId="4" xfId="0" applyNumberFormat="1" applyFill="1" applyBorder="1" applyAlignment="1" applyProtection="1">
      <alignment horizontal="center" vertical="center"/>
      <protection hidden="1"/>
    </xf>
    <xf numFmtId="0" fontId="0" fillId="36" borderId="4" xfId="0" applyFill="1" applyBorder="1" applyProtection="1">
      <protection hidden="1"/>
    </xf>
    <xf numFmtId="0" fontId="0" fillId="36" borderId="4" xfId="0" applyFill="1" applyBorder="1" applyAlignment="1" applyProtection="1">
      <alignment horizontal="center"/>
      <protection hidden="1"/>
    </xf>
    <xf numFmtId="1" fontId="0" fillId="36" borderId="4" xfId="0" applyNumberFormat="1" applyFill="1" applyBorder="1" applyAlignment="1" applyProtection="1">
      <alignment horizontal="center"/>
      <protection hidden="1"/>
    </xf>
    <xf numFmtId="1" fontId="0" fillId="36" borderId="4" xfId="0" applyNumberFormat="1" applyFont="1" applyFill="1" applyBorder="1" applyAlignment="1" applyProtection="1">
      <alignment horizontal="center" vertical="center"/>
      <protection hidden="1"/>
    </xf>
    <xf numFmtId="1" fontId="0" fillId="36" borderId="4" xfId="0" applyNumberFormat="1" applyFont="1" applyFill="1" applyBorder="1" applyAlignment="1" applyProtection="1">
      <alignment horizontal="center" vertical="center" wrapText="1"/>
      <protection hidden="1"/>
    </xf>
    <xf numFmtId="0" fontId="0" fillId="36" borderId="4" xfId="0" applyFont="1" applyFill="1" applyBorder="1" applyAlignment="1" applyProtection="1">
      <alignment horizontal="center"/>
      <protection hidden="1"/>
    </xf>
    <xf numFmtId="0" fontId="0" fillId="36" borderId="5" xfId="0" applyFill="1" applyBorder="1" applyAlignment="1" applyProtection="1">
      <alignment horizontal="center" vertical="center"/>
      <protection hidden="1"/>
    </xf>
    <xf numFmtId="0" fontId="0" fillId="36" borderId="8" xfId="0" applyFont="1" applyFill="1" applyBorder="1" applyAlignment="1" applyProtection="1">
      <alignment horizontal="center"/>
      <protection hidden="1"/>
    </xf>
    <xf numFmtId="1" fontId="0" fillId="36" borderId="4" xfId="0" applyNumberFormat="1" applyFont="1" applyFill="1" applyBorder="1" applyAlignment="1" applyProtection="1">
      <alignment horizontal="center"/>
      <protection hidden="1"/>
    </xf>
    <xf numFmtId="2" fontId="0" fillId="20" borderId="0" xfId="0" applyNumberFormat="1" applyFill="1" applyProtection="1">
      <protection hidden="1"/>
    </xf>
    <xf numFmtId="0" fontId="0" fillId="36" borderId="4" xfId="0" applyFont="1" applyFill="1" applyBorder="1" applyProtection="1">
      <protection hidden="1"/>
    </xf>
    <xf numFmtId="1" fontId="0" fillId="36" borderId="5" xfId="0" applyNumberFormat="1" applyFont="1" applyFill="1" applyBorder="1" applyAlignment="1" applyProtection="1">
      <alignment horizontal="center" vertical="center"/>
      <protection hidden="1"/>
    </xf>
    <xf numFmtId="1" fontId="0" fillId="36" borderId="8" xfId="0" applyNumberFormat="1" applyFont="1" applyFill="1" applyBorder="1" applyAlignment="1" applyProtection="1">
      <alignment horizontal="center" vertical="center"/>
      <protection hidden="1"/>
    </xf>
    <xf numFmtId="1" fontId="0" fillId="36" borderId="4" xfId="0" applyNumberFormat="1" applyFont="1" applyFill="1" applyBorder="1" applyProtection="1">
      <protection hidden="1"/>
    </xf>
    <xf numFmtId="1" fontId="0" fillId="36" borderId="0" xfId="0" applyNumberFormat="1" applyFont="1" applyFill="1" applyAlignment="1" applyProtection="1">
      <alignment horizontal="center" vertical="center"/>
      <protection hidden="1"/>
    </xf>
    <xf numFmtId="0" fontId="26" fillId="16" borderId="4" xfId="0" applyFont="1" applyFill="1" applyBorder="1" applyAlignment="1" applyProtection="1">
      <alignment horizontal="center" vertical="top" wrapText="1"/>
      <protection hidden="1"/>
    </xf>
    <xf numFmtId="0" fontId="26" fillId="16" borderId="4" xfId="0" applyFont="1" applyFill="1" applyBorder="1" applyAlignment="1" applyProtection="1">
      <alignment horizontal="center" vertical="center" wrapText="1"/>
      <protection hidden="1"/>
    </xf>
    <xf numFmtId="0" fontId="0" fillId="22" borderId="0" xfId="0" applyFill="1" applyProtection="1">
      <protection hidden="1"/>
    </xf>
    <xf numFmtId="0" fontId="0" fillId="35" borderId="0" xfId="0" applyFill="1" applyProtection="1">
      <protection hidden="1"/>
    </xf>
    <xf numFmtId="49" fontId="0" fillId="16" borderId="4" xfId="0" applyNumberFormat="1" applyFill="1" applyBorder="1" applyAlignment="1" applyProtection="1">
      <alignment horizontal="center"/>
      <protection hidden="1"/>
    </xf>
    <xf numFmtId="2" fontId="0" fillId="36" borderId="4" xfId="0" applyNumberFormat="1" applyFont="1" applyFill="1" applyBorder="1" applyAlignment="1" applyProtection="1">
      <alignment horizontal="center" vertical="center"/>
      <protection hidden="1"/>
    </xf>
    <xf numFmtId="1" fontId="0" fillId="36" borderId="8" xfId="0" applyNumberFormat="1" applyFont="1" applyFill="1" applyBorder="1" applyAlignment="1" applyProtection="1">
      <alignment horizontal="center" vertical="center" wrapText="1"/>
      <protection hidden="1"/>
    </xf>
    <xf numFmtId="1" fontId="29" fillId="36" borderId="4" xfId="0" applyNumberFormat="1" applyFont="1" applyFill="1" applyBorder="1" applyAlignment="1" applyProtection="1">
      <alignment horizontal="center" vertical="center"/>
      <protection hidden="1"/>
    </xf>
    <xf numFmtId="1" fontId="29" fillId="36" borderId="4" xfId="0" applyNumberFormat="1" applyFont="1" applyFill="1" applyBorder="1" applyAlignment="1" applyProtection="1">
      <alignment horizontal="center" vertical="center" wrapText="1"/>
      <protection hidden="1"/>
    </xf>
    <xf numFmtId="0" fontId="12" fillId="36" borderId="4" xfId="0" applyFont="1" applyFill="1" applyBorder="1" applyProtection="1">
      <protection hidden="1"/>
    </xf>
    <xf numFmtId="0" fontId="26" fillId="36" borderId="4" xfId="0" applyFont="1" applyFill="1" applyBorder="1" applyAlignment="1" applyProtection="1">
      <alignment horizontal="center" vertical="top"/>
      <protection hidden="1"/>
    </xf>
    <xf numFmtId="1" fontId="29" fillId="36" borderId="4" xfId="0" applyNumberFormat="1" applyFont="1" applyFill="1" applyBorder="1" applyProtection="1">
      <protection hidden="1"/>
    </xf>
    <xf numFmtId="0" fontId="46" fillId="36" borderId="4" xfId="0" applyFont="1" applyFill="1" applyBorder="1" applyAlignment="1" applyProtection="1">
      <alignment horizontal="right" vertical="top" wrapText="1"/>
      <protection hidden="1"/>
    </xf>
    <xf numFmtId="0" fontId="45" fillId="36" borderId="4" xfId="0" applyFont="1" applyFill="1" applyBorder="1" applyAlignment="1" applyProtection="1">
      <alignment horizontal="right" vertical="top"/>
      <protection hidden="1"/>
    </xf>
    <xf numFmtId="1" fontId="29" fillId="36" borderId="4" xfId="0" applyNumberFormat="1" applyFont="1" applyFill="1" applyBorder="1" applyAlignment="1" applyProtection="1">
      <alignment horizontal="right"/>
      <protection hidden="1"/>
    </xf>
    <xf numFmtId="1" fontId="26" fillId="36" borderId="4" xfId="0" applyNumberFormat="1" applyFont="1" applyFill="1" applyBorder="1" applyAlignment="1" applyProtection="1">
      <alignment horizontal="center" vertical="top" wrapText="1"/>
      <protection hidden="1"/>
    </xf>
    <xf numFmtId="0" fontId="26" fillId="36" borderId="4" xfId="0" applyFont="1" applyFill="1" applyBorder="1" applyAlignment="1" applyProtection="1">
      <alignment horizontal="center" vertical="top" wrapText="1"/>
      <protection hidden="1"/>
    </xf>
    <xf numFmtId="0" fontId="26" fillId="36" borderId="4" xfId="0" applyFont="1" applyFill="1" applyBorder="1" applyAlignment="1" applyProtection="1">
      <alignment horizontal="right" vertical="top" wrapText="1"/>
      <protection hidden="1"/>
    </xf>
    <xf numFmtId="0" fontId="46" fillId="36" borderId="4" xfId="0" applyFont="1" applyFill="1" applyBorder="1" applyAlignment="1" applyProtection="1">
      <alignment horizontal="center" vertical="top" wrapText="1"/>
      <protection hidden="1"/>
    </xf>
    <xf numFmtId="0" fontId="26" fillId="36" borderId="5" xfId="0" applyFont="1" applyFill="1" applyBorder="1" applyAlignment="1" applyProtection="1">
      <alignment horizontal="center" vertical="top" wrapText="1"/>
      <protection hidden="1"/>
    </xf>
    <xf numFmtId="0" fontId="0" fillId="36" borderId="8" xfId="0" applyFill="1" applyBorder="1" applyProtection="1">
      <protection hidden="1"/>
    </xf>
    <xf numFmtId="0" fontId="0" fillId="36" borderId="0" xfId="0" applyFill="1" applyBorder="1" applyProtection="1">
      <protection hidden="1"/>
    </xf>
    <xf numFmtId="49" fontId="0" fillId="35" borderId="4" xfId="0" applyNumberFormat="1" applyFill="1" applyBorder="1" applyAlignment="1" applyProtection="1">
      <alignment horizontal="center" vertical="center"/>
      <protection hidden="1"/>
    </xf>
    <xf numFmtId="0" fontId="0" fillId="35" borderId="4" xfId="0" applyFill="1" applyBorder="1" applyProtection="1">
      <protection hidden="1"/>
    </xf>
    <xf numFmtId="1" fontId="0" fillId="35" borderId="4" xfId="0" applyNumberFormat="1" applyFont="1" applyFill="1" applyBorder="1" applyAlignment="1" applyProtection="1">
      <alignment horizontal="center" vertical="center"/>
      <protection hidden="1"/>
    </xf>
    <xf numFmtId="1" fontId="0" fillId="35" borderId="4" xfId="0" applyNumberFormat="1" applyFont="1" applyFill="1" applyBorder="1" applyAlignment="1" applyProtection="1">
      <alignment horizontal="center" vertical="center" wrapText="1"/>
      <protection hidden="1"/>
    </xf>
    <xf numFmtId="1" fontId="0" fillId="35" borderId="5" xfId="0" applyNumberFormat="1" applyFont="1" applyFill="1" applyBorder="1" applyAlignment="1" applyProtection="1">
      <alignment horizontal="center" vertical="center"/>
      <protection hidden="1"/>
    </xf>
    <xf numFmtId="1" fontId="0" fillId="35" borderId="8" xfId="0" applyNumberFormat="1" applyFont="1" applyFill="1" applyBorder="1" applyAlignment="1" applyProtection="1">
      <alignment horizontal="center" vertical="center"/>
      <protection hidden="1"/>
    </xf>
    <xf numFmtId="0" fontId="43" fillId="35" borderId="4" xfId="0" applyFont="1" applyFill="1" applyBorder="1" applyAlignment="1" applyProtection="1">
      <alignment horizontal="center" vertical="top" wrapText="1"/>
      <protection hidden="1"/>
    </xf>
    <xf numFmtId="0" fontId="26" fillId="35" borderId="4" xfId="0" applyFont="1" applyFill="1" applyBorder="1" applyAlignment="1" applyProtection="1">
      <alignment horizontal="center" vertical="center" wrapText="1"/>
      <protection hidden="1"/>
    </xf>
    <xf numFmtId="0" fontId="26" fillId="35" borderId="4" xfId="0" applyFont="1" applyFill="1" applyBorder="1" applyAlignment="1" applyProtection="1">
      <alignment horizontal="center" vertical="top" wrapText="1"/>
      <protection hidden="1"/>
    </xf>
    <xf numFmtId="1" fontId="0" fillId="35" borderId="0" xfId="0" applyNumberFormat="1" applyFont="1" applyFill="1" applyAlignment="1" applyProtection="1">
      <alignment horizontal="center" vertical="center"/>
      <protection hidden="1"/>
    </xf>
    <xf numFmtId="0" fontId="49" fillId="35" borderId="4" xfId="0" applyFont="1" applyFill="1" applyBorder="1" applyAlignment="1" applyProtection="1">
      <alignment horizontal="center" vertical="top" wrapText="1"/>
      <protection hidden="1"/>
    </xf>
    <xf numFmtId="0" fontId="7" fillId="35" borderId="4" xfId="0" applyFont="1" applyFill="1" applyBorder="1" applyProtection="1">
      <protection hidden="1"/>
    </xf>
    <xf numFmtId="49" fontId="0" fillId="35" borderId="4" xfId="0" applyNumberFormat="1" applyFill="1" applyBorder="1" applyAlignment="1" applyProtection="1">
      <alignment horizontal="center"/>
      <protection hidden="1"/>
    </xf>
    <xf numFmtId="1" fontId="29" fillId="35" borderId="4" xfId="0" applyNumberFormat="1" applyFont="1" applyFill="1" applyBorder="1" applyAlignment="1" applyProtection="1">
      <alignment horizontal="center" vertical="center"/>
      <protection hidden="1"/>
    </xf>
    <xf numFmtId="1" fontId="29" fillId="35" borderId="4" xfId="0" applyNumberFormat="1" applyFont="1" applyFill="1" applyBorder="1" applyAlignment="1" applyProtection="1">
      <alignment horizontal="center" vertical="center" wrapText="1"/>
      <protection hidden="1"/>
    </xf>
    <xf numFmtId="1" fontId="0" fillId="35" borderId="4" xfId="0" applyNumberFormat="1" applyFont="1" applyFill="1" applyBorder="1" applyProtection="1">
      <protection hidden="1"/>
    </xf>
    <xf numFmtId="1" fontId="0" fillId="35" borderId="4" xfId="0" applyNumberFormat="1" applyFont="1" applyFill="1" applyBorder="1" applyAlignment="1" applyProtection="1">
      <alignment horizontal="center"/>
      <protection hidden="1"/>
    </xf>
    <xf numFmtId="49" fontId="26" fillId="35" borderId="4" xfId="0" applyNumberFormat="1" applyFont="1" applyFill="1" applyBorder="1" applyAlignment="1" applyProtection="1">
      <alignment horizontal="center" vertical="top" wrapText="1"/>
      <protection hidden="1"/>
    </xf>
    <xf numFmtId="49" fontId="43" fillId="35" borderId="4" xfId="0" applyNumberFormat="1" applyFont="1" applyFill="1" applyBorder="1" applyAlignment="1" applyProtection="1">
      <alignment horizontal="center" vertical="top" wrapText="1"/>
      <protection hidden="1"/>
    </xf>
    <xf numFmtId="2" fontId="0" fillId="35" borderId="4" xfId="0" applyNumberFormat="1" applyFont="1" applyFill="1" applyBorder="1" applyAlignment="1" applyProtection="1">
      <alignment horizontal="center" vertical="center"/>
      <protection hidden="1"/>
    </xf>
    <xf numFmtId="0" fontId="0" fillId="6" borderId="4" xfId="0" applyFill="1" applyBorder="1" applyProtection="1">
      <protection hidden="1"/>
    </xf>
    <xf numFmtId="1" fontId="0" fillId="6" borderId="4" xfId="0" applyNumberFormat="1" applyFont="1" applyFill="1" applyBorder="1" applyAlignment="1" applyProtection="1">
      <alignment horizontal="center" vertical="center"/>
      <protection hidden="1"/>
    </xf>
    <xf numFmtId="49" fontId="0" fillId="0" borderId="0" xfId="0" applyNumberFormat="1" applyProtection="1">
      <protection hidden="1"/>
    </xf>
    <xf numFmtId="0" fontId="65" fillId="31" borderId="0" xfId="0" applyFont="1" applyFill="1" applyAlignment="1" applyProtection="1">
      <alignment wrapText="1"/>
      <protection hidden="1"/>
    </xf>
    <xf numFmtId="0" fontId="0" fillId="0" borderId="0" xfId="0" applyAlignment="1" applyProtection="1">
      <alignment vertical="center"/>
      <protection hidden="1"/>
    </xf>
    <xf numFmtId="0" fontId="0" fillId="5" borderId="0" xfId="0" applyFill="1" applyAlignment="1" applyProtection="1">
      <alignment horizontal="center" vertical="center"/>
      <protection hidden="1"/>
    </xf>
    <xf numFmtId="0" fontId="9" fillId="0" borderId="0" xfId="0" applyFont="1" applyAlignment="1" applyProtection="1">
      <alignment vertical="center"/>
      <protection hidden="1"/>
    </xf>
    <xf numFmtId="0" fontId="2" fillId="0" borderId="0" xfId="2" applyProtection="1">
      <protection hidden="1"/>
    </xf>
    <xf numFmtId="0" fontId="2" fillId="17" borderId="0" xfId="2" applyFill="1" applyProtection="1">
      <protection hidden="1"/>
    </xf>
    <xf numFmtId="0" fontId="2" fillId="18" borderId="0" xfId="2" applyFill="1" applyProtection="1">
      <protection hidden="1"/>
    </xf>
    <xf numFmtId="0" fontId="2" fillId="10" borderId="0" xfId="2" applyFill="1" applyProtection="1">
      <protection hidden="1"/>
    </xf>
    <xf numFmtId="0" fontId="2" fillId="8" borderId="0" xfId="2" applyFill="1" applyProtection="1">
      <protection hidden="1"/>
    </xf>
    <xf numFmtId="0" fontId="2" fillId="5" borderId="0" xfId="2" applyFill="1" applyProtection="1">
      <protection hidden="1"/>
    </xf>
    <xf numFmtId="0" fontId="2" fillId="7" borderId="0" xfId="2" applyFill="1" applyProtection="1">
      <protection hidden="1"/>
    </xf>
    <xf numFmtId="0" fontId="2" fillId="9" borderId="0" xfId="2" applyFill="1" applyProtection="1">
      <protection hidden="1"/>
    </xf>
    <xf numFmtId="0" fontId="2" fillId="11" borderId="0" xfId="2" applyFill="1" applyProtection="1">
      <protection hidden="1"/>
    </xf>
    <xf numFmtId="0" fontId="2" fillId="12" borderId="0" xfId="2" applyFill="1" applyProtection="1">
      <protection hidden="1"/>
    </xf>
    <xf numFmtId="0" fontId="2" fillId="15" borderId="0" xfId="2" applyFill="1" applyProtection="1">
      <protection hidden="1"/>
    </xf>
    <xf numFmtId="0" fontId="2" fillId="19" borderId="0" xfId="2" applyFill="1" applyProtection="1">
      <protection hidden="1"/>
    </xf>
    <xf numFmtId="0" fontId="4" fillId="0" borderId="1" xfId="2" applyFont="1" applyBorder="1" applyAlignment="1" applyProtection="1">
      <protection hidden="1"/>
    </xf>
    <xf numFmtId="0" fontId="2" fillId="0" borderId="0" xfId="2" applyBorder="1" applyProtection="1">
      <protection hidden="1"/>
    </xf>
    <xf numFmtId="0" fontId="2" fillId="0" borderId="0" xfId="2" applyAlignment="1" applyProtection="1">
      <alignment wrapText="1"/>
      <protection hidden="1"/>
    </xf>
    <xf numFmtId="0" fontId="3" fillId="0" borderId="5" xfId="2" applyFont="1" applyFill="1" applyBorder="1" applyAlignment="1" applyProtection="1">
      <alignment vertical="center" wrapText="1"/>
      <protection hidden="1"/>
    </xf>
    <xf numFmtId="0" fontId="3" fillId="0" borderId="4" xfId="2" applyFont="1" applyFill="1" applyBorder="1" applyAlignment="1" applyProtection="1">
      <alignment vertical="center" wrapText="1"/>
      <protection hidden="1"/>
    </xf>
    <xf numFmtId="0" fontId="3" fillId="0" borderId="4" xfId="2" applyFont="1" applyFill="1" applyBorder="1" applyAlignment="1" applyProtection="1">
      <alignment horizontal="right" vertical="center" wrapText="1"/>
      <protection hidden="1"/>
    </xf>
    <xf numFmtId="0" fontId="3" fillId="0" borderId="6" xfId="2" applyFont="1" applyFill="1" applyBorder="1" applyAlignment="1" applyProtection="1">
      <alignment vertical="center" wrapText="1"/>
      <protection hidden="1"/>
    </xf>
    <xf numFmtId="0" fontId="3" fillId="17" borderId="4" xfId="2" applyFont="1" applyFill="1" applyBorder="1" applyAlignment="1" applyProtection="1">
      <alignment vertical="center" wrapText="1"/>
      <protection hidden="1"/>
    </xf>
    <xf numFmtId="0" fontId="3" fillId="17" borderId="4" xfId="2" applyFont="1" applyFill="1" applyBorder="1" applyAlignment="1" applyProtection="1">
      <alignment horizontal="right" vertical="center" wrapText="1"/>
      <protection hidden="1"/>
    </xf>
    <xf numFmtId="0" fontId="3" fillId="18" borderId="4" xfId="2" applyFont="1" applyFill="1" applyBorder="1" applyAlignment="1" applyProtection="1">
      <alignment vertical="center" wrapText="1"/>
      <protection hidden="1"/>
    </xf>
    <xf numFmtId="0" fontId="3" fillId="18" borderId="4" xfId="2" applyFont="1" applyFill="1" applyBorder="1" applyAlignment="1" applyProtection="1">
      <alignment horizontal="right" vertical="center" wrapText="1"/>
      <protection hidden="1"/>
    </xf>
    <xf numFmtId="0" fontId="3" fillId="10" borderId="4" xfId="2" applyFont="1" applyFill="1" applyBorder="1" applyAlignment="1" applyProtection="1">
      <alignment vertical="center" wrapText="1"/>
      <protection hidden="1"/>
    </xf>
    <xf numFmtId="0" fontId="3" fillId="10" borderId="4" xfId="2" applyFont="1" applyFill="1" applyBorder="1" applyAlignment="1" applyProtection="1">
      <alignment horizontal="right" vertical="center" wrapText="1"/>
      <protection hidden="1"/>
    </xf>
    <xf numFmtId="0" fontId="3" fillId="8" borderId="4" xfId="2" applyFont="1" applyFill="1" applyBorder="1" applyAlignment="1" applyProtection="1">
      <alignment vertical="center" wrapText="1"/>
      <protection hidden="1"/>
    </xf>
    <xf numFmtId="0" fontId="3" fillId="8" borderId="4" xfId="2" applyFont="1" applyFill="1" applyBorder="1" applyAlignment="1" applyProtection="1">
      <alignment horizontal="right" vertical="center" wrapText="1"/>
      <protection hidden="1"/>
    </xf>
    <xf numFmtId="0" fontId="3" fillId="5" borderId="4" xfId="2" applyFont="1" applyFill="1" applyBorder="1" applyAlignment="1" applyProtection="1">
      <alignment vertical="center" wrapText="1"/>
      <protection hidden="1"/>
    </xf>
    <xf numFmtId="0" fontId="3" fillId="5" borderId="4" xfId="2" applyFont="1" applyFill="1" applyBorder="1" applyAlignment="1" applyProtection="1">
      <alignment horizontal="right" vertical="center" wrapText="1"/>
      <protection hidden="1"/>
    </xf>
    <xf numFmtId="0" fontId="3" fillId="7" borderId="4" xfId="2" applyFont="1" applyFill="1" applyBorder="1" applyAlignment="1" applyProtection="1">
      <alignment vertical="center" wrapText="1"/>
      <protection hidden="1"/>
    </xf>
    <xf numFmtId="0" fontId="3" fillId="7" borderId="4" xfId="2" applyFont="1" applyFill="1" applyBorder="1" applyAlignment="1" applyProtection="1">
      <alignment horizontal="right" vertical="center" wrapText="1"/>
      <protection hidden="1"/>
    </xf>
    <xf numFmtId="0" fontId="3" fillId="9" borderId="4" xfId="2" applyFont="1" applyFill="1" applyBorder="1" applyAlignment="1" applyProtection="1">
      <alignment vertical="center" wrapText="1"/>
      <protection hidden="1"/>
    </xf>
    <xf numFmtId="0" fontId="3" fillId="9" borderId="4" xfId="2" applyFont="1" applyFill="1" applyBorder="1" applyAlignment="1" applyProtection="1">
      <alignment horizontal="right" vertical="center" wrapText="1"/>
      <protection hidden="1"/>
    </xf>
    <xf numFmtId="0" fontId="3" fillId="11" borderId="4" xfId="2" applyFont="1" applyFill="1" applyBorder="1" applyAlignment="1" applyProtection="1">
      <alignment vertical="center" wrapText="1"/>
      <protection hidden="1"/>
    </xf>
    <xf numFmtId="0" fontId="3" fillId="11" borderId="4" xfId="2" applyFont="1" applyFill="1" applyBorder="1" applyAlignment="1" applyProtection="1">
      <alignment horizontal="right" vertical="center" wrapText="1"/>
      <protection hidden="1"/>
    </xf>
    <xf numFmtId="0" fontId="3" fillId="12" borderId="4" xfId="2" applyFont="1" applyFill="1" applyBorder="1" applyAlignment="1" applyProtection="1">
      <alignment vertical="center" wrapText="1"/>
      <protection hidden="1"/>
    </xf>
    <xf numFmtId="0" fontId="3" fillId="12" borderId="4" xfId="2" applyFont="1" applyFill="1" applyBorder="1" applyAlignment="1" applyProtection="1">
      <alignment horizontal="right" vertical="center" wrapText="1"/>
      <protection hidden="1"/>
    </xf>
    <xf numFmtId="0" fontId="3" fillId="15" borderId="4" xfId="2" applyFont="1" applyFill="1" applyBorder="1" applyAlignment="1" applyProtection="1">
      <alignment vertical="center" wrapText="1"/>
      <protection hidden="1"/>
    </xf>
    <xf numFmtId="0" fontId="3" fillId="15" borderId="4" xfId="2" applyFont="1" applyFill="1" applyBorder="1" applyAlignment="1" applyProtection="1">
      <alignment horizontal="right" vertical="center" wrapText="1"/>
      <protection hidden="1"/>
    </xf>
    <xf numFmtId="0" fontId="3" fillId="19" borderId="4" xfId="2" applyFont="1" applyFill="1" applyBorder="1" applyAlignment="1" applyProtection="1">
      <alignment vertical="center" wrapText="1"/>
      <protection hidden="1"/>
    </xf>
    <xf numFmtId="0" fontId="3" fillId="19" borderId="4" xfId="2" applyFont="1" applyFill="1" applyBorder="1" applyAlignment="1" applyProtection="1">
      <alignment horizontal="right" vertical="center" wrapText="1"/>
      <protection hidden="1"/>
    </xf>
    <xf numFmtId="0" fontId="5" fillId="2" borderId="4" xfId="3" applyNumberFormat="1" applyFont="1" applyFill="1" applyBorder="1" applyAlignment="1" applyProtection="1">
      <protection hidden="1"/>
    </xf>
    <xf numFmtId="0" fontId="6" fillId="2" borderId="4" xfId="3" applyNumberFormat="1" applyFont="1" applyFill="1" applyBorder="1" applyAlignment="1" applyProtection="1">
      <alignment wrapText="1"/>
      <protection hidden="1"/>
    </xf>
    <xf numFmtId="0" fontId="2" fillId="0" borderId="4" xfId="2" applyFont="1" applyFill="1" applyBorder="1" applyProtection="1">
      <protection hidden="1"/>
    </xf>
    <xf numFmtId="3" fontId="2" fillId="0" borderId="4" xfId="2" applyNumberFormat="1" applyFont="1" applyFill="1" applyBorder="1" applyProtection="1">
      <protection hidden="1"/>
    </xf>
    <xf numFmtId="3" fontId="0" fillId="0" borderId="4" xfId="3" applyNumberFormat="1" applyFont="1" applyFill="1" applyBorder="1" applyAlignment="1" applyProtection="1">
      <alignment horizontal="center" vertical="center" wrapText="1"/>
      <protection hidden="1"/>
    </xf>
    <xf numFmtId="3" fontId="0" fillId="0" borderId="5" xfId="3" applyNumberFormat="1" applyFont="1" applyFill="1" applyBorder="1" applyAlignment="1" applyProtection="1">
      <alignment horizontal="center" vertical="center" wrapText="1"/>
      <protection hidden="1"/>
    </xf>
    <xf numFmtId="164" fontId="0" fillId="0" borderId="4" xfId="3" applyNumberFormat="1" applyFont="1" applyFill="1" applyBorder="1" applyAlignment="1" applyProtection="1">
      <alignment horizontal="right" vertical="center" wrapText="1"/>
      <protection hidden="1"/>
    </xf>
    <xf numFmtId="0" fontId="2" fillId="0" borderId="4" xfId="2" applyFill="1" applyBorder="1" applyProtection="1">
      <protection hidden="1"/>
    </xf>
    <xf numFmtId="0" fontId="2" fillId="0" borderId="0" xfId="2" applyFill="1" applyBorder="1" applyProtection="1">
      <protection hidden="1"/>
    </xf>
    <xf numFmtId="0" fontId="2" fillId="17" borderId="4" xfId="2" applyFill="1" applyBorder="1" applyProtection="1">
      <protection hidden="1"/>
    </xf>
    <xf numFmtId="3" fontId="2" fillId="17" borderId="4" xfId="2" applyNumberFormat="1" applyFill="1" applyBorder="1" applyProtection="1">
      <protection hidden="1"/>
    </xf>
    <xf numFmtId="165" fontId="2" fillId="17" borderId="4" xfId="2" applyNumberFormat="1" applyFill="1" applyBorder="1" applyProtection="1">
      <protection hidden="1"/>
    </xf>
    <xf numFmtId="0" fontId="2" fillId="18" borderId="4" xfId="2" applyFill="1" applyBorder="1" applyProtection="1">
      <protection hidden="1"/>
    </xf>
    <xf numFmtId="0" fontId="2" fillId="10" borderId="4" xfId="2" applyFill="1" applyBorder="1" applyProtection="1">
      <protection hidden="1"/>
    </xf>
    <xf numFmtId="0" fontId="2" fillId="8" borderId="4" xfId="2" applyFill="1" applyBorder="1" applyProtection="1">
      <protection hidden="1"/>
    </xf>
    <xf numFmtId="0" fontId="2" fillId="5" borderId="4" xfId="2" applyFill="1" applyBorder="1" applyProtection="1">
      <protection hidden="1"/>
    </xf>
    <xf numFmtId="0" fontId="2" fillId="7" borderId="4" xfId="2" applyFill="1" applyBorder="1" applyProtection="1">
      <protection hidden="1"/>
    </xf>
    <xf numFmtId="0" fontId="2" fillId="9" borderId="4" xfId="2" applyFill="1" applyBorder="1" applyProtection="1">
      <protection hidden="1"/>
    </xf>
    <xf numFmtId="0" fontId="2" fillId="11" borderId="4" xfId="2" applyFill="1" applyBorder="1" applyProtection="1">
      <protection hidden="1"/>
    </xf>
    <xf numFmtId="0" fontId="2" fillId="12" borderId="4" xfId="2" applyFill="1" applyBorder="1" applyProtection="1">
      <protection hidden="1"/>
    </xf>
    <xf numFmtId="0" fontId="2" fillId="15" borderId="4" xfId="2" applyFill="1" applyBorder="1" applyProtection="1">
      <protection hidden="1"/>
    </xf>
    <xf numFmtId="0" fontId="2" fillId="19" borderId="4" xfId="2" applyFill="1" applyBorder="1" applyProtection="1">
      <protection hidden="1"/>
    </xf>
    <xf numFmtId="1" fontId="2" fillId="19" borderId="4" xfId="2" applyNumberFormat="1" applyFill="1" applyBorder="1" applyProtection="1">
      <protection hidden="1"/>
    </xf>
    <xf numFmtId="0" fontId="5" fillId="3" borderId="4" xfId="3" applyNumberFormat="1" applyFont="1" applyFill="1" applyBorder="1" applyAlignment="1" applyProtection="1">
      <protection hidden="1"/>
    </xf>
    <xf numFmtId="0" fontId="2" fillId="3" borderId="4" xfId="2" applyFont="1" applyFill="1" applyBorder="1" applyProtection="1">
      <protection hidden="1"/>
    </xf>
    <xf numFmtId="0" fontId="6" fillId="3" borderId="4" xfId="3" applyNumberFormat="1" applyFont="1" applyFill="1" applyBorder="1" applyAlignment="1" applyProtection="1">
      <alignment wrapText="1"/>
      <protection hidden="1"/>
    </xf>
    <xf numFmtId="165" fontId="2" fillId="18" borderId="4" xfId="2" applyNumberFormat="1" applyFill="1" applyBorder="1" applyProtection="1">
      <protection hidden="1"/>
    </xf>
    <xf numFmtId="165" fontId="2" fillId="10" borderId="4" xfId="2" applyNumberFormat="1" applyFill="1" applyBorder="1" applyProtection="1">
      <protection hidden="1"/>
    </xf>
    <xf numFmtId="165" fontId="2" fillId="8" borderId="4" xfId="2" applyNumberFormat="1" applyFill="1" applyBorder="1" applyProtection="1">
      <protection hidden="1"/>
    </xf>
    <xf numFmtId="165" fontId="2" fillId="5" borderId="4" xfId="2" applyNumberFormat="1" applyFill="1" applyBorder="1" applyProtection="1">
      <protection hidden="1"/>
    </xf>
    <xf numFmtId="165" fontId="2" fillId="7" borderId="4" xfId="2" applyNumberFormat="1" applyFill="1" applyBorder="1" applyProtection="1">
      <protection hidden="1"/>
    </xf>
    <xf numFmtId="165" fontId="2" fillId="9" borderId="4" xfId="2" applyNumberFormat="1" applyFill="1" applyBorder="1" applyProtection="1">
      <protection hidden="1"/>
    </xf>
    <xf numFmtId="165" fontId="2" fillId="11" borderId="4" xfId="2" applyNumberFormat="1" applyFill="1" applyBorder="1" applyProtection="1">
      <protection hidden="1"/>
    </xf>
    <xf numFmtId="165" fontId="2" fillId="12" borderId="4" xfId="2" applyNumberFormat="1" applyFill="1" applyBorder="1" applyProtection="1">
      <protection hidden="1"/>
    </xf>
    <xf numFmtId="165" fontId="2" fillId="15" borderId="4" xfId="2" applyNumberFormat="1" applyFill="1" applyBorder="1" applyProtection="1">
      <protection hidden="1"/>
    </xf>
    <xf numFmtId="165" fontId="2" fillId="19" borderId="4" xfId="2" applyNumberFormat="1" applyFill="1" applyBorder="1" applyProtection="1">
      <protection hidden="1"/>
    </xf>
    <xf numFmtId="3" fontId="2" fillId="0" borderId="0" xfId="2" applyNumberFormat="1" applyProtection="1">
      <protection hidden="1"/>
    </xf>
    <xf numFmtId="0" fontId="6" fillId="3" borderId="7" xfId="3" applyNumberFormat="1" applyFont="1" applyFill="1" applyBorder="1" applyAlignment="1" applyProtection="1">
      <alignment wrapText="1"/>
      <protection hidden="1"/>
    </xf>
    <xf numFmtId="0" fontId="6" fillId="2" borderId="11" xfId="3" applyNumberFormat="1" applyFont="1" applyFill="1" applyBorder="1" applyAlignment="1" applyProtection="1">
      <alignment wrapText="1"/>
      <protection hidden="1"/>
    </xf>
    <xf numFmtId="0" fontId="2" fillId="0" borderId="0" xfId="2" applyFill="1" applyProtection="1">
      <protection hidden="1"/>
    </xf>
    <xf numFmtId="0" fontId="6" fillId="0" borderId="6" xfId="3" applyNumberFormat="1" applyFont="1" applyFill="1" applyBorder="1" applyAlignment="1" applyProtection="1">
      <protection hidden="1"/>
    </xf>
    <xf numFmtId="0" fontId="9" fillId="0" borderId="0" xfId="0" applyFont="1" applyAlignment="1" applyProtection="1">
      <alignment horizontal="center"/>
      <protection hidden="1"/>
    </xf>
    <xf numFmtId="0" fontId="0" fillId="0" borderId="0" xfId="0" applyAlignment="1" applyProtection="1">
      <alignment horizontal="left"/>
      <protection hidden="1"/>
    </xf>
    <xf numFmtId="0" fontId="26" fillId="0" borderId="50" xfId="0" applyFont="1" applyFill="1" applyBorder="1" applyAlignment="1" applyProtection="1">
      <alignment horizontal="left" vertical="center" wrapText="1"/>
      <protection hidden="1"/>
    </xf>
    <xf numFmtId="0" fontId="26" fillId="0" borderId="4" xfId="0" applyFont="1" applyFill="1" applyBorder="1" applyAlignment="1" applyProtection="1">
      <alignment horizontal="left" vertical="center" wrapText="1"/>
      <protection hidden="1"/>
    </xf>
    <xf numFmtId="0" fontId="26" fillId="0" borderId="4" xfId="0" applyFont="1" applyFill="1" applyBorder="1" applyAlignment="1" applyProtection="1">
      <alignment horizontal="center" vertical="center" wrapText="1"/>
      <protection hidden="1"/>
    </xf>
    <xf numFmtId="0" fontId="26" fillId="0" borderId="8" xfId="0" applyFont="1" applyFill="1" applyBorder="1" applyAlignment="1" applyProtection="1">
      <alignment horizontal="left" vertical="center" wrapText="1"/>
      <protection hidden="1"/>
    </xf>
    <xf numFmtId="49" fontId="0" fillId="36" borderId="4" xfId="0" applyNumberFormat="1" applyFont="1" applyFill="1" applyBorder="1" applyAlignment="1" applyProtection="1">
      <alignment horizontal="center"/>
      <protection hidden="1"/>
    </xf>
    <xf numFmtId="0" fontId="0" fillId="36" borderId="45" xfId="0" applyFont="1" applyFill="1" applyBorder="1" applyAlignment="1" applyProtection="1">
      <alignment horizontal="center" vertical="center" wrapText="1"/>
      <protection hidden="1"/>
    </xf>
    <xf numFmtId="0" fontId="0" fillId="36" borderId="4" xfId="0" applyFont="1" applyFill="1" applyBorder="1" applyAlignment="1" applyProtection="1">
      <alignment horizontal="left" wrapText="1"/>
      <protection hidden="1"/>
    </xf>
    <xf numFmtId="0" fontId="0" fillId="36" borderId="4" xfId="0" applyFont="1" applyFill="1" applyBorder="1" applyAlignment="1" applyProtection="1">
      <alignment horizontal="left" vertical="center" wrapText="1"/>
      <protection hidden="1"/>
    </xf>
    <xf numFmtId="166" fontId="0" fillId="36" borderId="4" xfId="0" applyNumberFormat="1" applyFont="1" applyFill="1" applyBorder="1" applyAlignment="1" applyProtection="1">
      <alignment horizontal="right" wrapText="1"/>
      <protection hidden="1"/>
    </xf>
    <xf numFmtId="166" fontId="0" fillId="36" borderId="4" xfId="0" applyNumberFormat="1" applyFont="1" applyFill="1" applyBorder="1" applyAlignment="1" applyProtection="1">
      <alignment horizontal="left" wrapText="1"/>
      <protection hidden="1"/>
    </xf>
    <xf numFmtId="166" fontId="0" fillId="36" borderId="8" xfId="0" applyNumberFormat="1" applyFont="1" applyFill="1" applyBorder="1" applyAlignment="1" applyProtection="1">
      <alignment horizontal="left" wrapText="1"/>
      <protection hidden="1"/>
    </xf>
    <xf numFmtId="0" fontId="0" fillId="0" borderId="0" xfId="0" applyFont="1" applyFill="1" applyProtection="1">
      <protection hidden="1"/>
    </xf>
    <xf numFmtId="0" fontId="0" fillId="0" borderId="0" xfId="0" applyFont="1" applyProtection="1">
      <protection hidden="1"/>
    </xf>
    <xf numFmtId="0" fontId="0" fillId="36" borderId="11" xfId="0" applyFont="1" applyFill="1" applyBorder="1" applyAlignment="1" applyProtection="1">
      <alignment horizontal="left" wrapText="1"/>
      <protection hidden="1"/>
    </xf>
    <xf numFmtId="166" fontId="0" fillId="36" borderId="4" xfId="0" applyNumberFormat="1" applyFill="1" applyBorder="1" applyAlignment="1" applyProtection="1">
      <alignment horizontal="right"/>
      <protection hidden="1"/>
    </xf>
    <xf numFmtId="0" fontId="14" fillId="36" borderId="4" xfId="0" applyFont="1" applyFill="1" applyBorder="1" applyAlignment="1" applyProtection="1">
      <alignment horizontal="center" vertical="center"/>
      <protection hidden="1"/>
    </xf>
    <xf numFmtId="49" fontId="26" fillId="36" borderId="4" xfId="0" applyNumberFormat="1" applyFont="1" applyFill="1" applyBorder="1" applyAlignment="1" applyProtection="1">
      <alignment horizontal="center" vertical="top" wrapText="1"/>
      <protection hidden="1"/>
    </xf>
    <xf numFmtId="49" fontId="0" fillId="36" borderId="13" xfId="0" applyNumberFormat="1" applyFont="1" applyFill="1" applyBorder="1" applyAlignment="1" applyProtection="1">
      <alignment horizontal="center"/>
      <protection hidden="1"/>
    </xf>
    <xf numFmtId="0" fontId="0" fillId="36" borderId="62" xfId="0" applyFont="1" applyFill="1" applyBorder="1" applyAlignment="1" applyProtection="1">
      <alignment horizontal="center" vertical="center" wrapText="1"/>
      <protection hidden="1"/>
    </xf>
    <xf numFmtId="0" fontId="0" fillId="36" borderId="10" xfId="0" applyFont="1" applyFill="1" applyBorder="1" applyAlignment="1" applyProtection="1">
      <alignment horizontal="center"/>
      <protection hidden="1"/>
    </xf>
    <xf numFmtId="166" fontId="0" fillId="36" borderId="11" xfId="0" applyNumberFormat="1" applyFont="1" applyFill="1" applyBorder="1" applyAlignment="1" applyProtection="1">
      <alignment horizontal="left" wrapText="1"/>
      <protection hidden="1"/>
    </xf>
    <xf numFmtId="166" fontId="0" fillId="36" borderId="9" xfId="0" applyNumberFormat="1" applyFont="1" applyFill="1" applyBorder="1" applyAlignment="1" applyProtection="1">
      <alignment horizontal="left" wrapText="1"/>
      <protection hidden="1"/>
    </xf>
    <xf numFmtId="0" fontId="0" fillId="36" borderId="46" xfId="0" applyFont="1" applyFill="1" applyBorder="1" applyAlignment="1" applyProtection="1">
      <alignment horizontal="left" wrapText="1"/>
      <protection hidden="1"/>
    </xf>
    <xf numFmtId="0" fontId="0" fillId="36" borderId="52" xfId="0" applyFont="1" applyFill="1" applyBorder="1" applyAlignment="1" applyProtection="1">
      <alignment horizontal="left" wrapText="1"/>
      <protection hidden="1"/>
    </xf>
    <xf numFmtId="0" fontId="0" fillId="36" borderId="53" xfId="0" applyFont="1" applyFill="1" applyBorder="1" applyAlignment="1" applyProtection="1">
      <alignment horizontal="left" wrapText="1"/>
      <protection hidden="1"/>
    </xf>
    <xf numFmtId="166" fontId="0" fillId="36" borderId="53" xfId="0" applyNumberFormat="1" applyFont="1" applyFill="1" applyBorder="1" applyAlignment="1" applyProtection="1">
      <alignment horizontal="left" wrapText="1"/>
      <protection hidden="1"/>
    </xf>
    <xf numFmtId="166" fontId="0" fillId="36" borderId="61" xfId="0" applyNumberFormat="1" applyFont="1" applyFill="1" applyBorder="1" applyAlignment="1" applyProtection="1">
      <alignment horizontal="left" wrapText="1"/>
      <protection hidden="1"/>
    </xf>
    <xf numFmtId="0" fontId="0" fillId="0" borderId="0" xfId="0" applyAlignment="1" applyProtection="1">
      <alignment horizontal="center"/>
      <protection hidden="1"/>
    </xf>
    <xf numFmtId="166" fontId="0" fillId="0" borderId="4" xfId="0" applyNumberFormat="1" applyBorder="1" applyProtection="1">
      <protection hidden="1"/>
    </xf>
    <xf numFmtId="0" fontId="44" fillId="0" borderId="0" xfId="0" applyFont="1" applyProtection="1">
      <protection hidden="1"/>
    </xf>
    <xf numFmtId="166" fontId="0" fillId="0" borderId="0" xfId="0" applyNumberFormat="1" applyProtection="1">
      <protection hidden="1"/>
    </xf>
    <xf numFmtId="0" fontId="54" fillId="0" borderId="0" xfId="0" applyFont="1" applyProtection="1">
      <protection hidden="1"/>
    </xf>
    <xf numFmtId="0" fontId="55" fillId="14" borderId="31" xfId="0" applyFont="1" applyFill="1" applyBorder="1" applyAlignment="1" applyProtection="1">
      <alignment vertical="center" wrapText="1"/>
      <protection hidden="1"/>
    </xf>
    <xf numFmtId="0" fontId="55" fillId="14" borderId="35" xfId="0" applyFont="1" applyFill="1" applyBorder="1" applyAlignment="1" applyProtection="1">
      <alignment vertical="center" wrapText="1"/>
      <protection hidden="1"/>
    </xf>
    <xf numFmtId="0" fontId="55" fillId="14" borderId="36" xfId="0" applyFont="1" applyFill="1" applyBorder="1" applyAlignment="1" applyProtection="1">
      <alignment vertical="center" wrapText="1"/>
      <protection hidden="1"/>
    </xf>
    <xf numFmtId="0" fontId="55" fillId="14" borderId="33" xfId="0" applyFont="1" applyFill="1" applyBorder="1" applyAlignment="1" applyProtection="1">
      <alignment vertical="center" wrapText="1"/>
      <protection hidden="1"/>
    </xf>
    <xf numFmtId="0" fontId="57" fillId="14" borderId="30" xfId="0" applyFont="1" applyFill="1" applyBorder="1" applyAlignment="1" applyProtection="1">
      <alignment horizontal="center" vertical="center" wrapText="1"/>
      <protection hidden="1"/>
    </xf>
    <xf numFmtId="0" fontId="57" fillId="14" borderId="30" xfId="0" applyFont="1" applyFill="1" applyBorder="1" applyAlignment="1" applyProtection="1">
      <alignment vertical="center" wrapText="1"/>
      <protection hidden="1"/>
    </xf>
    <xf numFmtId="0" fontId="57" fillId="14" borderId="35" xfId="0" applyFont="1" applyFill="1" applyBorder="1" applyAlignment="1" applyProtection="1">
      <alignment vertical="center" wrapText="1"/>
      <protection hidden="1"/>
    </xf>
    <xf numFmtId="0" fontId="57" fillId="14" borderId="31" xfId="0" applyFont="1" applyFill="1" applyBorder="1" applyAlignment="1" applyProtection="1">
      <alignment vertical="center" wrapText="1"/>
      <protection hidden="1"/>
    </xf>
    <xf numFmtId="0" fontId="0" fillId="14" borderId="37" xfId="0" applyFill="1" applyBorder="1" applyAlignment="1" applyProtection="1">
      <alignment vertical="center" wrapText="1"/>
      <protection hidden="1"/>
    </xf>
    <xf numFmtId="0" fontId="0" fillId="14" borderId="38" xfId="0" applyFill="1" applyBorder="1" applyAlignment="1" applyProtection="1">
      <alignment vertical="center" wrapText="1"/>
      <protection hidden="1"/>
    </xf>
    <xf numFmtId="0" fontId="57" fillId="14" borderId="32" xfId="0" applyFont="1" applyFill="1" applyBorder="1" applyAlignment="1" applyProtection="1">
      <alignment horizontal="center" vertical="center" wrapText="1"/>
      <protection hidden="1"/>
    </xf>
    <xf numFmtId="0" fontId="57" fillId="14" borderId="34" xfId="0" applyFont="1" applyFill="1" applyBorder="1" applyAlignment="1" applyProtection="1">
      <alignment horizontal="center" vertical="center" wrapText="1"/>
      <protection hidden="1"/>
    </xf>
    <xf numFmtId="0" fontId="57" fillId="14" borderId="39" xfId="0" applyFont="1" applyFill="1" applyBorder="1" applyAlignment="1" applyProtection="1">
      <alignment vertical="center" wrapText="1"/>
      <protection hidden="1"/>
    </xf>
    <xf numFmtId="0" fontId="57" fillId="14" borderId="35" xfId="0" applyFont="1" applyFill="1" applyBorder="1" applyAlignment="1" applyProtection="1">
      <alignment horizontal="center" vertical="center" wrapText="1"/>
      <protection hidden="1"/>
    </xf>
    <xf numFmtId="0" fontId="57" fillId="14" borderId="36" xfId="0" applyFont="1" applyFill="1" applyBorder="1" applyAlignment="1" applyProtection="1">
      <alignment vertical="center" wrapText="1"/>
      <protection hidden="1"/>
    </xf>
    <xf numFmtId="0" fontId="57" fillId="14" borderId="31" xfId="0" applyFont="1" applyFill="1" applyBorder="1" applyAlignment="1" applyProtection="1">
      <alignment vertical="top" wrapText="1"/>
      <protection hidden="1"/>
    </xf>
    <xf numFmtId="0" fontId="0" fillId="14" borderId="31" xfId="0" applyFill="1" applyBorder="1" applyAlignment="1" applyProtection="1">
      <alignment horizontal="center" vertical="center" wrapText="1"/>
      <protection hidden="1"/>
    </xf>
    <xf numFmtId="0" fontId="57" fillId="14" borderId="32" xfId="0" applyFont="1" applyFill="1" applyBorder="1" applyAlignment="1" applyProtection="1">
      <alignment vertical="top" wrapText="1"/>
      <protection hidden="1"/>
    </xf>
    <xf numFmtId="0" fontId="57" fillId="14" borderId="33" xfId="0" applyFont="1" applyFill="1" applyBorder="1" applyAlignment="1" applyProtection="1">
      <alignment vertical="top" wrapText="1"/>
      <protection hidden="1"/>
    </xf>
    <xf numFmtId="0" fontId="57" fillId="14" borderId="33" xfId="0" applyFont="1" applyFill="1" applyBorder="1" applyAlignment="1" applyProtection="1">
      <alignment horizontal="center" vertical="center" wrapText="1"/>
      <protection hidden="1"/>
    </xf>
    <xf numFmtId="2" fontId="0" fillId="0" borderId="0" xfId="0" applyNumberFormat="1" applyAlignment="1" applyProtection="1">
      <alignment horizontal="right"/>
      <protection hidden="1"/>
    </xf>
    <xf numFmtId="0" fontId="57" fillId="14" borderId="30" xfId="0" applyFont="1" applyFill="1" applyBorder="1" applyAlignment="1" applyProtection="1">
      <alignment vertical="top" wrapText="1"/>
      <protection hidden="1"/>
    </xf>
    <xf numFmtId="0" fontId="59" fillId="14" borderId="37" xfId="0" applyFont="1" applyFill="1" applyBorder="1" applyAlignment="1" applyProtection="1">
      <alignment vertical="top" wrapText="1"/>
      <protection hidden="1"/>
    </xf>
    <xf numFmtId="0" fontId="59" fillId="14" borderId="42" xfId="0" applyFont="1" applyFill="1" applyBorder="1" applyAlignment="1" applyProtection="1">
      <alignment vertical="top" wrapText="1"/>
      <protection hidden="1"/>
    </xf>
    <xf numFmtId="0" fontId="59" fillId="14" borderId="38" xfId="0" applyFont="1" applyFill="1" applyBorder="1" applyAlignment="1" applyProtection="1">
      <alignment vertical="top" wrapText="1"/>
      <protection hidden="1"/>
    </xf>
    <xf numFmtId="0" fontId="0" fillId="14" borderId="34" xfId="0" applyFill="1" applyBorder="1" applyAlignment="1" applyProtection="1">
      <alignment vertical="top" wrapText="1"/>
      <protection hidden="1"/>
    </xf>
    <xf numFmtId="0" fontId="0" fillId="14" borderId="0" xfId="0" applyFill="1" applyBorder="1" applyAlignment="1" applyProtection="1">
      <alignment vertical="top" wrapText="1"/>
      <protection hidden="1"/>
    </xf>
    <xf numFmtId="0" fontId="0" fillId="14" borderId="39" xfId="0" applyFill="1" applyBorder="1" applyAlignment="1" applyProtection="1">
      <alignment vertical="top" wrapText="1"/>
      <protection hidden="1"/>
    </xf>
    <xf numFmtId="0" fontId="60" fillId="14" borderId="34" xfId="0" applyFont="1" applyFill="1" applyBorder="1" applyAlignment="1" applyProtection="1">
      <alignment vertical="top" wrapText="1"/>
      <protection hidden="1"/>
    </xf>
    <xf numFmtId="0" fontId="60" fillId="14" borderId="0" xfId="0" applyFont="1" applyFill="1" applyBorder="1" applyAlignment="1" applyProtection="1">
      <alignment vertical="top" wrapText="1"/>
      <protection hidden="1"/>
    </xf>
    <xf numFmtId="0" fontId="60" fillId="14" borderId="39" xfId="0" applyFont="1" applyFill="1" applyBorder="1" applyAlignment="1" applyProtection="1">
      <alignment vertical="top" wrapText="1"/>
      <protection hidden="1"/>
    </xf>
    <xf numFmtId="2" fontId="26" fillId="0" borderId="4" xfId="0" applyNumberFormat="1" applyFont="1" applyBorder="1" applyAlignment="1" applyProtection="1">
      <alignment horizontal="right" vertical="center" wrapText="1"/>
      <protection hidden="1"/>
    </xf>
    <xf numFmtId="2" fontId="0" fillId="0" borderId="4" xfId="0" applyNumberFormat="1" applyBorder="1" applyAlignment="1" applyProtection="1">
      <alignment horizontal="right" vertical="top" wrapText="1"/>
      <protection hidden="1"/>
    </xf>
    <xf numFmtId="2" fontId="26" fillId="6" borderId="4" xfId="0" applyNumberFormat="1" applyFont="1" applyFill="1" applyBorder="1" applyAlignment="1" applyProtection="1">
      <alignment horizontal="right" vertical="center" wrapText="1"/>
      <protection hidden="1"/>
    </xf>
    <xf numFmtId="2" fontId="26" fillId="0" borderId="4" xfId="0" applyNumberFormat="1" applyFont="1" applyBorder="1" applyAlignment="1" applyProtection="1">
      <alignment horizontal="right" vertical="center" wrapText="1" indent="9"/>
      <protection hidden="1"/>
    </xf>
    <xf numFmtId="2" fontId="26" fillId="0" borderId="4" xfId="0" applyNumberFormat="1" applyFont="1" applyBorder="1" applyAlignment="1" applyProtection="1">
      <alignment horizontal="right" vertical="center" wrapText="1" indent="2"/>
      <protection hidden="1"/>
    </xf>
    <xf numFmtId="2" fontId="26" fillId="0" borderId="4" xfId="0" applyNumberFormat="1" applyFont="1" applyBorder="1" applyAlignment="1" applyProtection="1">
      <alignment horizontal="right" vertical="center" wrapText="1" indent="3"/>
      <protection hidden="1"/>
    </xf>
    <xf numFmtId="2" fontId="14" fillId="0" borderId="4" xfId="0" applyNumberFormat="1" applyFont="1" applyBorder="1" applyAlignment="1" applyProtection="1">
      <alignment horizontal="right" vertical="center" wrapText="1"/>
      <protection hidden="1"/>
    </xf>
    <xf numFmtId="2" fontId="26" fillId="0" borderId="4" xfId="0" applyNumberFormat="1" applyFont="1" applyBorder="1" applyAlignment="1" applyProtection="1">
      <alignment horizontal="right" vertical="center" wrapText="1" indent="1"/>
      <protection hidden="1"/>
    </xf>
    <xf numFmtId="2" fontId="26" fillId="0" borderId="4" xfId="0" applyNumberFormat="1" applyFont="1" applyBorder="1" applyAlignment="1" applyProtection="1">
      <alignment horizontal="right" vertical="center" wrapText="1" indent="5"/>
      <protection hidden="1"/>
    </xf>
    <xf numFmtId="2" fontId="26" fillId="5" borderId="4" xfId="0" applyNumberFormat="1" applyFont="1" applyFill="1" applyBorder="1" applyAlignment="1" applyProtection="1">
      <alignment horizontal="right" vertical="center" wrapText="1"/>
      <protection hidden="1"/>
    </xf>
    <xf numFmtId="2" fontId="26" fillId="0" borderId="4" xfId="0" applyNumberFormat="1" applyFont="1" applyBorder="1" applyAlignment="1" applyProtection="1">
      <alignment horizontal="right" vertical="center" wrapText="1" indent="4"/>
      <protection hidden="1"/>
    </xf>
    <xf numFmtId="0" fontId="90" fillId="0" borderId="0" xfId="0" applyFont="1" applyProtection="1">
      <protection hidden="1"/>
    </xf>
    <xf numFmtId="0" fontId="90" fillId="0" borderId="4" xfId="0" applyFont="1" applyBorder="1" applyProtection="1">
      <protection hidden="1"/>
    </xf>
    <xf numFmtId="0" fontId="30" fillId="2" borderId="0" xfId="0" applyFont="1" applyFill="1" applyProtection="1">
      <protection locked="0" hidden="1"/>
    </xf>
    <xf numFmtId="0" fontId="0" fillId="20" borderId="0" xfId="0" applyFill="1" applyProtection="1">
      <protection locked="0" hidden="1"/>
    </xf>
    <xf numFmtId="0" fontId="73" fillId="20" borderId="0" xfId="0" applyFont="1" applyFill="1" applyProtection="1">
      <protection locked="0" hidden="1"/>
    </xf>
    <xf numFmtId="0" fontId="0" fillId="37" borderId="0" xfId="0" applyFill="1" applyProtection="1">
      <protection locked="0" hidden="1"/>
    </xf>
    <xf numFmtId="0" fontId="73" fillId="37" borderId="0" xfId="0" applyFont="1" applyFill="1" applyProtection="1">
      <protection locked="0" hidden="1"/>
    </xf>
    <xf numFmtId="0" fontId="0" fillId="29" borderId="0" xfId="0" applyFill="1" applyProtection="1">
      <protection locked="0" hidden="1"/>
    </xf>
    <xf numFmtId="0" fontId="73" fillId="29" borderId="0" xfId="0" applyFont="1" applyFill="1" applyProtection="1">
      <protection locked="0" hidden="1"/>
    </xf>
    <xf numFmtId="0" fontId="0" fillId="25" borderId="0" xfId="0" applyFill="1" applyProtection="1">
      <protection locked="0" hidden="1"/>
    </xf>
    <xf numFmtId="0" fontId="73" fillId="25" borderId="0" xfId="0" applyFont="1" applyFill="1" applyProtection="1">
      <protection locked="0" hidden="1"/>
    </xf>
    <xf numFmtId="0" fontId="0" fillId="6" borderId="0" xfId="0" applyFill="1" applyProtection="1">
      <protection locked="0" hidden="1"/>
    </xf>
    <xf numFmtId="0" fontId="73" fillId="6" borderId="0" xfId="0" applyFont="1" applyFill="1" applyProtection="1">
      <protection locked="0" hidden="1"/>
    </xf>
    <xf numFmtId="0" fontId="74" fillId="29" borderId="0" xfId="0" applyFont="1" applyFill="1" applyProtection="1">
      <protection locked="0" hidden="1"/>
    </xf>
    <xf numFmtId="0" fontId="0" fillId="24" borderId="0" xfId="0" applyFill="1" applyAlignment="1" applyProtection="1">
      <alignment vertical="center"/>
      <protection hidden="1"/>
    </xf>
    <xf numFmtId="0" fontId="7" fillId="0" borderId="0" xfId="0" applyFont="1" applyAlignment="1" applyProtection="1">
      <alignment horizontal="center" wrapText="1"/>
      <protection hidden="1"/>
    </xf>
    <xf numFmtId="0" fontId="7" fillId="0" borderId="0" xfId="0" applyFont="1" applyFill="1" applyBorder="1" applyAlignment="1" applyProtection="1">
      <alignment horizontal="center" wrapText="1"/>
      <protection hidden="1"/>
    </xf>
    <xf numFmtId="0" fontId="0" fillId="0" borderId="0" xfId="0" applyFill="1" applyAlignment="1" applyProtection="1">
      <alignment horizontal="center" vertical="center" wrapText="1"/>
      <protection hidden="1"/>
    </xf>
    <xf numFmtId="0" fontId="0" fillId="0" borderId="0" xfId="0" applyFill="1" applyAlignment="1" applyProtection="1">
      <alignment vertical="center" wrapText="1"/>
      <protection hidden="1"/>
    </xf>
    <xf numFmtId="0" fontId="73" fillId="20" borderId="0" xfId="0" applyFont="1" applyFill="1" applyProtection="1">
      <protection hidden="1"/>
    </xf>
    <xf numFmtId="0" fontId="0" fillId="38" borderId="4" xfId="0" applyFill="1" applyBorder="1" applyAlignment="1" applyProtection="1">
      <alignment wrapText="1"/>
      <protection hidden="1"/>
    </xf>
    <xf numFmtId="0" fontId="0" fillId="38" borderId="4" xfId="0" applyFill="1" applyBorder="1" applyProtection="1">
      <protection hidden="1"/>
    </xf>
    <xf numFmtId="0" fontId="51" fillId="29" borderId="0" xfId="0" applyFont="1" applyFill="1" applyProtection="1">
      <protection hidden="1"/>
    </xf>
    <xf numFmtId="0" fontId="0" fillId="24" borderId="0" xfId="0" applyFill="1" applyProtection="1">
      <protection hidden="1"/>
    </xf>
    <xf numFmtId="0" fontId="52" fillId="24" borderId="0" xfId="0" applyFont="1" applyFill="1" applyProtection="1">
      <protection hidden="1"/>
    </xf>
    <xf numFmtId="0" fontId="70" fillId="29" borderId="0" xfId="0" applyFont="1" applyFill="1" applyProtection="1">
      <protection hidden="1"/>
    </xf>
    <xf numFmtId="0" fontId="7" fillId="38" borderId="4" xfId="0" applyFont="1" applyFill="1" applyBorder="1" applyProtection="1">
      <protection hidden="1"/>
    </xf>
    <xf numFmtId="9" fontId="7" fillId="38" borderId="4" xfId="0" applyNumberFormat="1" applyFont="1" applyFill="1" applyBorder="1" applyProtection="1">
      <protection hidden="1"/>
    </xf>
    <xf numFmtId="9" fontId="7" fillId="41" borderId="4" xfId="0" applyNumberFormat="1" applyFont="1" applyFill="1" applyBorder="1" applyProtection="1">
      <protection hidden="1"/>
    </xf>
    <xf numFmtId="0" fontId="0" fillId="37" borderId="0" xfId="0" applyFill="1" applyProtection="1">
      <protection hidden="1"/>
    </xf>
    <xf numFmtId="1" fontId="0" fillId="39" borderId="4" xfId="0" applyNumberFormat="1" applyFill="1" applyBorder="1" applyProtection="1">
      <protection hidden="1"/>
    </xf>
    <xf numFmtId="9" fontId="0" fillId="39" borderId="4" xfId="1" applyFont="1" applyFill="1" applyBorder="1" applyProtection="1">
      <protection hidden="1"/>
    </xf>
    <xf numFmtId="9" fontId="0" fillId="39" borderId="4" xfId="0" applyNumberFormat="1" applyFill="1" applyBorder="1" applyProtection="1">
      <protection hidden="1"/>
    </xf>
    <xf numFmtId="0" fontId="0" fillId="39" borderId="4" xfId="0" applyFill="1" applyBorder="1" applyProtection="1">
      <protection hidden="1"/>
    </xf>
    <xf numFmtId="9" fontId="0" fillId="39" borderId="4" xfId="1" applyNumberFormat="1" applyFont="1" applyFill="1" applyBorder="1" applyProtection="1">
      <protection hidden="1"/>
    </xf>
    <xf numFmtId="0" fontId="0" fillId="29" borderId="0" xfId="0" applyFill="1" applyProtection="1">
      <protection hidden="1"/>
    </xf>
    <xf numFmtId="0" fontId="12" fillId="0" borderId="4" xfId="0" applyFont="1" applyBorder="1" applyProtection="1">
      <protection hidden="1"/>
    </xf>
    <xf numFmtId="0" fontId="0" fillId="24" borderId="4" xfId="0" applyFill="1" applyBorder="1" applyProtection="1">
      <protection hidden="1"/>
    </xf>
    <xf numFmtId="0" fontId="0" fillId="21" borderId="4" xfId="0" applyFill="1" applyBorder="1" applyAlignment="1" applyProtection="1">
      <alignment wrapText="1"/>
      <protection hidden="1"/>
    </xf>
    <xf numFmtId="1" fontId="0" fillId="38" borderId="4" xfId="0" applyNumberFormat="1" applyFill="1" applyBorder="1" applyProtection="1">
      <protection hidden="1"/>
    </xf>
    <xf numFmtId="0" fontId="0" fillId="13" borderId="4" xfId="0" applyFill="1" applyBorder="1" applyAlignment="1" applyProtection="1">
      <alignment horizontal="right" wrapText="1"/>
      <protection hidden="1"/>
    </xf>
    <xf numFmtId="9" fontId="0" fillId="38" borderId="4" xfId="1" applyFont="1" applyFill="1" applyBorder="1" applyProtection="1">
      <protection hidden="1"/>
    </xf>
    <xf numFmtId="9" fontId="0" fillId="38" borderId="4" xfId="0" applyNumberFormat="1" applyFill="1" applyBorder="1" applyProtection="1">
      <protection hidden="1"/>
    </xf>
    <xf numFmtId="9" fontId="0" fillId="38" borderId="4" xfId="1" applyNumberFormat="1" applyFont="1" applyFill="1" applyBorder="1" applyProtection="1">
      <protection hidden="1"/>
    </xf>
    <xf numFmtId="0" fontId="31" fillId="36" borderId="11" xfId="0" applyFont="1" applyFill="1" applyBorder="1" applyAlignment="1" applyProtection="1">
      <alignment horizontal="center" vertical="center" wrapText="1"/>
      <protection hidden="1"/>
    </xf>
    <xf numFmtId="0" fontId="29" fillId="20" borderId="0" xfId="0" applyFont="1" applyFill="1" applyProtection="1">
      <protection hidden="1"/>
    </xf>
    <xf numFmtId="0" fontId="0" fillId="21" borderId="4" xfId="0" applyFill="1" applyBorder="1" applyAlignment="1" applyProtection="1">
      <alignment vertical="center" wrapText="1"/>
      <protection hidden="1"/>
    </xf>
    <xf numFmtId="169" fontId="0" fillId="38" borderId="4" xfId="1" applyNumberFormat="1" applyFont="1" applyFill="1" applyBorder="1" applyProtection="1">
      <protection hidden="1"/>
    </xf>
    <xf numFmtId="0" fontId="0" fillId="13" borderId="4" xfId="0" applyFill="1" applyBorder="1" applyAlignment="1" applyProtection="1">
      <alignment horizontal="right" vertical="center" wrapText="1"/>
      <protection hidden="1"/>
    </xf>
    <xf numFmtId="0" fontId="0" fillId="26" borderId="4" xfId="0" applyFill="1" applyBorder="1" applyAlignment="1" applyProtection="1">
      <alignment horizontal="center" vertical="center" wrapText="1"/>
      <protection hidden="1"/>
    </xf>
    <xf numFmtId="0" fontId="31" fillId="36" borderId="4" xfId="0" applyFont="1" applyFill="1" applyBorder="1" applyAlignment="1" applyProtection="1">
      <alignment vertical="top" wrapText="1"/>
      <protection hidden="1"/>
    </xf>
    <xf numFmtId="49" fontId="31" fillId="36" borderId="4" xfId="0" applyNumberFormat="1" applyFont="1" applyFill="1" applyBorder="1" applyAlignment="1" applyProtection="1">
      <alignment horizontal="center" vertical="center" wrapText="1"/>
      <protection hidden="1"/>
    </xf>
    <xf numFmtId="0" fontId="51" fillId="25" borderId="4" xfId="0" applyFont="1" applyFill="1" applyBorder="1" applyProtection="1">
      <protection hidden="1"/>
    </xf>
    <xf numFmtId="0" fontId="0" fillId="25" borderId="4" xfId="0" applyFill="1" applyBorder="1" applyProtection="1">
      <protection hidden="1"/>
    </xf>
    <xf numFmtId="0" fontId="7" fillId="25" borderId="4" xfId="0" applyFont="1" applyFill="1" applyBorder="1" applyAlignment="1" applyProtection="1">
      <alignment wrapText="1"/>
      <protection hidden="1"/>
    </xf>
    <xf numFmtId="1" fontId="0" fillId="40" borderId="4" xfId="0" applyNumberFormat="1" applyFill="1" applyBorder="1" applyProtection="1">
      <protection hidden="1"/>
    </xf>
    <xf numFmtId="9" fontId="0" fillId="40" borderId="4" xfId="1" applyFont="1" applyFill="1" applyBorder="1" applyProtection="1">
      <protection hidden="1"/>
    </xf>
    <xf numFmtId="0" fontId="0" fillId="40" borderId="4" xfId="0" applyFill="1" applyBorder="1" applyProtection="1">
      <protection hidden="1"/>
    </xf>
    <xf numFmtId="0" fontId="0" fillId="25" borderId="0" xfId="0" applyFill="1" applyProtection="1">
      <protection hidden="1"/>
    </xf>
    <xf numFmtId="0" fontId="0" fillId="9" borderId="0" xfId="0" applyFill="1" applyProtection="1">
      <protection hidden="1"/>
    </xf>
    <xf numFmtId="0" fontId="0" fillId="0" borderId="4" xfId="0" applyFill="1" applyBorder="1" applyAlignment="1" applyProtection="1">
      <alignment vertical="center" wrapText="1"/>
      <protection hidden="1"/>
    </xf>
    <xf numFmtId="0" fontId="0" fillId="0" borderId="4" xfId="0" applyFill="1" applyBorder="1" applyAlignment="1" applyProtection="1">
      <alignment wrapText="1"/>
      <protection hidden="1"/>
    </xf>
    <xf numFmtId="0" fontId="31" fillId="36" borderId="4" xfId="0" applyFont="1" applyFill="1" applyBorder="1" applyAlignment="1" applyProtection="1">
      <alignment horizontal="left" vertical="center" wrapText="1"/>
      <protection hidden="1"/>
    </xf>
    <xf numFmtId="0" fontId="31" fillId="36" borderId="4" xfId="0" applyFont="1" applyFill="1" applyBorder="1" applyAlignment="1" applyProtection="1">
      <alignment horizontal="center" vertical="center" wrapText="1"/>
      <protection hidden="1"/>
    </xf>
    <xf numFmtId="0" fontId="0" fillId="0" borderId="4" xfId="0" applyFill="1" applyBorder="1" applyAlignment="1" applyProtection="1">
      <alignment horizontal="left" vertical="center" wrapText="1"/>
      <protection hidden="1"/>
    </xf>
    <xf numFmtId="0" fontId="12" fillId="25" borderId="4" xfId="0" applyFont="1" applyFill="1" applyBorder="1" applyProtection="1">
      <protection hidden="1"/>
    </xf>
    <xf numFmtId="0" fontId="29" fillId="25" borderId="0" xfId="0" applyFont="1" applyFill="1" applyProtection="1">
      <protection hidden="1"/>
    </xf>
    <xf numFmtId="9" fontId="0" fillId="40" borderId="4" xfId="0" applyNumberFormat="1" applyFill="1" applyBorder="1" applyProtection="1">
      <protection hidden="1"/>
    </xf>
    <xf numFmtId="0" fontId="67" fillId="0" borderId="4" xfId="0" applyFont="1" applyBorder="1" applyAlignment="1" applyProtection="1">
      <alignment vertical="top" wrapText="1"/>
      <protection hidden="1"/>
    </xf>
    <xf numFmtId="1" fontId="0" fillId="38" borderId="4" xfId="1" applyNumberFormat="1" applyFont="1" applyFill="1" applyBorder="1" applyProtection="1">
      <protection hidden="1"/>
    </xf>
    <xf numFmtId="0" fontId="0" fillId="0" borderId="4" xfId="0" applyFont="1" applyBorder="1" applyAlignment="1" applyProtection="1">
      <alignment vertical="center" wrapText="1"/>
      <protection hidden="1"/>
    </xf>
    <xf numFmtId="0" fontId="31" fillId="36" borderId="4" xfId="0" applyFont="1" applyFill="1" applyBorder="1" applyAlignment="1" applyProtection="1">
      <alignment horizontal="left" vertical="top" wrapText="1"/>
      <protection hidden="1"/>
    </xf>
    <xf numFmtId="0" fontId="12" fillId="0" borderId="0" xfId="0" applyFont="1" applyBorder="1" applyProtection="1">
      <protection hidden="1"/>
    </xf>
    <xf numFmtId="0" fontId="0" fillId="0" borderId="0" xfId="0" applyFill="1" applyBorder="1" applyAlignment="1" applyProtection="1">
      <alignment vertical="center" wrapText="1"/>
      <protection hidden="1"/>
    </xf>
    <xf numFmtId="0" fontId="12" fillId="2" borderId="4" xfId="0" applyFont="1" applyFill="1" applyBorder="1" applyProtection="1">
      <protection hidden="1"/>
    </xf>
    <xf numFmtId="0" fontId="0" fillId="25" borderId="4" xfId="0" applyFill="1" applyBorder="1" applyAlignment="1" applyProtection="1">
      <alignment wrapText="1"/>
      <protection hidden="1"/>
    </xf>
    <xf numFmtId="0" fontId="9" fillId="21" borderId="4" xfId="0" applyFont="1" applyFill="1" applyBorder="1" applyAlignment="1" applyProtection="1">
      <alignment horizontal="center" vertical="top" wrapText="1"/>
      <protection hidden="1"/>
    </xf>
    <xf numFmtId="0" fontId="31" fillId="36" borderId="8" xfId="0" applyFont="1" applyFill="1" applyBorder="1" applyAlignment="1" applyProtection="1">
      <alignment vertical="center" wrapText="1"/>
      <protection hidden="1"/>
    </xf>
    <xf numFmtId="0" fontId="0" fillId="21" borderId="4" xfId="0" applyFont="1" applyFill="1" applyBorder="1" applyAlignment="1" applyProtection="1">
      <alignment vertical="center" wrapText="1"/>
      <protection hidden="1"/>
    </xf>
    <xf numFmtId="0" fontId="0" fillId="21" borderId="4" xfId="0" applyFill="1" applyBorder="1" applyAlignment="1" applyProtection="1">
      <alignment vertical="top" wrapText="1"/>
      <protection hidden="1"/>
    </xf>
    <xf numFmtId="0" fontId="51" fillId="6" borderId="0" xfId="0" applyFont="1" applyFill="1" applyProtection="1">
      <protection hidden="1"/>
    </xf>
    <xf numFmtId="0" fontId="0" fillId="6" borderId="0" xfId="0" applyFill="1" applyProtection="1">
      <protection hidden="1"/>
    </xf>
    <xf numFmtId="0" fontId="70" fillId="6" borderId="0" xfId="0" applyFont="1" applyFill="1" applyProtection="1">
      <protection hidden="1"/>
    </xf>
    <xf numFmtId="1" fontId="0" fillId="41" borderId="4" xfId="0" applyNumberFormat="1" applyFill="1" applyBorder="1" applyProtection="1">
      <protection hidden="1"/>
    </xf>
    <xf numFmtId="2" fontId="0" fillId="41" borderId="4" xfId="1" applyNumberFormat="1" applyFont="1" applyFill="1" applyBorder="1" applyProtection="1">
      <protection hidden="1"/>
    </xf>
    <xf numFmtId="0" fontId="0" fillId="41" borderId="4" xfId="0" applyFill="1" applyBorder="1" applyProtection="1">
      <protection hidden="1"/>
    </xf>
    <xf numFmtId="9" fontId="0" fillId="41" borderId="4" xfId="1" applyFont="1" applyFill="1" applyBorder="1" applyProtection="1">
      <protection hidden="1"/>
    </xf>
    <xf numFmtId="0" fontId="31" fillId="36" borderId="7" xfId="0" applyFont="1" applyFill="1" applyBorder="1" applyAlignment="1" applyProtection="1">
      <alignment vertical="center" wrapText="1"/>
      <protection hidden="1"/>
    </xf>
    <xf numFmtId="9" fontId="0" fillId="41" borderId="4" xfId="0" applyNumberFormat="1" applyFill="1" applyBorder="1" applyProtection="1">
      <protection hidden="1"/>
    </xf>
    <xf numFmtId="169" fontId="0" fillId="38" borderId="4" xfId="0" applyNumberFormat="1" applyFill="1" applyBorder="1" applyProtection="1">
      <protection hidden="1"/>
    </xf>
    <xf numFmtId="0" fontId="87" fillId="20" borderId="0" xfId="0" applyFont="1" applyFill="1" applyAlignment="1" applyProtection="1">
      <alignment horizontal="center" vertical="center" wrapText="1"/>
      <protection hidden="1"/>
    </xf>
    <xf numFmtId="0" fontId="7" fillId="34" borderId="0" xfId="0" applyFont="1" applyFill="1" applyBorder="1" applyAlignment="1" applyProtection="1">
      <alignment horizontal="left" vertical="top" wrapText="1"/>
      <protection hidden="1"/>
    </xf>
    <xf numFmtId="0" fontId="0" fillId="34" borderId="0" xfId="0" applyFill="1" applyBorder="1" applyAlignment="1" applyProtection="1">
      <alignment horizontal="left" vertical="top" wrapText="1"/>
      <protection hidden="1"/>
    </xf>
    <xf numFmtId="0" fontId="7" fillId="34" borderId="47" xfId="0" applyFont="1" applyFill="1" applyBorder="1" applyAlignment="1" applyProtection="1">
      <alignment horizontal="left" vertical="top" wrapText="1"/>
      <protection hidden="1"/>
    </xf>
    <xf numFmtId="0" fontId="7" fillId="34" borderId="48" xfId="0" applyFont="1" applyFill="1" applyBorder="1" applyAlignment="1" applyProtection="1">
      <alignment horizontal="center" vertical="center" wrapText="1"/>
      <protection hidden="1"/>
    </xf>
    <xf numFmtId="0" fontId="29" fillId="20" borderId="13" xfId="0" applyFont="1" applyFill="1" applyBorder="1" applyProtection="1">
      <protection hidden="1"/>
    </xf>
    <xf numFmtId="0" fontId="29" fillId="20" borderId="81" xfId="0" applyFont="1" applyFill="1" applyBorder="1" applyProtection="1">
      <protection hidden="1"/>
    </xf>
    <xf numFmtId="0" fontId="29" fillId="20" borderId="1" xfId="0" applyFont="1" applyFill="1" applyBorder="1" applyProtection="1">
      <protection hidden="1"/>
    </xf>
    <xf numFmtId="0" fontId="29" fillId="20" borderId="76" xfId="0" applyFont="1" applyFill="1" applyBorder="1" applyProtection="1">
      <protection hidden="1"/>
    </xf>
    <xf numFmtId="0" fontId="73" fillId="0" borderId="0" xfId="0" applyFont="1" applyProtection="1">
      <protection hidden="1"/>
    </xf>
    <xf numFmtId="165" fontId="0" fillId="0" borderId="93" xfId="0" applyNumberFormat="1" applyBorder="1" applyProtection="1">
      <protection hidden="1"/>
    </xf>
    <xf numFmtId="0" fontId="7" fillId="34" borderId="48" xfId="0" applyFont="1" applyFill="1" applyBorder="1" applyAlignment="1" applyProtection="1">
      <alignment horizontal="center" vertical="top" wrapText="1"/>
      <protection hidden="1"/>
    </xf>
    <xf numFmtId="0" fontId="30" fillId="16" borderId="0" xfId="0" applyFont="1" applyFill="1" applyProtection="1">
      <protection hidden="1"/>
    </xf>
    <xf numFmtId="10" fontId="30" fillId="16" borderId="0" xfId="1" applyNumberFormat="1" applyFont="1" applyFill="1" applyProtection="1">
      <protection hidden="1"/>
    </xf>
    <xf numFmtId="9" fontId="30" fillId="16" borderId="0" xfId="1" applyFont="1" applyFill="1" applyProtection="1">
      <protection hidden="1"/>
    </xf>
    <xf numFmtId="1" fontId="0" fillId="0" borderId="0" xfId="0" applyNumberFormat="1" applyFill="1" applyBorder="1" applyAlignment="1" applyProtection="1">
      <alignment vertical="center" wrapText="1"/>
      <protection locked="0" hidden="1"/>
    </xf>
    <xf numFmtId="0" fontId="29" fillId="36" borderId="4" xfId="0" applyFont="1" applyFill="1" applyBorder="1" applyProtection="1">
      <protection locked="0" hidden="1"/>
    </xf>
    <xf numFmtId="0" fontId="29" fillId="36" borderId="4" xfId="0" applyFont="1" applyFill="1" applyBorder="1" applyAlignment="1" applyProtection="1">
      <alignment horizontal="center" vertical="center"/>
      <protection locked="0" hidden="1"/>
    </xf>
    <xf numFmtId="1" fontId="29" fillId="36" borderId="4" xfId="0" applyNumberFormat="1" applyFont="1" applyFill="1" applyBorder="1" applyAlignment="1" applyProtection="1">
      <alignment horizontal="center" vertical="center"/>
      <protection locked="0" hidden="1"/>
    </xf>
    <xf numFmtId="0" fontId="0" fillId="29" borderId="4" xfId="0" applyFill="1" applyBorder="1" applyAlignment="1" applyProtection="1">
      <alignment horizontal="center" vertical="center"/>
      <protection locked="0" hidden="1"/>
    </xf>
    <xf numFmtId="0" fontId="69" fillId="0" borderId="4" xfId="0" applyFont="1" applyFill="1" applyBorder="1" applyAlignment="1" applyProtection="1">
      <alignment horizontal="center" vertical="center" wrapText="1"/>
      <protection locked="0" hidden="1"/>
    </xf>
    <xf numFmtId="0" fontId="0" fillId="13" borderId="4" xfId="0" applyFill="1" applyBorder="1" applyAlignment="1" applyProtection="1">
      <alignment horizontal="right" wrapText="1"/>
      <protection locked="0" hidden="1"/>
    </xf>
    <xf numFmtId="0" fontId="0" fillId="13" borderId="4" xfId="0" applyFill="1" applyBorder="1" applyAlignment="1" applyProtection="1">
      <alignment horizontal="right" vertical="center" wrapText="1"/>
      <protection locked="0" hidden="1"/>
    </xf>
    <xf numFmtId="0" fontId="9" fillId="21" borderId="4" xfId="0" applyFont="1" applyFill="1" applyBorder="1" applyAlignment="1" applyProtection="1">
      <alignment vertical="center" wrapText="1"/>
      <protection locked="0" hidden="1"/>
    </xf>
    <xf numFmtId="0" fontId="29" fillId="36" borderId="11" xfId="0" applyFont="1" applyFill="1" applyBorder="1" applyAlignment="1" applyProtection="1">
      <alignment horizontal="center"/>
      <protection locked="0" hidden="1"/>
    </xf>
    <xf numFmtId="0" fontId="0" fillId="21" borderId="4" xfId="0" applyFill="1" applyBorder="1" applyAlignment="1" applyProtection="1">
      <alignment wrapText="1"/>
      <protection locked="0" hidden="1"/>
    </xf>
    <xf numFmtId="0" fontId="110" fillId="20" borderId="0" xfId="0" applyFont="1" applyFill="1"/>
    <xf numFmtId="0" fontId="0" fillId="21" borderId="4" xfId="0" applyFill="1" applyBorder="1" applyAlignment="1">
      <alignment horizontal="right" vertical="center"/>
    </xf>
    <xf numFmtId="0" fontId="0" fillId="21" borderId="4" xfId="0" applyFont="1" applyFill="1" applyBorder="1" applyAlignment="1">
      <alignment horizontal="right" vertical="center" wrapText="1"/>
    </xf>
    <xf numFmtId="0" fontId="0" fillId="21" borderId="4" xfId="0" applyFont="1" applyFill="1" applyBorder="1" applyAlignment="1">
      <alignment horizontal="right" vertical="center"/>
    </xf>
    <xf numFmtId="0" fontId="29" fillId="21" borderId="4" xfId="0" applyFont="1" applyFill="1" applyBorder="1" applyAlignment="1">
      <alignment horizontal="right" vertical="center" wrapText="1"/>
    </xf>
    <xf numFmtId="0" fontId="29" fillId="21" borderId="4" xfId="0" applyFont="1" applyFill="1" applyBorder="1" applyAlignment="1">
      <alignment horizontal="right" indent="1"/>
    </xf>
    <xf numFmtId="0" fontId="7" fillId="13" borderId="8" xfId="0" applyFont="1" applyFill="1" applyBorder="1" applyAlignment="1" applyProtection="1">
      <alignment horizontal="center" vertical="center" wrapText="1"/>
      <protection locked="0"/>
    </xf>
    <xf numFmtId="0" fontId="0" fillId="13" borderId="8" xfId="0" applyFont="1" applyFill="1" applyBorder="1" applyAlignment="1">
      <alignment horizontal="center" vertical="center"/>
    </xf>
    <xf numFmtId="0" fontId="0" fillId="20" borderId="0" xfId="0" applyFont="1" applyFill="1" applyAlignment="1">
      <alignment horizontal="center" vertical="center"/>
    </xf>
    <xf numFmtId="0" fontId="7" fillId="20" borderId="0" xfId="0" applyFont="1" applyFill="1" applyAlignment="1">
      <alignment horizontal="center" vertical="center"/>
    </xf>
    <xf numFmtId="0" fontId="29" fillId="21" borderId="4" xfId="0" applyFont="1" applyFill="1" applyBorder="1" applyAlignment="1">
      <alignment horizontal="right" vertical="center"/>
    </xf>
    <xf numFmtId="1" fontId="0" fillId="13" borderId="8" xfId="0" applyNumberFormat="1" applyFill="1" applyBorder="1" applyAlignment="1" applyProtection="1">
      <alignment horizontal="center"/>
      <protection locked="0"/>
    </xf>
    <xf numFmtId="1" fontId="0" fillId="5" borderId="8" xfId="0" applyNumberFormat="1" applyFill="1" applyBorder="1" applyAlignment="1">
      <alignment horizontal="center" vertical="center"/>
    </xf>
    <xf numFmtId="0" fontId="29" fillId="21" borderId="5" xfId="0" applyFont="1" applyFill="1" applyBorder="1" applyAlignment="1">
      <alignment horizontal="right" vertical="center"/>
    </xf>
    <xf numFmtId="0" fontId="120" fillId="0" borderId="4" xfId="0" applyFont="1" applyBorder="1" applyAlignment="1" applyProtection="1">
      <alignment horizontal="center" vertical="center" wrapText="1"/>
      <protection locked="0"/>
    </xf>
    <xf numFmtId="1" fontId="120" fillId="0" borderId="4" xfId="0" applyNumberFormat="1" applyFont="1" applyBorder="1" applyAlignment="1" applyProtection="1">
      <alignment horizontal="center" vertical="center" wrapText="1"/>
      <protection locked="0"/>
    </xf>
    <xf numFmtId="0" fontId="120" fillId="0" borderId="4" xfId="0" applyFont="1" applyBorder="1" applyAlignment="1" applyProtection="1">
      <alignment horizontal="center" vertical="center"/>
      <protection locked="0"/>
    </xf>
    <xf numFmtId="165" fontId="0" fillId="5" borderId="11" xfId="0" applyNumberFormat="1" applyFill="1" applyBorder="1" applyAlignment="1">
      <alignment horizontal="center" vertical="center"/>
    </xf>
    <xf numFmtId="165" fontId="120" fillId="0" borderId="4" xfId="0" applyNumberFormat="1" applyFont="1" applyBorder="1" applyAlignment="1" applyProtection="1">
      <alignment horizontal="center" vertical="center" wrapText="1"/>
      <protection locked="0"/>
    </xf>
    <xf numFmtId="165" fontId="120" fillId="0" borderId="4" xfId="0" applyNumberFormat="1" applyFont="1" applyBorder="1" applyAlignment="1" applyProtection="1">
      <alignment horizontal="center" vertical="center"/>
      <protection locked="0"/>
    </xf>
    <xf numFmtId="165" fontId="118" fillId="0" borderId="5" xfId="0" applyNumberFormat="1" applyFont="1" applyBorder="1" applyAlignment="1" applyProtection="1">
      <alignment horizontal="center" vertical="center"/>
      <protection locked="0"/>
    </xf>
    <xf numFmtId="165" fontId="118" fillId="0" borderId="4" xfId="0" applyNumberFormat="1" applyFont="1" applyBorder="1" applyAlignment="1" applyProtection="1">
      <alignment horizontal="center" vertical="center" wrapText="1"/>
      <protection locked="0"/>
    </xf>
    <xf numFmtId="0" fontId="123" fillId="20" borderId="0" xfId="0" applyFont="1" applyFill="1"/>
    <xf numFmtId="165" fontId="123" fillId="20" borderId="0" xfId="0" applyNumberFormat="1" applyFont="1" applyFill="1"/>
    <xf numFmtId="1" fontId="123" fillId="20" borderId="0" xfId="0" applyNumberFormat="1" applyFont="1" applyFill="1"/>
    <xf numFmtId="2" fontId="123" fillId="20" borderId="0" xfId="0" applyNumberFormat="1" applyFont="1" applyFill="1"/>
    <xf numFmtId="0" fontId="0" fillId="20" borderId="0" xfId="0" applyFont="1" applyFill="1"/>
    <xf numFmtId="0" fontId="66" fillId="21" borderId="4" xfId="0" applyFont="1" applyFill="1" applyBorder="1" applyAlignment="1">
      <alignment horizontal="left" vertical="top" wrapText="1"/>
    </xf>
    <xf numFmtId="0" fontId="66" fillId="21" borderId="4" xfId="0" applyFont="1" applyFill="1" applyBorder="1" applyAlignment="1">
      <alignment vertical="center" wrapText="1"/>
    </xf>
    <xf numFmtId="0" fontId="0" fillId="21" borderId="4" xfId="0" applyFill="1" applyBorder="1" applyAlignment="1">
      <alignment horizontal="right"/>
    </xf>
    <xf numFmtId="0" fontId="29" fillId="13" borderId="4" xfId="0" applyFont="1" applyFill="1" applyBorder="1" applyAlignment="1" applyProtection="1">
      <alignment horizontal="center" vertical="center"/>
      <protection locked="0"/>
    </xf>
    <xf numFmtId="0" fontId="51" fillId="13" borderId="0" xfId="0" applyFont="1" applyFill="1" applyAlignment="1">
      <alignment horizontal="center" wrapText="1"/>
    </xf>
    <xf numFmtId="0" fontId="0" fillId="21" borderId="4" xfId="0" applyFont="1" applyFill="1" applyBorder="1" applyAlignment="1">
      <alignment horizontal="left" vertical="center" wrapText="1"/>
    </xf>
    <xf numFmtId="49" fontId="0" fillId="21" borderId="4" xfId="0" applyNumberFormat="1" applyFont="1" applyFill="1" applyBorder="1" applyAlignment="1">
      <alignment horizontal="right" vertical="center" wrapText="1"/>
    </xf>
    <xf numFmtId="0" fontId="113" fillId="20" borderId="0" xfId="0" applyFont="1" applyFill="1" applyBorder="1" applyAlignment="1">
      <alignment horizontal="center" vertical="center"/>
    </xf>
    <xf numFmtId="0" fontId="0" fillId="20" borderId="0" xfId="0" applyFont="1" applyFill="1" applyBorder="1" applyAlignment="1">
      <alignment horizontal="center"/>
    </xf>
    <xf numFmtId="0" fontId="30" fillId="2" borderId="0" xfId="0" applyFont="1" applyFill="1" applyBorder="1" applyAlignment="1" applyProtection="1">
      <alignment vertical="top"/>
      <protection hidden="1"/>
    </xf>
    <xf numFmtId="0" fontId="0" fillId="20" borderId="9" xfId="0" applyFont="1" applyFill="1" applyBorder="1" applyAlignment="1">
      <alignment horizontal="center" vertical="center"/>
    </xf>
    <xf numFmtId="0" fontId="7" fillId="20" borderId="0" xfId="0" applyFont="1" applyFill="1" applyAlignment="1">
      <alignment horizontal="center"/>
    </xf>
    <xf numFmtId="0" fontId="27" fillId="13" borderId="0" xfId="0" applyFont="1" applyFill="1" applyBorder="1" applyAlignment="1">
      <alignment horizontal="left" vertical="center" wrapText="1" indent="1"/>
    </xf>
    <xf numFmtId="0" fontId="84" fillId="21" borderId="29" xfId="10" applyFill="1" applyBorder="1"/>
    <xf numFmtId="0" fontId="84" fillId="21" borderId="6" xfId="10" quotePrefix="1" applyFill="1" applyBorder="1" applyAlignment="1">
      <alignment vertical="center" wrapText="1"/>
    </xf>
    <xf numFmtId="0" fontId="0" fillId="5" borderId="4" xfId="0" applyFill="1" applyBorder="1" applyAlignment="1">
      <alignment horizontal="center"/>
    </xf>
    <xf numFmtId="0" fontId="127" fillId="20" borderId="0" xfId="0" applyFont="1" applyFill="1" applyAlignment="1">
      <alignment horizontal="right" indent="1"/>
    </xf>
    <xf numFmtId="0" fontId="0" fillId="21" borderId="4" xfId="0" applyFill="1" applyBorder="1" applyAlignment="1">
      <alignment horizontal="right" vertical="center" wrapText="1"/>
    </xf>
    <xf numFmtId="0" fontId="113" fillId="20" borderId="13" xfId="0" applyFont="1" applyFill="1" applyBorder="1" applyAlignment="1">
      <alignment horizontal="center" vertical="center"/>
    </xf>
    <xf numFmtId="0" fontId="0" fillId="13" borderId="4" xfId="0" applyNumberFormat="1" applyFont="1" applyFill="1" applyBorder="1" applyAlignment="1" applyProtection="1">
      <alignment horizontal="center" vertical="center" wrapText="1"/>
      <protection locked="0"/>
    </xf>
    <xf numFmtId="0" fontId="0" fillId="13" borderId="4" xfId="0" applyFill="1" applyBorder="1" applyAlignment="1" applyProtection="1">
      <alignment horizontal="center" vertical="center" wrapText="1"/>
      <protection locked="0"/>
    </xf>
    <xf numFmtId="0" fontId="7" fillId="21" borderId="4" xfId="0" applyFont="1" applyFill="1" applyBorder="1" applyAlignment="1">
      <alignment horizontal="center" vertical="center" wrapText="1"/>
    </xf>
    <xf numFmtId="0" fontId="0" fillId="45" borderId="0" xfId="0" applyFill="1"/>
    <xf numFmtId="49" fontId="30" fillId="21" borderId="4" xfId="0" applyNumberFormat="1" applyFont="1" applyFill="1" applyBorder="1" applyAlignment="1">
      <alignment horizontal="left" vertical="center" wrapText="1"/>
    </xf>
    <xf numFmtId="0" fontId="0" fillId="21" borderId="4" xfId="0" applyFill="1" applyBorder="1" applyAlignment="1">
      <alignment horizontal="right" vertical="center" wrapText="1" indent="1"/>
    </xf>
    <xf numFmtId="0" fontId="0" fillId="21" borderId="104" xfId="0" applyFill="1" applyBorder="1" applyAlignment="1">
      <alignment horizontal="right" vertical="center"/>
    </xf>
    <xf numFmtId="0" fontId="0" fillId="21" borderId="108" xfId="0" applyFill="1" applyBorder="1" applyAlignment="1">
      <alignment horizontal="right" vertical="center"/>
    </xf>
    <xf numFmtId="49" fontId="0" fillId="21" borderId="100" xfId="0" applyNumberFormat="1" applyFill="1" applyBorder="1" applyAlignment="1">
      <alignment horizontal="right" vertical="center" wrapText="1"/>
    </xf>
    <xf numFmtId="0" fontId="0" fillId="21" borderId="104" xfId="0" applyFill="1" applyBorder="1" applyAlignment="1">
      <alignment horizontal="right" vertical="center" wrapText="1" indent="1"/>
    </xf>
    <xf numFmtId="0" fontId="0" fillId="13" borderId="100" xfId="0" applyFill="1" applyBorder="1" applyAlignment="1" applyProtection="1">
      <alignment horizontal="center" vertical="center"/>
      <protection locked="0"/>
    </xf>
    <xf numFmtId="0" fontId="0" fillId="13" borderId="104" xfId="0" applyFill="1" applyBorder="1" applyAlignment="1" applyProtection="1">
      <alignment horizontal="center" vertical="center"/>
      <protection locked="0"/>
    </xf>
    <xf numFmtId="0" fontId="0" fillId="13" borderId="108" xfId="0" applyFill="1" applyBorder="1" applyAlignment="1" applyProtection="1">
      <alignment horizontal="center" vertical="center"/>
      <protection locked="0"/>
    </xf>
    <xf numFmtId="0" fontId="0" fillId="45" borderId="1" xfId="0" applyFill="1" applyBorder="1"/>
    <xf numFmtId="0" fontId="61" fillId="21" borderId="4" xfId="0" applyFont="1" applyFill="1" applyBorder="1" applyAlignment="1">
      <alignment horizontal="right" vertical="center" wrapText="1"/>
    </xf>
    <xf numFmtId="0" fontId="0" fillId="21" borderId="11" xfId="0" applyFont="1" applyFill="1" applyBorder="1" applyAlignment="1">
      <alignment horizontal="center" vertical="center" wrapText="1"/>
    </xf>
    <xf numFmtId="0" fontId="0" fillId="21" borderId="4" xfId="0" applyFill="1" applyBorder="1" applyAlignment="1">
      <alignment horizontal="right" wrapText="1"/>
    </xf>
    <xf numFmtId="0" fontId="0" fillId="21" borderId="4" xfId="0" applyFill="1" applyBorder="1" applyAlignment="1">
      <alignment horizontal="right" indent="2"/>
    </xf>
    <xf numFmtId="0" fontId="0" fillId="21" borderId="4" xfId="0" applyFill="1" applyBorder="1" applyAlignment="1">
      <alignment horizontal="right" vertical="top" wrapText="1" indent="2"/>
    </xf>
    <xf numFmtId="0" fontId="117" fillId="21" borderId="4" xfId="0" applyFont="1" applyFill="1" applyBorder="1" applyAlignment="1">
      <alignment horizontal="center" vertical="center" wrapText="1"/>
    </xf>
    <xf numFmtId="0" fontId="7" fillId="21" borderId="4" xfId="0" applyFont="1" applyFill="1" applyBorder="1" applyAlignment="1">
      <alignment horizontal="right" indent="1"/>
    </xf>
    <xf numFmtId="0" fontId="0" fillId="21" borderId="100" xfId="0" applyFill="1" applyBorder="1" applyAlignment="1">
      <alignment horizontal="right" indent="1"/>
    </xf>
    <xf numFmtId="0" fontId="0" fillId="21" borderId="104" xfId="0" applyFill="1" applyBorder="1" applyAlignment="1">
      <alignment horizontal="right" indent="1"/>
    </xf>
    <xf numFmtId="0" fontId="0" fillId="21" borderId="108" xfId="0" applyFill="1" applyBorder="1" applyAlignment="1">
      <alignment horizontal="right" indent="1"/>
    </xf>
    <xf numFmtId="0" fontId="0" fillId="21" borderId="109" xfId="0" applyFill="1" applyBorder="1" applyAlignment="1">
      <alignment horizontal="right" indent="1"/>
    </xf>
    <xf numFmtId="0" fontId="117" fillId="21" borderId="11" xfId="0" applyFont="1" applyFill="1" applyBorder="1" applyAlignment="1">
      <alignment horizontal="center" vertical="center" wrapText="1"/>
    </xf>
    <xf numFmtId="0" fontId="117" fillId="0" borderId="11" xfId="0" applyFont="1" applyBorder="1" applyAlignment="1">
      <alignment horizontal="center" vertical="center" wrapText="1"/>
    </xf>
    <xf numFmtId="0" fontId="30" fillId="0" borderId="11" xfId="0" applyFont="1" applyBorder="1" applyAlignment="1">
      <alignment horizontal="center" vertical="center" wrapText="1"/>
    </xf>
    <xf numFmtId="0" fontId="30" fillId="0" borderId="4" xfId="0" applyFont="1" applyBorder="1" applyAlignment="1">
      <alignment horizontal="center" vertical="center" wrapText="1"/>
    </xf>
    <xf numFmtId="0" fontId="85" fillId="20" borderId="0" xfId="0" applyFont="1" applyFill="1" applyAlignment="1">
      <alignment horizontal="center" vertical="center" wrapText="1"/>
    </xf>
    <xf numFmtId="0" fontId="131" fillId="20" borderId="0" xfId="0" applyFont="1" applyFill="1"/>
    <xf numFmtId="0" fontId="30" fillId="36" borderId="4" xfId="0" applyFont="1" applyFill="1" applyBorder="1" applyAlignment="1" applyProtection="1">
      <alignment horizontal="center" vertical="center"/>
    </xf>
    <xf numFmtId="0" fontId="0" fillId="21" borderId="100" xfId="0" applyFill="1" applyBorder="1" applyAlignment="1" applyProtection="1">
      <alignment horizontal="right" indent="1"/>
    </xf>
    <xf numFmtId="0" fontId="0" fillId="21" borderId="104" xfId="0" applyFill="1" applyBorder="1" applyAlignment="1" applyProtection="1">
      <alignment horizontal="right" indent="1"/>
    </xf>
    <xf numFmtId="0" fontId="0" fillId="21" borderId="108" xfId="0" applyFill="1" applyBorder="1" applyAlignment="1" applyProtection="1">
      <alignment horizontal="right" indent="1"/>
    </xf>
    <xf numFmtId="0" fontId="7" fillId="21" borderId="4" xfId="0" applyFont="1" applyFill="1" applyBorder="1" applyAlignment="1" applyProtection="1">
      <alignment horizontal="right" indent="1"/>
    </xf>
    <xf numFmtId="0" fontId="117" fillId="21" borderId="11" xfId="0" applyFont="1" applyFill="1" applyBorder="1" applyAlignment="1">
      <alignment horizontal="center" vertical="center"/>
    </xf>
    <xf numFmtId="0" fontId="0" fillId="21" borderId="5" xfId="0" applyFill="1" applyBorder="1" applyAlignment="1">
      <alignment horizontal="center" vertical="center"/>
    </xf>
    <xf numFmtId="172" fontId="0" fillId="13" borderId="4" xfId="0" applyNumberFormat="1" applyFill="1" applyBorder="1" applyAlignment="1" applyProtection="1">
      <alignment horizontal="center" vertical="center"/>
      <protection locked="0"/>
    </xf>
    <xf numFmtId="0" fontId="83" fillId="21" borderId="4" xfId="0" applyFont="1" applyFill="1" applyBorder="1"/>
    <xf numFmtId="0" fontId="117" fillId="21" borderId="4" xfId="0" applyFont="1" applyFill="1" applyBorder="1" applyAlignment="1">
      <alignment horizontal="center" vertical="center"/>
    </xf>
    <xf numFmtId="14" fontId="0" fillId="13" borderId="4" xfId="0" applyNumberFormat="1" applyFill="1" applyBorder="1" applyAlignment="1" applyProtection="1">
      <alignment horizontal="right" vertical="center"/>
      <protection locked="0"/>
    </xf>
    <xf numFmtId="0" fontId="84" fillId="2" borderId="111" xfId="10" quotePrefix="1" applyFill="1" applyBorder="1" applyAlignment="1" applyProtection="1">
      <alignment horizontal="center" vertical="center" wrapText="1"/>
      <protection locked="0"/>
    </xf>
    <xf numFmtId="0" fontId="112" fillId="2" borderId="0" xfId="10" applyFont="1" applyFill="1" applyBorder="1" applyAlignment="1" applyProtection="1">
      <alignment vertical="top"/>
      <protection locked="0" hidden="1"/>
    </xf>
    <xf numFmtId="0" fontId="112" fillId="2" borderId="0" xfId="10" applyFont="1" applyFill="1" applyBorder="1" applyAlignment="1" applyProtection="1">
      <alignment horizontal="right" vertical="top"/>
      <protection locked="0" hidden="1"/>
    </xf>
    <xf numFmtId="0" fontId="0" fillId="20" borderId="0" xfId="0" applyFont="1" applyFill="1" applyAlignment="1" applyProtection="1">
      <alignment horizontal="center" vertical="center"/>
    </xf>
    <xf numFmtId="0" fontId="30" fillId="29" borderId="0" xfId="0" applyFont="1" applyFill="1" applyAlignment="1" applyProtection="1">
      <alignment horizontal="center" vertical="center" wrapText="1"/>
      <protection hidden="1"/>
    </xf>
    <xf numFmtId="0" fontId="35" fillId="29" borderId="0" xfId="0" applyFont="1" applyFill="1" applyAlignment="1" applyProtection="1">
      <alignment horizontal="center" vertical="center" wrapText="1"/>
      <protection hidden="1"/>
    </xf>
    <xf numFmtId="0" fontId="30" fillId="29" borderId="0" xfId="0" applyFont="1" applyFill="1" applyBorder="1" applyAlignment="1" applyProtection="1">
      <alignment horizontal="center" vertical="center" wrapText="1"/>
      <protection hidden="1"/>
    </xf>
    <xf numFmtId="0" fontId="0" fillId="29" borderId="0" xfId="0" applyFont="1" applyFill="1" applyAlignment="1" applyProtection="1">
      <alignment horizontal="center" vertical="center" textRotation="90" wrapText="1"/>
      <protection hidden="1"/>
    </xf>
    <xf numFmtId="0" fontId="70" fillId="29" borderId="4" xfId="0" applyFont="1" applyFill="1" applyBorder="1" applyAlignment="1" applyProtection="1">
      <alignment horizontal="center" vertical="center"/>
      <protection hidden="1"/>
    </xf>
    <xf numFmtId="0" fontId="0" fillId="20" borderId="4" xfId="0" applyFill="1" applyBorder="1" applyAlignment="1" applyProtection="1">
      <alignment horizontal="center" vertical="center"/>
      <protection locked="0" hidden="1"/>
    </xf>
    <xf numFmtId="1" fontId="0" fillId="29" borderId="4" xfId="0" applyNumberFormat="1" applyFill="1" applyBorder="1" applyAlignment="1" applyProtection="1">
      <alignment horizontal="center" vertical="center"/>
      <protection locked="0" hidden="1"/>
    </xf>
    <xf numFmtId="0" fontId="31" fillId="36" borderId="8" xfId="0" applyFont="1" applyFill="1" applyBorder="1" applyAlignment="1" applyProtection="1">
      <alignment horizontal="left" vertical="center" wrapText="1"/>
      <protection hidden="1"/>
    </xf>
    <xf numFmtId="0" fontId="0" fillId="6" borderId="0" xfId="0" applyFill="1" applyAlignment="1" applyProtection="1">
      <alignment horizontal="center" vertical="center" textRotation="90" wrapText="1"/>
      <protection hidden="1"/>
    </xf>
    <xf numFmtId="0" fontId="0" fillId="21" borderId="4" xfId="0" applyFill="1" applyBorder="1" applyAlignment="1" applyProtection="1">
      <alignment horizontal="center" vertical="center" wrapText="1"/>
      <protection locked="0" hidden="1"/>
    </xf>
    <xf numFmtId="0" fontId="52" fillId="6" borderId="0" xfId="0" applyFont="1" applyFill="1" applyProtection="1">
      <protection hidden="1"/>
    </xf>
    <xf numFmtId="0" fontId="70" fillId="29" borderId="0" xfId="0" applyFont="1" applyFill="1" applyAlignment="1" applyProtection="1">
      <alignment horizontal="center" vertical="center"/>
      <protection hidden="1"/>
    </xf>
    <xf numFmtId="0" fontId="0" fillId="20" borderId="56" xfId="0" applyFont="1" applyFill="1" applyBorder="1" applyProtection="1">
      <protection hidden="1"/>
    </xf>
    <xf numFmtId="0" fontId="0" fillId="20" borderId="5" xfId="0" applyFont="1" applyFill="1" applyBorder="1" applyAlignment="1" applyProtection="1">
      <alignment horizontal="center"/>
      <protection hidden="1"/>
    </xf>
    <xf numFmtId="0" fontId="0" fillId="20" borderId="9" xfId="0" applyFont="1" applyFill="1" applyBorder="1" applyProtection="1">
      <protection hidden="1"/>
    </xf>
    <xf numFmtId="0" fontId="0" fillId="20" borderId="13" xfId="0" applyFont="1" applyFill="1" applyBorder="1" applyProtection="1">
      <protection hidden="1"/>
    </xf>
    <xf numFmtId="0" fontId="0" fillId="20" borderId="3" xfId="0" applyFont="1" applyFill="1" applyBorder="1" applyProtection="1">
      <protection hidden="1"/>
    </xf>
    <xf numFmtId="0" fontId="0" fillId="20" borderId="1" xfId="0" applyFont="1" applyFill="1" applyBorder="1" applyProtection="1">
      <protection hidden="1"/>
    </xf>
    <xf numFmtId="0" fontId="0" fillId="20" borderId="56" xfId="0" applyFont="1" applyFill="1" applyBorder="1" applyAlignment="1" applyProtection="1">
      <alignment vertical="center"/>
      <protection hidden="1"/>
    </xf>
    <xf numFmtId="0" fontId="0" fillId="20" borderId="50" xfId="0" applyFont="1" applyFill="1" applyBorder="1" applyProtection="1">
      <protection hidden="1"/>
    </xf>
    <xf numFmtId="0" fontId="0" fillId="20" borderId="4" xfId="0" applyFont="1" applyFill="1" applyBorder="1" applyAlignment="1" applyProtection="1">
      <alignment horizontal="center" vertical="center"/>
      <protection hidden="1"/>
    </xf>
    <xf numFmtId="0" fontId="0" fillId="20" borderId="50" xfId="0" applyFont="1" applyFill="1" applyBorder="1" applyAlignment="1" applyProtection="1">
      <alignment vertical="center"/>
      <protection hidden="1"/>
    </xf>
    <xf numFmtId="0" fontId="0" fillId="20" borderId="56" xfId="0" applyFont="1" applyFill="1" applyBorder="1" applyAlignment="1" applyProtection="1">
      <alignment wrapText="1"/>
      <protection hidden="1"/>
    </xf>
    <xf numFmtId="0" fontId="0" fillId="20" borderId="5" xfId="0" applyFont="1" applyFill="1" applyBorder="1" applyAlignment="1" applyProtection="1">
      <alignment horizontal="center" vertical="center"/>
      <protection hidden="1"/>
    </xf>
    <xf numFmtId="3" fontId="30" fillId="36" borderId="4" xfId="0" applyNumberFormat="1" applyFont="1" applyFill="1" applyBorder="1" applyProtection="1">
      <protection hidden="1"/>
    </xf>
    <xf numFmtId="3" fontId="30" fillId="26" borderId="4" xfId="0" applyNumberFormat="1" applyFont="1" applyFill="1" applyBorder="1" applyProtection="1">
      <protection locked="0" hidden="1"/>
    </xf>
    <xf numFmtId="0" fontId="30" fillId="0" borderId="4" xfId="0" applyFont="1" applyFill="1" applyBorder="1" applyAlignment="1" applyProtection="1">
      <alignment horizontal="center" vertical="center"/>
      <protection hidden="1"/>
    </xf>
    <xf numFmtId="0" fontId="30" fillId="0" borderId="4" xfId="0" applyFont="1" applyFill="1" applyBorder="1" applyAlignment="1" applyProtection="1">
      <alignment horizontal="left" indent="1"/>
      <protection hidden="1"/>
    </xf>
    <xf numFmtId="0" fontId="30" fillId="0" borderId="4" xfId="0" applyFont="1" applyFill="1" applyBorder="1" applyAlignment="1" applyProtection="1">
      <alignment horizontal="left" indent="2"/>
      <protection hidden="1"/>
    </xf>
    <xf numFmtId="3" fontId="30" fillId="36" borderId="4" xfId="0" applyNumberFormat="1" applyFont="1" applyFill="1" applyBorder="1" applyAlignment="1" applyProtection="1">
      <alignment vertical="center"/>
      <protection hidden="1"/>
    </xf>
    <xf numFmtId="1" fontId="30" fillId="36" borderId="4" xfId="0" applyNumberFormat="1" applyFont="1" applyFill="1" applyBorder="1" applyAlignment="1" applyProtection="1">
      <alignment vertical="center"/>
      <protection hidden="1"/>
    </xf>
    <xf numFmtId="14" fontId="0" fillId="0" borderId="0" xfId="0" applyNumberFormat="1" applyProtection="1">
      <protection hidden="1"/>
    </xf>
    <xf numFmtId="0" fontId="0" fillId="21" borderId="4" xfId="0" applyFont="1" applyFill="1" applyBorder="1" applyAlignment="1" applyProtection="1">
      <alignment horizontal="right" vertical="center" wrapText="1"/>
    </xf>
    <xf numFmtId="0" fontId="139" fillId="36" borderId="4" xfId="0" applyFont="1" applyFill="1" applyBorder="1" applyAlignment="1" applyProtection="1">
      <alignment horizontal="center" vertical="center" wrapText="1"/>
    </xf>
    <xf numFmtId="0" fontId="61" fillId="21" borderId="4" xfId="0" applyFont="1" applyFill="1" applyBorder="1" applyAlignment="1" applyProtection="1">
      <alignment horizontal="right" vertical="center" wrapText="1" indent="2"/>
    </xf>
    <xf numFmtId="0" fontId="0" fillId="20" borderId="0" xfId="0" applyFill="1" applyProtection="1"/>
    <xf numFmtId="0" fontId="140" fillId="36" borderId="4" xfId="0" applyFont="1" applyFill="1" applyBorder="1" applyAlignment="1" applyProtection="1">
      <alignment horizontal="right" vertical="center"/>
    </xf>
    <xf numFmtId="14" fontId="141" fillId="13" borderId="4" xfId="0" applyNumberFormat="1" applyFont="1" applyFill="1" applyBorder="1" applyAlignment="1" applyProtection="1">
      <alignment horizontal="center" vertical="center"/>
      <protection locked="0"/>
    </xf>
    <xf numFmtId="1" fontId="141" fillId="13" borderId="4" xfId="0" applyNumberFormat="1" applyFont="1" applyFill="1" applyBorder="1" applyAlignment="1" applyProtection="1">
      <alignment horizontal="center" vertical="center"/>
      <protection locked="0"/>
    </xf>
    <xf numFmtId="0" fontId="12" fillId="20" borderId="0" xfId="0" applyFont="1" applyFill="1" applyAlignment="1">
      <alignment horizontal="left" vertical="center"/>
    </xf>
    <xf numFmtId="14" fontId="0" fillId="20" borderId="0" xfId="0" applyNumberFormat="1" applyFill="1"/>
    <xf numFmtId="0" fontId="139" fillId="36" borderId="4" xfId="0" applyFont="1" applyFill="1" applyBorder="1" applyAlignment="1" applyProtection="1">
      <alignment horizontal="right" vertical="center"/>
    </xf>
    <xf numFmtId="0" fontId="29" fillId="36" borderId="4" xfId="0" applyFont="1" applyFill="1" applyBorder="1" applyAlignment="1" applyProtection="1">
      <alignment horizontal="center" vertical="center"/>
      <protection locked="0" hidden="1"/>
    </xf>
    <xf numFmtId="0" fontId="112" fillId="2" borderId="0" xfId="10" applyFont="1" applyFill="1" applyAlignment="1" applyProtection="1">
      <alignment horizontal="right" vertical="center"/>
      <protection locked="0" hidden="1"/>
    </xf>
    <xf numFmtId="0" fontId="112" fillId="2" borderId="0" xfId="10" applyFont="1" applyFill="1" applyAlignment="1" applyProtection="1">
      <alignment horizontal="right" vertical="center"/>
      <protection locked="0" hidden="1"/>
    </xf>
    <xf numFmtId="1" fontId="0" fillId="20" borderId="3" xfId="0" applyNumberFormat="1" applyFont="1" applyFill="1" applyBorder="1" applyAlignment="1" applyProtection="1">
      <alignment horizontal="right" vertical="center"/>
      <protection hidden="1"/>
    </xf>
    <xf numFmtId="3" fontId="0" fillId="20" borderId="8" xfId="0" applyNumberFormat="1" applyFont="1" applyFill="1" applyBorder="1" applyAlignment="1" applyProtection="1">
      <alignment horizontal="right" vertical="center"/>
      <protection hidden="1"/>
    </xf>
    <xf numFmtId="1" fontId="0" fillId="20" borderId="4" xfId="0" applyNumberFormat="1" applyFont="1" applyFill="1" applyBorder="1" applyAlignment="1" applyProtection="1">
      <alignment horizontal="right" vertical="center"/>
      <protection hidden="1"/>
    </xf>
    <xf numFmtId="1" fontId="0" fillId="20" borderId="8" xfId="0" applyNumberFormat="1" applyFont="1" applyFill="1" applyBorder="1" applyAlignment="1" applyProtection="1">
      <alignment horizontal="right" vertical="center"/>
      <protection hidden="1"/>
    </xf>
    <xf numFmtId="3" fontId="0" fillId="20" borderId="4" xfId="0" applyNumberFormat="1" applyFont="1" applyFill="1" applyBorder="1" applyAlignment="1" applyProtection="1">
      <alignment horizontal="right"/>
      <protection hidden="1"/>
    </xf>
    <xf numFmtId="3" fontId="0" fillId="20" borderId="5" xfId="0" applyNumberFormat="1" applyFont="1" applyFill="1" applyBorder="1" applyAlignment="1" applyProtection="1">
      <alignment horizontal="right"/>
      <protection hidden="1"/>
    </xf>
    <xf numFmtId="169" fontId="7" fillId="20" borderId="5" xfId="1" applyNumberFormat="1" applyFont="1" applyFill="1" applyBorder="1" applyAlignment="1" applyProtection="1">
      <alignment horizontal="right"/>
      <protection hidden="1"/>
    </xf>
    <xf numFmtId="2" fontId="0" fillId="20" borderId="5" xfId="0" applyNumberFormat="1" applyFont="1" applyFill="1" applyBorder="1" applyAlignment="1" applyProtection="1">
      <alignment horizontal="right"/>
      <protection hidden="1"/>
    </xf>
    <xf numFmtId="0" fontId="0" fillId="42" borderId="4" xfId="0" applyFont="1" applyFill="1" applyBorder="1" applyAlignment="1" applyProtection="1">
      <alignment horizontal="center" vertical="center" textRotation="90" wrapText="1"/>
      <protection hidden="1"/>
    </xf>
    <xf numFmtId="0" fontId="0" fillId="29" borderId="4" xfId="0" applyFill="1" applyBorder="1" applyAlignment="1" applyProtection="1">
      <alignment horizontal="center" vertical="center"/>
      <protection locked="0" hidden="1"/>
    </xf>
    <xf numFmtId="3" fontId="7" fillId="5" borderId="8" xfId="0" applyNumberFormat="1" applyFont="1" applyFill="1" applyBorder="1" applyAlignment="1" applyProtection="1">
      <alignment horizontal="right" vertical="center"/>
      <protection locked="0"/>
    </xf>
    <xf numFmtId="3" fontId="7" fillId="5" borderId="4" xfId="0" applyNumberFormat="1" applyFont="1" applyFill="1" applyBorder="1" applyAlignment="1" applyProtection="1">
      <alignment horizontal="right" vertical="center"/>
      <protection locked="0"/>
    </xf>
    <xf numFmtId="165" fontId="70" fillId="13" borderId="4" xfId="0" applyNumberFormat="1" applyFont="1" applyFill="1" applyBorder="1" applyProtection="1">
      <protection locked="0"/>
    </xf>
    <xf numFmtId="0" fontId="144" fillId="20" borderId="0" xfId="0" applyFont="1" applyFill="1"/>
    <xf numFmtId="0" fontId="12" fillId="20" borderId="0" xfId="0" applyFont="1" applyFill="1" applyAlignment="1" applyProtection="1">
      <alignment wrapText="1"/>
      <protection hidden="1"/>
    </xf>
    <xf numFmtId="0" fontId="0" fillId="20" borderId="0" xfId="0" applyFont="1" applyFill="1" applyAlignment="1" applyProtection="1">
      <alignment horizontal="center" vertical="center"/>
      <protection hidden="1"/>
    </xf>
    <xf numFmtId="0" fontId="84" fillId="20" borderId="0" xfId="10" applyFill="1" applyProtection="1">
      <protection hidden="1"/>
    </xf>
    <xf numFmtId="0" fontId="88" fillId="20" borderId="0" xfId="0" applyFont="1" applyFill="1" applyAlignment="1" applyProtection="1">
      <alignment wrapText="1"/>
      <protection hidden="1"/>
    </xf>
    <xf numFmtId="0" fontId="75" fillId="0" borderId="10" xfId="0" applyFont="1" applyFill="1" applyBorder="1" applyAlignment="1" applyProtection="1">
      <alignment horizontal="center" vertical="center" wrapText="1"/>
      <protection hidden="1"/>
    </xf>
    <xf numFmtId="0" fontId="75" fillId="0" borderId="0" xfId="0" applyFont="1" applyFill="1" applyAlignment="1" applyProtection="1">
      <alignment horizontal="center" vertical="center" wrapText="1"/>
      <protection hidden="1"/>
    </xf>
    <xf numFmtId="1" fontId="93" fillId="20" borderId="0" xfId="0" applyNumberFormat="1" applyFont="1" applyFill="1" applyAlignment="1" applyProtection="1">
      <alignment horizontal="center"/>
      <protection hidden="1"/>
    </xf>
    <xf numFmtId="0" fontId="30" fillId="0" borderId="4" xfId="0" applyFont="1" applyBorder="1" applyAlignment="1" applyProtection="1">
      <alignment horizontal="center" vertical="center" wrapText="1"/>
      <protection hidden="1"/>
    </xf>
    <xf numFmtId="2" fontId="94" fillId="36" borderId="4" xfId="0" applyNumberFormat="1" applyFont="1" applyFill="1" applyBorder="1" applyProtection="1">
      <protection hidden="1"/>
    </xf>
    <xf numFmtId="0" fontId="94" fillId="36" borderId="4" xfId="0" applyFont="1" applyFill="1" applyBorder="1" applyAlignment="1" applyProtection="1">
      <alignment vertical="center"/>
      <protection hidden="1"/>
    </xf>
    <xf numFmtId="2" fontId="94" fillId="0" borderId="4" xfId="0" applyNumberFormat="1" applyFont="1" applyFill="1" applyBorder="1" applyProtection="1">
      <protection hidden="1"/>
    </xf>
    <xf numFmtId="0" fontId="85" fillId="20" borderId="0" xfId="0" applyFont="1" applyFill="1" applyAlignment="1" applyProtection="1">
      <alignment horizontal="center" vertical="center" wrapText="1"/>
      <protection hidden="1"/>
    </xf>
    <xf numFmtId="0" fontId="0" fillId="29" borderId="100" xfId="0" applyFill="1" applyBorder="1" applyProtection="1">
      <protection hidden="1"/>
    </xf>
    <xf numFmtId="0" fontId="0" fillId="29" borderId="104" xfId="0" applyFill="1" applyBorder="1" applyProtection="1">
      <protection hidden="1"/>
    </xf>
    <xf numFmtId="0" fontId="0" fillId="29" borderId="108" xfId="0" applyFill="1" applyBorder="1" applyProtection="1">
      <protection hidden="1"/>
    </xf>
    <xf numFmtId="0" fontId="7" fillId="29" borderId="4" xfId="0" applyFont="1" applyFill="1" applyBorder="1" applyProtection="1">
      <protection hidden="1"/>
    </xf>
    <xf numFmtId="166" fontId="0" fillId="29" borderId="100" xfId="0" applyNumberFormat="1" applyFill="1" applyBorder="1" applyAlignment="1" applyProtection="1">
      <alignment horizontal="center" vertical="center"/>
      <protection hidden="1"/>
    </xf>
    <xf numFmtId="165" fontId="0" fillId="29" borderId="100" xfId="0" applyNumberFormat="1" applyFill="1" applyBorder="1" applyProtection="1">
      <protection hidden="1"/>
    </xf>
    <xf numFmtId="166" fontId="0" fillId="29" borderId="104" xfId="0" applyNumberFormat="1" applyFill="1" applyBorder="1" applyAlignment="1" applyProtection="1">
      <alignment horizontal="center" vertical="center"/>
      <protection hidden="1"/>
    </xf>
    <xf numFmtId="165" fontId="0" fillId="29" borderId="104" xfId="0" applyNumberFormat="1" applyFill="1" applyBorder="1" applyProtection="1">
      <protection hidden="1"/>
    </xf>
    <xf numFmtId="166" fontId="0" fillId="29" borderId="108" xfId="0" applyNumberFormat="1" applyFill="1" applyBorder="1" applyAlignment="1" applyProtection="1">
      <alignment horizontal="center" vertical="center"/>
      <protection hidden="1"/>
    </xf>
    <xf numFmtId="165" fontId="0" fillId="29" borderId="108" xfId="0" applyNumberFormat="1" applyFill="1" applyBorder="1" applyProtection="1">
      <protection hidden="1"/>
    </xf>
    <xf numFmtId="0" fontId="0" fillId="29" borderId="4" xfId="0" applyFill="1" applyBorder="1" applyProtection="1">
      <protection hidden="1"/>
    </xf>
    <xf numFmtId="166" fontId="0" fillId="29" borderId="4" xfId="0" applyNumberFormat="1" applyFill="1" applyBorder="1" applyAlignment="1" applyProtection="1">
      <alignment horizontal="center" vertical="center"/>
      <protection hidden="1"/>
    </xf>
    <xf numFmtId="166" fontId="7" fillId="29" borderId="4" xfId="0" applyNumberFormat="1" applyFont="1" applyFill="1" applyBorder="1" applyProtection="1">
      <protection hidden="1"/>
    </xf>
    <xf numFmtId="0" fontId="0" fillId="36" borderId="0" xfId="0" applyFill="1" applyAlignment="1" applyProtection="1">
      <alignment wrapText="1"/>
      <protection hidden="1"/>
    </xf>
    <xf numFmtId="0" fontId="12" fillId="21" borderId="4" xfId="0" applyFont="1" applyFill="1" applyBorder="1" applyAlignment="1" applyProtection="1">
      <alignment vertical="center" wrapText="1"/>
      <protection hidden="1"/>
    </xf>
    <xf numFmtId="0" fontId="126" fillId="21" borderId="4" xfId="0" applyFont="1" applyFill="1" applyBorder="1" applyAlignment="1" applyProtection="1">
      <alignment vertical="center"/>
      <protection hidden="1"/>
    </xf>
    <xf numFmtId="0" fontId="128" fillId="12" borderId="4" xfId="0" applyFont="1" applyFill="1" applyBorder="1" applyAlignment="1" applyProtection="1">
      <alignment horizontal="center"/>
      <protection hidden="1"/>
    </xf>
    <xf numFmtId="0" fontId="134" fillId="0" borderId="11" xfId="0" applyFont="1" applyBorder="1" applyAlignment="1" applyProtection="1">
      <alignment vertical="center" wrapText="1"/>
      <protection hidden="1"/>
    </xf>
    <xf numFmtId="0" fontId="134" fillId="0" borderId="4" xfId="0" applyFont="1" applyBorder="1" applyAlignment="1" applyProtection="1">
      <alignment vertical="center" wrapText="1"/>
      <protection hidden="1"/>
    </xf>
    <xf numFmtId="0" fontId="94" fillId="20" borderId="0" xfId="0" applyFont="1" applyFill="1" applyProtection="1">
      <protection hidden="1"/>
    </xf>
    <xf numFmtId="0" fontId="135" fillId="36" borderId="4" xfId="0" applyFont="1" applyFill="1" applyBorder="1" applyAlignment="1" applyProtection="1">
      <alignment horizontal="center" vertical="center" wrapText="1"/>
      <protection hidden="1"/>
    </xf>
    <xf numFmtId="0" fontId="136" fillId="36" borderId="4" xfId="0" applyFont="1" applyFill="1" applyBorder="1" applyAlignment="1" applyProtection="1">
      <alignment horizontal="center" vertical="center" wrapText="1"/>
      <protection hidden="1"/>
    </xf>
    <xf numFmtId="2" fontId="136" fillId="36" borderId="4" xfId="0" applyNumberFormat="1" applyFont="1" applyFill="1" applyBorder="1" applyAlignment="1" applyProtection="1">
      <alignment horizontal="center" vertical="center" wrapText="1"/>
      <protection hidden="1"/>
    </xf>
    <xf numFmtId="0" fontId="96" fillId="36" borderId="7" xfId="0" applyFont="1" applyFill="1" applyBorder="1" applyAlignment="1" applyProtection="1">
      <alignment vertical="center"/>
      <protection hidden="1"/>
    </xf>
    <xf numFmtId="0" fontId="96" fillId="20" borderId="0" xfId="0" applyFont="1" applyFill="1" applyProtection="1">
      <protection hidden="1"/>
    </xf>
    <xf numFmtId="1" fontId="135" fillId="0" borderId="4" xfId="0" applyNumberFormat="1" applyFont="1" applyBorder="1" applyAlignment="1" applyProtection="1">
      <alignment horizontal="center" vertical="center" wrapText="1"/>
      <protection hidden="1"/>
    </xf>
    <xf numFmtId="165" fontId="135" fillId="0" borderId="4" xfId="0" applyNumberFormat="1" applyFont="1" applyBorder="1" applyAlignment="1" applyProtection="1">
      <alignment horizontal="center" vertical="center" wrapText="1"/>
      <protection hidden="1"/>
    </xf>
    <xf numFmtId="0" fontId="0" fillId="20" borderId="0" xfId="0" applyFont="1" applyFill="1" applyBorder="1" applyAlignment="1" applyProtection="1">
      <alignment horizontal="center"/>
      <protection hidden="1"/>
    </xf>
    <xf numFmtId="0" fontId="0" fillId="20" borderId="0" xfId="0" applyFont="1" applyFill="1" applyAlignment="1" applyProtection="1">
      <alignment horizontal="center"/>
      <protection hidden="1"/>
    </xf>
    <xf numFmtId="171" fontId="130" fillId="45" borderId="112" xfId="0" applyNumberFormat="1" applyFont="1" applyFill="1" applyBorder="1" applyAlignment="1" applyProtection="1">
      <alignment horizontal="center" vertical="center"/>
      <protection hidden="1"/>
    </xf>
    <xf numFmtId="0" fontId="127" fillId="20" borderId="0" xfId="0" applyFont="1" applyFill="1" applyAlignment="1" applyProtection="1">
      <alignment horizontal="center" vertical="center"/>
      <protection hidden="1"/>
    </xf>
    <xf numFmtId="0" fontId="84" fillId="20" borderId="0" xfId="10" quotePrefix="1" applyFont="1" applyFill="1" applyAlignment="1" applyProtection="1">
      <alignment horizontal="center" vertical="center"/>
      <protection hidden="1"/>
    </xf>
    <xf numFmtId="0" fontId="131" fillId="20" borderId="0" xfId="0" applyFont="1" applyFill="1" applyAlignment="1" applyProtection="1">
      <alignment horizontal="center"/>
      <protection hidden="1"/>
    </xf>
    <xf numFmtId="0" fontId="0" fillId="0" borderId="0" xfId="0" applyFont="1" applyAlignment="1" applyProtection="1">
      <alignment horizontal="center"/>
      <protection hidden="1"/>
    </xf>
    <xf numFmtId="0" fontId="0" fillId="21" borderId="4" xfId="0" applyFill="1" applyBorder="1" applyAlignment="1" applyProtection="1">
      <alignment horizontal="left" vertical="center"/>
      <protection hidden="1"/>
    </xf>
    <xf numFmtId="0" fontId="0" fillId="21" borderId="4" xfId="0" applyFill="1" applyBorder="1" applyAlignment="1" applyProtection="1">
      <alignment horizontal="left" vertical="center" wrapText="1"/>
      <protection hidden="1"/>
    </xf>
    <xf numFmtId="0" fontId="12" fillId="21" borderId="4" xfId="0" applyFont="1" applyFill="1" applyBorder="1" applyAlignment="1" applyProtection="1">
      <alignment horizontal="left" vertical="center" wrapText="1"/>
      <protection hidden="1"/>
    </xf>
    <xf numFmtId="0" fontId="0" fillId="21" borderId="28" xfId="0" applyFill="1" applyBorder="1" applyAlignment="1" applyProtection="1">
      <alignment horizontal="left" vertical="center" wrapText="1"/>
      <protection hidden="1"/>
    </xf>
    <xf numFmtId="0" fontId="68" fillId="21" borderId="5" xfId="0" applyFont="1" applyFill="1" applyBorder="1" applyAlignment="1" applyProtection="1">
      <alignment horizontal="left" vertical="center" wrapText="1"/>
      <protection hidden="1"/>
    </xf>
    <xf numFmtId="0" fontId="68" fillId="21" borderId="4" xfId="0" applyFont="1" applyFill="1" applyBorder="1" applyAlignment="1" applyProtection="1">
      <alignment horizontal="left" vertical="center" wrapText="1"/>
      <protection hidden="1"/>
    </xf>
    <xf numFmtId="0" fontId="30" fillId="21" borderId="100" xfId="0" applyFont="1" applyFill="1" applyBorder="1" applyProtection="1">
      <protection hidden="1"/>
    </xf>
    <xf numFmtId="0" fontId="88" fillId="21" borderId="104" xfId="0" applyFont="1" applyFill="1" applyBorder="1" applyAlignment="1" applyProtection="1">
      <alignment wrapText="1"/>
      <protection hidden="1"/>
    </xf>
    <xf numFmtId="0" fontId="88" fillId="21" borderId="104" xfId="0" applyFont="1" applyFill="1" applyBorder="1" applyProtection="1">
      <protection hidden="1"/>
    </xf>
    <xf numFmtId="0" fontId="30" fillId="21" borderId="108" xfId="0" applyFont="1" applyFill="1" applyBorder="1" applyAlignment="1" applyProtection="1">
      <alignment vertical="center" wrapText="1"/>
      <protection hidden="1"/>
    </xf>
    <xf numFmtId="0" fontId="88" fillId="21" borderId="100" xfId="0" applyFont="1" applyFill="1" applyBorder="1" applyAlignment="1" applyProtection="1">
      <alignment horizontal="center" wrapText="1"/>
      <protection hidden="1"/>
    </xf>
    <xf numFmtId="0" fontId="142" fillId="36" borderId="4" xfId="0" applyFont="1" applyFill="1" applyBorder="1" applyAlignment="1" applyProtection="1">
      <alignment horizontal="center" vertical="center" wrapText="1"/>
      <protection hidden="1"/>
    </xf>
    <xf numFmtId="0" fontId="30" fillId="0" borderId="4" xfId="0" applyFont="1" applyFill="1" applyBorder="1" applyAlignment="1" applyProtection="1">
      <alignment vertical="center"/>
      <protection hidden="1"/>
    </xf>
    <xf numFmtId="0" fontId="30" fillId="0" borderId="4" xfId="0" applyFont="1" applyFill="1" applyBorder="1" applyAlignment="1" applyProtection="1">
      <alignment horizontal="right" vertical="center"/>
      <protection hidden="1"/>
    </xf>
    <xf numFmtId="0" fontId="0" fillId="21" borderId="4" xfId="0" applyFont="1" applyFill="1" applyBorder="1" applyAlignment="1">
      <alignment horizontal="right" vertical="center"/>
    </xf>
    <xf numFmtId="0" fontId="30" fillId="21" borderId="4" xfId="0" applyFont="1" applyFill="1" applyBorder="1" applyAlignment="1" applyProtection="1">
      <alignment horizontal="left" vertical="center" wrapText="1"/>
      <protection hidden="1"/>
    </xf>
    <xf numFmtId="0" fontId="88" fillId="20" borderId="0" xfId="0" applyFont="1" applyFill="1" applyProtection="1">
      <protection hidden="1"/>
    </xf>
    <xf numFmtId="0" fontId="12" fillId="20" borderId="0" xfId="0" applyFont="1" applyFill="1" applyAlignment="1" applyProtection="1">
      <alignment vertical="center"/>
      <protection hidden="1"/>
    </xf>
    <xf numFmtId="49" fontId="127" fillId="20" borderId="0" xfId="0" applyNumberFormat="1" applyFont="1" applyFill="1" applyAlignment="1" applyProtection="1">
      <alignment horizontal="center" vertical="center"/>
      <protection hidden="1"/>
    </xf>
    <xf numFmtId="0" fontId="0" fillId="13" borderId="4" xfId="0" applyFill="1" applyBorder="1" applyAlignment="1" applyProtection="1">
      <alignment horizontal="right" vertical="center"/>
      <protection locked="0"/>
    </xf>
    <xf numFmtId="0" fontId="146" fillId="20" borderId="0" xfId="0" applyFont="1" applyFill="1" applyAlignment="1" applyProtection="1">
      <alignment horizontal="center" vertical="center"/>
      <protection hidden="1"/>
    </xf>
    <xf numFmtId="0" fontId="0" fillId="13" borderId="99" xfId="0" applyFont="1" applyFill="1" applyBorder="1" applyAlignment="1" applyProtection="1">
      <alignment horizontal="right" vertical="center"/>
      <protection locked="0"/>
    </xf>
    <xf numFmtId="0" fontId="0" fillId="13" borderId="103" xfId="0" applyFont="1" applyFill="1" applyBorder="1" applyAlignment="1" applyProtection="1">
      <alignment horizontal="right" vertical="center"/>
      <protection locked="0"/>
    </xf>
    <xf numFmtId="0" fontId="0" fillId="13" borderId="107" xfId="0" applyFont="1" applyFill="1" applyBorder="1" applyAlignment="1" applyProtection="1">
      <alignment horizontal="right" vertical="center"/>
      <protection locked="0"/>
    </xf>
    <xf numFmtId="0" fontId="147" fillId="13" borderId="100" xfId="0" applyFont="1" applyFill="1" applyBorder="1" applyAlignment="1" applyProtection="1">
      <alignment horizontal="right" vertical="center" wrapText="1"/>
      <protection locked="0"/>
    </xf>
    <xf numFmtId="0" fontId="147" fillId="13" borderId="104" xfId="0" applyFont="1" applyFill="1" applyBorder="1" applyAlignment="1" applyProtection="1">
      <alignment horizontal="right" vertical="center" wrapText="1"/>
      <protection locked="0"/>
    </xf>
    <xf numFmtId="0" fontId="147" fillId="13" borderId="108" xfId="0" applyFont="1" applyFill="1" applyBorder="1" applyAlignment="1" applyProtection="1">
      <alignment horizontal="right" vertical="center" wrapText="1"/>
      <protection locked="0"/>
    </xf>
    <xf numFmtId="0" fontId="29" fillId="36" borderId="4" xfId="0" applyFont="1" applyFill="1" applyBorder="1" applyAlignment="1" applyProtection="1">
      <alignment horizontal="center" vertical="center"/>
      <protection locked="0" hidden="1"/>
    </xf>
    <xf numFmtId="0" fontId="0" fillId="29" borderId="4" xfId="0" applyFill="1" applyBorder="1" applyAlignment="1" applyProtection="1">
      <alignment horizontal="center" vertical="center"/>
      <protection locked="0" hidden="1"/>
    </xf>
    <xf numFmtId="0" fontId="30" fillId="0" borderId="4" xfId="0" applyFont="1" applyFill="1" applyBorder="1" applyAlignment="1" applyProtection="1">
      <alignment horizontal="center" vertical="center" wrapText="1"/>
      <protection hidden="1"/>
    </xf>
    <xf numFmtId="1" fontId="30" fillId="0" borderId="4" xfId="0" applyNumberFormat="1" applyFont="1" applyFill="1" applyBorder="1" applyAlignment="1" applyProtection="1">
      <alignment horizontal="center" vertical="center" wrapText="1"/>
      <protection hidden="1"/>
    </xf>
    <xf numFmtId="0" fontId="30" fillId="0" borderId="4" xfId="0" applyFont="1" applyFill="1" applyBorder="1" applyAlignment="1" applyProtection="1">
      <alignment vertical="center" wrapText="1"/>
      <protection hidden="1"/>
    </xf>
    <xf numFmtId="0" fontId="149" fillId="20" borderId="0" xfId="0" applyFont="1" applyFill="1" applyAlignment="1">
      <alignment horizontal="center"/>
    </xf>
    <xf numFmtId="2" fontId="147" fillId="13" borderId="100" xfId="0" applyNumberFormat="1" applyFont="1" applyFill="1" applyBorder="1" applyAlignment="1" applyProtection="1">
      <alignment horizontal="right" vertical="center" wrapText="1"/>
      <protection locked="0"/>
    </xf>
    <xf numFmtId="2" fontId="147" fillId="13" borderId="104" xfId="0" applyNumberFormat="1" applyFont="1" applyFill="1" applyBorder="1" applyAlignment="1" applyProtection="1">
      <alignment horizontal="right" vertical="center" wrapText="1"/>
      <protection locked="0"/>
    </xf>
    <xf numFmtId="2" fontId="147" fillId="13" borderId="108" xfId="0" applyNumberFormat="1" applyFont="1" applyFill="1" applyBorder="1" applyAlignment="1" applyProtection="1">
      <alignment horizontal="right" vertical="center" wrapText="1"/>
      <protection locked="0"/>
    </xf>
    <xf numFmtId="1" fontId="30" fillId="16" borderId="0" xfId="0" applyNumberFormat="1" applyFont="1" applyFill="1" applyProtection="1">
      <protection hidden="1"/>
    </xf>
    <xf numFmtId="165" fontId="147" fillId="13" borderId="100" xfId="0" applyNumberFormat="1" applyFont="1" applyFill="1" applyBorder="1" applyAlignment="1" applyProtection="1">
      <alignment horizontal="right" vertical="center" wrapText="1"/>
      <protection locked="0"/>
    </xf>
    <xf numFmtId="165" fontId="147" fillId="13" borderId="104" xfId="0" applyNumberFormat="1" applyFont="1" applyFill="1" applyBorder="1" applyAlignment="1" applyProtection="1">
      <alignment horizontal="right" vertical="center" wrapText="1"/>
      <protection locked="0"/>
    </xf>
    <xf numFmtId="165" fontId="147" fillId="13" borderId="108" xfId="0" applyNumberFormat="1" applyFont="1" applyFill="1" applyBorder="1" applyAlignment="1" applyProtection="1">
      <alignment horizontal="right" vertical="center" wrapText="1"/>
      <protection locked="0"/>
    </xf>
    <xf numFmtId="0" fontId="29" fillId="21" borderId="4" xfId="0" applyFont="1" applyFill="1" applyBorder="1" applyAlignment="1">
      <alignment horizontal="right" vertical="center" wrapText="1"/>
    </xf>
    <xf numFmtId="0" fontId="29" fillId="21" borderId="4" xfId="0" applyFont="1" applyFill="1" applyBorder="1" applyAlignment="1">
      <alignment horizontal="right"/>
    </xf>
    <xf numFmtId="49" fontId="30" fillId="21" borderId="4" xfId="0" applyNumberFormat="1" applyFont="1" applyFill="1" applyBorder="1" applyAlignment="1">
      <alignment horizontal="center" vertical="center" wrapText="1"/>
    </xf>
    <xf numFmtId="0" fontId="26" fillId="0" borderId="1" xfId="0" applyFont="1" applyFill="1" applyBorder="1" applyAlignment="1" applyProtection="1">
      <alignment vertical="top" wrapText="1"/>
      <protection hidden="1"/>
    </xf>
    <xf numFmtId="0" fontId="12" fillId="20" borderId="0" xfId="0" applyFont="1" applyFill="1" applyAlignment="1">
      <alignment wrapText="1"/>
    </xf>
    <xf numFmtId="14" fontId="150" fillId="20" borderId="0" xfId="0" applyNumberFormat="1" applyFont="1" applyFill="1" applyProtection="1">
      <protection hidden="1"/>
    </xf>
    <xf numFmtId="0" fontId="0" fillId="13" borderId="4" xfId="0" applyFill="1" applyBorder="1" applyAlignment="1" applyProtection="1">
      <alignment horizontal="center"/>
      <protection locked="0"/>
    </xf>
    <xf numFmtId="0" fontId="117" fillId="21" borderId="4" xfId="0" applyFont="1" applyFill="1" applyBorder="1" applyAlignment="1">
      <alignment horizontal="center" vertical="center"/>
    </xf>
    <xf numFmtId="0" fontId="111" fillId="2" borderId="0" xfId="10" applyFont="1" applyFill="1" applyAlignment="1" applyProtection="1">
      <alignment horizontal="left" wrapText="1"/>
      <protection locked="0"/>
    </xf>
    <xf numFmtId="0" fontId="143" fillId="2" borderId="0" xfId="0" applyFont="1" applyFill="1" applyAlignment="1">
      <alignment horizontal="center"/>
    </xf>
    <xf numFmtId="0" fontId="100" fillId="2" borderId="0" xfId="0" applyFont="1" applyFill="1" applyAlignment="1">
      <alignment horizontal="left" vertical="top" wrapText="1"/>
    </xf>
    <xf numFmtId="0" fontId="99" fillId="2" borderId="0" xfId="0" applyFont="1" applyFill="1" applyAlignment="1">
      <alignment horizontal="left"/>
    </xf>
    <xf numFmtId="0" fontId="63" fillId="21" borderId="8" xfId="0" applyFont="1" applyFill="1" applyBorder="1" applyAlignment="1">
      <alignment horizontal="center" vertical="center" wrapText="1"/>
    </xf>
    <xf numFmtId="0" fontId="63" fillId="21" borderId="7" xfId="0" applyFont="1" applyFill="1" applyBorder="1" applyAlignment="1">
      <alignment horizontal="center" vertical="center" wrapText="1"/>
    </xf>
    <xf numFmtId="0" fontId="114" fillId="2" borderId="1" xfId="0" applyFont="1" applyFill="1" applyBorder="1" applyAlignment="1">
      <alignment horizontal="center" vertical="center" wrapText="1"/>
    </xf>
    <xf numFmtId="0" fontId="0" fillId="21" borderId="11" xfId="0" applyFont="1" applyFill="1" applyBorder="1" applyAlignment="1">
      <alignment horizontal="left" vertical="center" wrapText="1"/>
    </xf>
    <xf numFmtId="0" fontId="0" fillId="21" borderId="28" xfId="0" applyFont="1" applyFill="1" applyBorder="1" applyAlignment="1">
      <alignment horizontal="left" vertical="center" wrapText="1"/>
    </xf>
    <xf numFmtId="0" fontId="0" fillId="21" borderId="5" xfId="0" applyFont="1" applyFill="1" applyBorder="1" applyAlignment="1">
      <alignment horizontal="left" vertical="center" wrapText="1"/>
    </xf>
    <xf numFmtId="0" fontId="109" fillId="0" borderId="0" xfId="0" applyFont="1" applyFill="1" applyAlignment="1" applyProtection="1">
      <alignment horizontal="center" vertical="center" wrapText="1"/>
      <protection hidden="1"/>
    </xf>
    <xf numFmtId="0" fontId="87" fillId="20" borderId="0" xfId="0" applyFont="1" applyFill="1" applyAlignment="1">
      <alignment horizontal="center"/>
    </xf>
    <xf numFmtId="0" fontId="0" fillId="20" borderId="1" xfId="0" applyFont="1" applyFill="1" applyBorder="1" applyAlignment="1" applyProtection="1">
      <alignment horizontal="center"/>
      <protection hidden="1"/>
    </xf>
    <xf numFmtId="0" fontId="117" fillId="21" borderId="8" xfId="0" applyFont="1" applyFill="1" applyBorder="1" applyAlignment="1">
      <alignment horizontal="center"/>
    </xf>
    <xf numFmtId="0" fontId="117" fillId="21" borderId="12" xfId="0" applyFont="1" applyFill="1" applyBorder="1" applyAlignment="1">
      <alignment horizontal="center"/>
    </xf>
    <xf numFmtId="0" fontId="117" fillId="21" borderId="4" xfId="0" applyFont="1" applyFill="1" applyBorder="1" applyAlignment="1">
      <alignment horizontal="center" vertical="center"/>
    </xf>
    <xf numFmtId="0" fontId="12" fillId="20" borderId="29" xfId="0" applyFont="1" applyFill="1" applyBorder="1" applyAlignment="1" applyProtection="1">
      <alignment horizontal="center" wrapText="1"/>
      <protection hidden="1"/>
    </xf>
    <xf numFmtId="0" fontId="12" fillId="0" borderId="29" xfId="0" applyFont="1" applyFill="1" applyBorder="1" applyAlignment="1">
      <alignment horizontal="center" wrapText="1"/>
    </xf>
    <xf numFmtId="0" fontId="12" fillId="0" borderId="0" xfId="0" applyFont="1" applyFill="1" applyAlignment="1">
      <alignment horizontal="center" wrapText="1"/>
    </xf>
    <xf numFmtId="0" fontId="137" fillId="20" borderId="0" xfId="0" applyFont="1" applyFill="1" applyAlignment="1" applyProtection="1">
      <alignment horizontal="center"/>
      <protection hidden="1"/>
    </xf>
    <xf numFmtId="0" fontId="83" fillId="0" borderId="113" xfId="0" applyFont="1" applyBorder="1" applyAlignment="1">
      <alignment horizontal="center" vertical="center"/>
    </xf>
    <xf numFmtId="0" fontId="83" fillId="0" borderId="1" xfId="0" applyFont="1" applyBorder="1" applyAlignment="1">
      <alignment horizontal="center" vertical="center"/>
    </xf>
    <xf numFmtId="0" fontId="117" fillId="21" borderId="8" xfId="0" applyFont="1" applyFill="1" applyBorder="1" applyAlignment="1">
      <alignment horizontal="center" vertical="center"/>
    </xf>
    <xf numFmtId="0" fontId="117" fillId="21" borderId="12" xfId="0" applyFont="1" applyFill="1" applyBorder="1" applyAlignment="1">
      <alignment horizontal="center" vertical="center"/>
    </xf>
    <xf numFmtId="0" fontId="117" fillId="21" borderId="7" xfId="0" applyFont="1" applyFill="1" applyBorder="1" applyAlignment="1">
      <alignment horizontal="center" vertical="center"/>
    </xf>
    <xf numFmtId="0" fontId="117" fillId="0" borderId="4" xfId="0" applyFont="1" applyBorder="1" applyAlignment="1">
      <alignment horizontal="center" vertical="center"/>
    </xf>
    <xf numFmtId="0" fontId="117" fillId="0" borderId="11" xfId="0" applyFont="1" applyBorder="1" applyAlignment="1">
      <alignment horizontal="center" vertical="center" wrapText="1"/>
    </xf>
    <xf numFmtId="0" fontId="117" fillId="0" borderId="28" xfId="0" applyFont="1" applyBorder="1" applyAlignment="1">
      <alignment horizontal="center" vertical="center" wrapText="1"/>
    </xf>
    <xf numFmtId="0" fontId="117" fillId="0" borderId="4" xfId="0" applyFont="1" applyBorder="1" applyAlignment="1">
      <alignment horizontal="center" vertical="center" wrapText="1"/>
    </xf>
    <xf numFmtId="0" fontId="117" fillId="0" borderId="8" xfId="0" applyFont="1" applyBorder="1" applyAlignment="1">
      <alignment horizontal="center" vertical="center"/>
    </xf>
    <xf numFmtId="0" fontId="117" fillId="0" borderId="12" xfId="0" applyFont="1" applyBorder="1" applyAlignment="1">
      <alignment horizontal="center" vertical="center"/>
    </xf>
    <xf numFmtId="0" fontId="117" fillId="0" borderId="7" xfId="0" applyFont="1" applyBorder="1" applyAlignment="1">
      <alignment horizontal="center" vertical="center"/>
    </xf>
    <xf numFmtId="0" fontId="132" fillId="0" borderId="0" xfId="0" applyFont="1" applyFill="1" applyAlignment="1" applyProtection="1">
      <alignment horizontal="center" vertical="center" wrapText="1"/>
      <protection hidden="1"/>
    </xf>
    <xf numFmtId="0" fontId="85" fillId="0" borderId="0" xfId="0" applyFont="1" applyFill="1" applyAlignment="1" applyProtection="1">
      <alignment horizontal="center" vertical="center" wrapText="1"/>
      <protection hidden="1"/>
    </xf>
    <xf numFmtId="0" fontId="85" fillId="20" borderId="13" xfId="0" applyFont="1" applyFill="1" applyBorder="1" applyAlignment="1">
      <alignment horizontal="center" vertical="center" wrapText="1"/>
    </xf>
    <xf numFmtId="0" fontId="83" fillId="21" borderId="0" xfId="0" applyFont="1" applyFill="1" applyAlignment="1">
      <alignment horizontal="center"/>
    </xf>
    <xf numFmtId="0" fontId="114" fillId="0" borderId="1" xfId="0" applyFont="1" applyBorder="1" applyAlignment="1" applyProtection="1">
      <alignment horizontal="center" vertical="center" wrapText="1"/>
    </xf>
    <xf numFmtId="0" fontId="66" fillId="36" borderId="11" xfId="0" applyFont="1" applyFill="1" applyBorder="1" applyAlignment="1" applyProtection="1">
      <alignment horizontal="center" vertical="center" wrapText="1"/>
    </xf>
    <xf numFmtId="0" fontId="66" fillId="36" borderId="5" xfId="0" applyFont="1" applyFill="1" applyBorder="1" applyAlignment="1" applyProtection="1">
      <alignment horizontal="center" vertical="center" wrapText="1"/>
    </xf>
    <xf numFmtId="0" fontId="30" fillId="36" borderId="4" xfId="0" applyFont="1" applyFill="1" applyBorder="1" applyAlignment="1" applyProtection="1">
      <alignment horizontal="center" vertical="center"/>
    </xf>
    <xf numFmtId="0" fontId="30" fillId="36" borderId="8" xfId="0" applyFont="1" applyFill="1" applyBorder="1" applyAlignment="1" applyProtection="1">
      <alignment horizontal="center" vertical="top"/>
    </xf>
    <xf numFmtId="0" fontId="30" fillId="36" borderId="7" xfId="0" applyFont="1" applyFill="1" applyBorder="1" applyAlignment="1" applyProtection="1">
      <alignment horizontal="center" vertical="top"/>
    </xf>
    <xf numFmtId="0" fontId="30" fillId="36" borderId="4" xfId="0" applyFont="1" applyFill="1" applyBorder="1" applyAlignment="1" applyProtection="1">
      <alignment horizontal="center" vertical="top" wrapText="1"/>
    </xf>
    <xf numFmtId="0" fontId="30" fillId="36" borderId="4" xfId="0" applyFont="1" applyFill="1" applyBorder="1" applyAlignment="1" applyProtection="1">
      <alignment horizontal="center" vertical="center" wrapText="1"/>
    </xf>
    <xf numFmtId="0" fontId="0" fillId="21" borderId="4" xfId="0" applyFill="1" applyBorder="1" applyAlignment="1" applyProtection="1">
      <alignment horizontal="center"/>
    </xf>
    <xf numFmtId="3" fontId="52" fillId="5" borderId="8" xfId="0" applyNumberFormat="1" applyFont="1" applyFill="1" applyBorder="1" applyAlignment="1" applyProtection="1">
      <alignment horizontal="center" vertical="center"/>
      <protection hidden="1"/>
    </xf>
    <xf numFmtId="3" fontId="52" fillId="5" borderId="7" xfId="0" applyNumberFormat="1" applyFont="1" applyFill="1" applyBorder="1" applyAlignment="1" applyProtection="1">
      <alignment horizontal="center" vertical="center"/>
      <protection hidden="1"/>
    </xf>
    <xf numFmtId="14" fontId="0" fillId="20" borderId="29" xfId="0" applyNumberFormat="1" applyFont="1" applyFill="1" applyBorder="1" applyAlignment="1" applyProtection="1">
      <alignment horizontal="left" vertical="center" wrapText="1"/>
      <protection hidden="1"/>
    </xf>
    <xf numFmtId="14" fontId="0" fillId="20" borderId="0" xfId="0" applyNumberFormat="1" applyFont="1" applyFill="1" applyAlignment="1" applyProtection="1">
      <alignment horizontal="left" vertical="center" wrapText="1"/>
      <protection hidden="1"/>
    </xf>
    <xf numFmtId="0" fontId="113" fillId="20" borderId="0" xfId="0" applyFont="1" applyFill="1" applyBorder="1" applyAlignment="1">
      <alignment horizontal="center" vertical="center"/>
    </xf>
    <xf numFmtId="0" fontId="113" fillId="20" borderId="0" xfId="0" applyFont="1" applyFill="1" applyAlignment="1">
      <alignment horizontal="center" vertical="center"/>
    </xf>
    <xf numFmtId="0" fontId="113" fillId="20" borderId="6" xfId="0" applyFont="1" applyFill="1" applyBorder="1" applyAlignment="1">
      <alignment horizontal="center" vertical="center"/>
    </xf>
    <xf numFmtId="0" fontId="0" fillId="21" borderId="11" xfId="0" applyFill="1" applyBorder="1" applyAlignment="1" applyProtection="1">
      <alignment horizontal="left" vertical="center" wrapText="1"/>
      <protection hidden="1"/>
    </xf>
    <xf numFmtId="0" fontId="0" fillId="21" borderId="5" xfId="0" applyFill="1" applyBorder="1" applyAlignment="1" applyProtection="1">
      <alignment horizontal="left" vertical="center" wrapText="1"/>
      <protection hidden="1"/>
    </xf>
    <xf numFmtId="0" fontId="114" fillId="0" borderId="2" xfId="0" applyFont="1" applyBorder="1" applyAlignment="1">
      <alignment horizontal="center" vertical="center"/>
    </xf>
    <xf numFmtId="0" fontId="114" fillId="0" borderId="5" xfId="0" applyFont="1" applyBorder="1" applyAlignment="1">
      <alignment horizontal="center" vertical="center"/>
    </xf>
    <xf numFmtId="0" fontId="114" fillId="0" borderId="3" xfId="0" applyFont="1" applyBorder="1" applyAlignment="1">
      <alignment horizontal="center" vertical="center"/>
    </xf>
    <xf numFmtId="0" fontId="0" fillId="21" borderId="4" xfId="0" applyFont="1" applyFill="1" applyBorder="1" applyAlignment="1">
      <alignment horizontal="right" vertical="center"/>
    </xf>
    <xf numFmtId="0" fontId="127" fillId="20" borderId="6" xfId="0" applyFont="1" applyFill="1" applyBorder="1" applyAlignment="1" applyProtection="1">
      <alignment horizontal="center" vertical="center"/>
      <protection hidden="1"/>
    </xf>
    <xf numFmtId="0" fontId="68" fillId="21" borderId="11" xfId="0" applyFont="1" applyFill="1" applyBorder="1" applyAlignment="1" applyProtection="1">
      <alignment horizontal="left" vertical="center" wrapText="1"/>
      <protection hidden="1"/>
    </xf>
    <xf numFmtId="0" fontId="68" fillId="21" borderId="5" xfId="0" applyFont="1" applyFill="1" applyBorder="1" applyAlignment="1" applyProtection="1">
      <alignment horizontal="left" vertical="center" wrapText="1"/>
      <protection hidden="1"/>
    </xf>
    <xf numFmtId="0" fontId="7" fillId="0" borderId="1" xfId="0" applyFont="1" applyBorder="1" applyAlignment="1">
      <alignment horizontal="center" vertical="top" wrapText="1"/>
    </xf>
    <xf numFmtId="0" fontId="129" fillId="0" borderId="0" xfId="0" applyFont="1" applyAlignment="1">
      <alignment horizontal="center"/>
    </xf>
    <xf numFmtId="0" fontId="0" fillId="21" borderId="4" xfId="0" applyFont="1" applyFill="1" applyBorder="1" applyAlignment="1" applyProtection="1">
      <alignment horizontal="left" vertical="center" wrapText="1"/>
      <protection hidden="1"/>
    </xf>
    <xf numFmtId="0" fontId="148" fillId="20" borderId="0" xfId="0" applyFont="1" applyFill="1" applyAlignment="1" applyProtection="1">
      <alignment horizontal="center" wrapText="1"/>
      <protection hidden="1"/>
    </xf>
    <xf numFmtId="0" fontId="114" fillId="0" borderId="1" xfId="0" applyFont="1" applyBorder="1" applyAlignment="1">
      <alignment horizontal="center" vertical="center" wrapText="1"/>
    </xf>
    <xf numFmtId="0" fontId="129" fillId="0" borderId="1" xfId="0" applyFont="1" applyBorder="1" applyAlignment="1">
      <alignment horizontal="center"/>
    </xf>
    <xf numFmtId="2" fontId="28" fillId="0" borderId="0" xfId="0" applyNumberFormat="1" applyFont="1" applyBorder="1" applyAlignment="1">
      <alignment horizontal="center" vertical="top" wrapText="1"/>
    </xf>
    <xf numFmtId="49" fontId="30" fillId="21" borderId="11" xfId="0" applyNumberFormat="1" applyFont="1" applyFill="1" applyBorder="1" applyAlignment="1">
      <alignment horizontal="center" vertical="center" wrapText="1"/>
    </xf>
    <xf numFmtId="49" fontId="30" fillId="21" borderId="5" xfId="0" applyNumberFormat="1" applyFont="1" applyFill="1" applyBorder="1" applyAlignment="1">
      <alignment horizontal="center" vertical="center" wrapText="1"/>
    </xf>
    <xf numFmtId="0" fontId="7" fillId="0" borderId="1" xfId="0" applyFont="1" applyBorder="1" applyAlignment="1">
      <alignment horizontal="left"/>
    </xf>
    <xf numFmtId="0" fontId="7" fillId="2" borderId="1" xfId="0" applyFont="1" applyFill="1" applyBorder="1" applyAlignment="1">
      <alignment horizontal="left"/>
    </xf>
    <xf numFmtId="0" fontId="12" fillId="21" borderId="11" xfId="0" applyFont="1" applyFill="1" applyBorder="1" applyAlignment="1" applyProtection="1">
      <alignment horizontal="center" vertical="center" wrapText="1"/>
      <protection hidden="1"/>
    </xf>
    <xf numFmtId="0" fontId="12" fillId="21" borderId="5" xfId="0" applyFont="1" applyFill="1" applyBorder="1" applyAlignment="1" applyProtection="1">
      <alignment horizontal="center" vertical="center" wrapText="1"/>
      <protection hidden="1"/>
    </xf>
    <xf numFmtId="0" fontId="12" fillId="21" borderId="11" xfId="0" applyFont="1" applyFill="1" applyBorder="1" applyAlignment="1" applyProtection="1">
      <alignment horizontal="left" vertical="center" wrapText="1"/>
      <protection hidden="1"/>
    </xf>
    <xf numFmtId="0" fontId="12" fillId="21" borderId="28" xfId="0" applyFont="1" applyFill="1" applyBorder="1" applyAlignment="1" applyProtection="1">
      <alignment horizontal="left" vertical="center" wrapText="1"/>
      <protection hidden="1"/>
    </xf>
    <xf numFmtId="0" fontId="12" fillId="21" borderId="5" xfId="0" applyFont="1" applyFill="1" applyBorder="1" applyAlignment="1" applyProtection="1">
      <alignment horizontal="left" vertical="center" wrapText="1"/>
      <protection hidden="1"/>
    </xf>
    <xf numFmtId="0" fontId="0" fillId="21" borderId="11" xfId="0" applyFill="1" applyBorder="1" applyAlignment="1">
      <alignment horizontal="left" vertical="center" wrapText="1"/>
    </xf>
    <xf numFmtId="0" fontId="0" fillId="21" borderId="28" xfId="0" applyFill="1" applyBorder="1" applyAlignment="1">
      <alignment horizontal="left" vertical="center" wrapText="1"/>
    </xf>
    <xf numFmtId="0" fontId="0" fillId="21" borderId="5" xfId="0" applyFill="1" applyBorder="1" applyAlignment="1">
      <alignment horizontal="left" vertical="center" wrapText="1"/>
    </xf>
    <xf numFmtId="0" fontId="61" fillId="21" borderId="11" xfId="0" applyFont="1" applyFill="1" applyBorder="1" applyAlignment="1">
      <alignment horizontal="right" vertical="center" wrapText="1"/>
    </xf>
    <xf numFmtId="0" fontId="61" fillId="21" borderId="28" xfId="0" applyFont="1" applyFill="1" applyBorder="1" applyAlignment="1">
      <alignment horizontal="right" vertical="center" wrapText="1"/>
    </xf>
    <xf numFmtId="0" fontId="61" fillId="21" borderId="5" xfId="0" applyFont="1" applyFill="1" applyBorder="1" applyAlignment="1">
      <alignment horizontal="right" vertical="center" wrapText="1"/>
    </xf>
    <xf numFmtId="0" fontId="29" fillId="21" borderId="4" xfId="0" applyFont="1" applyFill="1" applyBorder="1" applyAlignment="1">
      <alignment horizontal="right" vertical="center" wrapText="1"/>
    </xf>
    <xf numFmtId="0" fontId="12" fillId="21" borderId="4" xfId="0" applyFont="1" applyFill="1" applyBorder="1" applyAlignment="1" applyProtection="1">
      <alignment horizontal="left" vertical="center" wrapText="1"/>
      <protection hidden="1"/>
    </xf>
    <xf numFmtId="0" fontId="125" fillId="21" borderId="5" xfId="0" applyFont="1" applyFill="1" applyBorder="1" applyAlignment="1">
      <alignment horizontal="center" vertical="center" wrapText="1"/>
    </xf>
    <xf numFmtId="0" fontId="12" fillId="20" borderId="13" xfId="0" applyFont="1" applyFill="1" applyBorder="1" applyAlignment="1">
      <alignment horizontal="center"/>
    </xf>
    <xf numFmtId="0" fontId="125" fillId="21" borderId="11" xfId="0" applyFont="1" applyFill="1" applyBorder="1" applyAlignment="1">
      <alignment horizontal="center" vertical="center" wrapText="1"/>
    </xf>
    <xf numFmtId="0" fontId="112" fillId="2" borderId="0" xfId="10" applyFont="1" applyFill="1" applyBorder="1" applyAlignment="1" applyProtection="1">
      <alignment horizontal="left" vertical="center"/>
      <protection locked="0" hidden="1"/>
    </xf>
    <xf numFmtId="0" fontId="95" fillId="20" borderId="0" xfId="0" applyFont="1" applyFill="1" applyAlignment="1" applyProtection="1">
      <alignment horizontal="center"/>
      <protection hidden="1"/>
    </xf>
    <xf numFmtId="0" fontId="31" fillId="36" borderId="11" xfId="0" applyFont="1" applyFill="1" applyBorder="1" applyAlignment="1" applyProtection="1">
      <alignment horizontal="left" vertical="center" wrapText="1"/>
      <protection hidden="1"/>
    </xf>
    <xf numFmtId="0" fontId="31" fillId="36" borderId="28" xfId="0" applyFont="1" applyFill="1" applyBorder="1" applyAlignment="1" applyProtection="1">
      <alignment horizontal="left" vertical="center" wrapText="1"/>
      <protection hidden="1"/>
    </xf>
    <xf numFmtId="0" fontId="31" fillId="36" borderId="5" xfId="0" applyFont="1" applyFill="1" applyBorder="1" applyAlignment="1" applyProtection="1">
      <alignment horizontal="left" vertical="center" wrapText="1"/>
      <protection hidden="1"/>
    </xf>
    <xf numFmtId="49" fontId="31" fillId="36" borderId="11" xfId="0" applyNumberFormat="1" applyFont="1" applyFill="1" applyBorder="1" applyAlignment="1" applyProtection="1">
      <alignment horizontal="center" vertical="center" wrapText="1"/>
      <protection hidden="1"/>
    </xf>
    <xf numFmtId="49" fontId="31" fillId="36" borderId="28" xfId="0" applyNumberFormat="1" applyFont="1" applyFill="1" applyBorder="1" applyAlignment="1" applyProtection="1">
      <alignment horizontal="center" vertical="center" wrapText="1"/>
      <protection hidden="1"/>
    </xf>
    <xf numFmtId="49" fontId="31" fillId="36" borderId="5" xfId="0" applyNumberFormat="1" applyFont="1" applyFill="1" applyBorder="1" applyAlignment="1" applyProtection="1">
      <alignment horizontal="center" vertical="center" wrapText="1"/>
      <protection hidden="1"/>
    </xf>
    <xf numFmtId="1" fontId="29" fillId="36" borderId="11" xfId="0" applyNumberFormat="1" applyFont="1" applyFill="1" applyBorder="1" applyAlignment="1" applyProtection="1">
      <alignment horizontal="center" vertical="center"/>
      <protection locked="0" hidden="1"/>
    </xf>
    <xf numFmtId="1" fontId="29" fillId="36" borderId="28" xfId="0" applyNumberFormat="1" applyFont="1" applyFill="1" applyBorder="1" applyAlignment="1" applyProtection="1">
      <alignment horizontal="center" vertical="center"/>
      <protection locked="0" hidden="1"/>
    </xf>
    <xf numFmtId="1" fontId="29" fillId="36" borderId="5" xfId="0" applyNumberFormat="1" applyFont="1" applyFill="1" applyBorder="1" applyAlignment="1" applyProtection="1">
      <alignment horizontal="center" vertical="center"/>
      <protection locked="0" hidden="1"/>
    </xf>
    <xf numFmtId="0" fontId="29" fillId="36" borderId="11" xfId="0" applyFont="1" applyFill="1" applyBorder="1" applyAlignment="1" applyProtection="1">
      <alignment horizontal="center" vertical="center"/>
      <protection locked="0" hidden="1"/>
    </xf>
    <xf numFmtId="0" fontId="29" fillId="36" borderId="28" xfId="0" applyFont="1" applyFill="1" applyBorder="1" applyAlignment="1" applyProtection="1">
      <alignment horizontal="center" vertical="center"/>
      <protection locked="0" hidden="1"/>
    </xf>
    <xf numFmtId="0" fontId="29" fillId="36" borderId="5" xfId="0" applyFont="1" applyFill="1" applyBorder="1" applyAlignment="1" applyProtection="1">
      <alignment horizontal="center" vertical="center"/>
      <protection locked="0" hidden="1"/>
    </xf>
    <xf numFmtId="0" fontId="0" fillId="29" borderId="4" xfId="0" applyFill="1" applyBorder="1" applyAlignment="1" applyProtection="1">
      <alignment horizontal="center" vertical="center"/>
      <protection locked="0" hidden="1"/>
    </xf>
    <xf numFmtId="0" fontId="29" fillId="36" borderId="4" xfId="0" applyFont="1" applyFill="1" applyBorder="1" applyAlignment="1" applyProtection="1">
      <alignment horizontal="center" vertical="center"/>
      <protection locked="0" hidden="1"/>
    </xf>
    <xf numFmtId="0" fontId="31" fillId="20" borderId="8" xfId="0" applyFont="1" applyFill="1" applyBorder="1" applyAlignment="1" applyProtection="1">
      <alignment horizontal="left" vertical="top" wrapText="1"/>
      <protection hidden="1"/>
    </xf>
    <xf numFmtId="0" fontId="31" fillId="20" borderId="12" xfId="0" applyFont="1" applyFill="1" applyBorder="1" applyAlignment="1" applyProtection="1">
      <alignment horizontal="left" vertical="top" wrapText="1"/>
      <protection hidden="1"/>
    </xf>
    <xf numFmtId="0" fontId="31" fillId="20" borderId="7" xfId="0" applyFont="1" applyFill="1" applyBorder="1" applyAlignment="1" applyProtection="1">
      <alignment horizontal="left" vertical="top" wrapText="1"/>
      <protection hidden="1"/>
    </xf>
    <xf numFmtId="0" fontId="7" fillId="34" borderId="50" xfId="0" applyFont="1" applyFill="1" applyBorder="1" applyAlignment="1" applyProtection="1">
      <alignment horizontal="left" vertical="top" wrapText="1"/>
      <protection hidden="1"/>
    </xf>
    <xf numFmtId="0" fontId="7" fillId="34" borderId="4" xfId="0" applyFont="1" applyFill="1" applyBorder="1" applyAlignment="1" applyProtection="1">
      <alignment horizontal="left" vertical="top" wrapText="1"/>
      <protection hidden="1"/>
    </xf>
    <xf numFmtId="0" fontId="7" fillId="34" borderId="51" xfId="0" applyFont="1" applyFill="1" applyBorder="1" applyAlignment="1" applyProtection="1">
      <alignment horizontal="left" vertical="top" wrapText="1"/>
      <protection hidden="1"/>
    </xf>
    <xf numFmtId="1" fontId="29" fillId="36" borderId="4" xfId="0" applyNumberFormat="1" applyFont="1" applyFill="1" applyBorder="1" applyAlignment="1" applyProtection="1">
      <alignment horizontal="center" vertical="center"/>
      <protection locked="0" hidden="1"/>
    </xf>
    <xf numFmtId="0" fontId="31" fillId="20" borderId="8" xfId="0" applyFont="1" applyFill="1" applyBorder="1" applyAlignment="1" applyProtection="1">
      <alignment horizontal="left" vertical="center" wrapText="1"/>
      <protection hidden="1"/>
    </xf>
    <xf numFmtId="0" fontId="31" fillId="20" borderId="12" xfId="0" applyFont="1" applyFill="1" applyBorder="1" applyAlignment="1" applyProtection="1">
      <alignment horizontal="left" vertical="center" wrapText="1"/>
      <protection hidden="1"/>
    </xf>
    <xf numFmtId="0" fontId="31" fillId="20" borderId="79" xfId="0" applyFont="1" applyFill="1" applyBorder="1" applyAlignment="1" applyProtection="1">
      <alignment horizontal="left" vertical="center" wrapText="1"/>
      <protection hidden="1"/>
    </xf>
    <xf numFmtId="0" fontId="31" fillId="36" borderId="9" xfId="0" applyFont="1" applyFill="1" applyBorder="1" applyAlignment="1" applyProtection="1">
      <alignment horizontal="left" vertical="top" wrapText="1"/>
      <protection hidden="1"/>
    </xf>
    <xf numFmtId="0" fontId="31" fillId="36" borderId="5" xfId="0" applyFont="1" applyFill="1" applyBorder="1" applyAlignment="1" applyProtection="1">
      <alignment horizontal="left" vertical="top" wrapText="1"/>
      <protection hidden="1"/>
    </xf>
    <xf numFmtId="0" fontId="0" fillId="38" borderId="4" xfId="0" applyFill="1" applyBorder="1" applyAlignment="1" applyProtection="1">
      <alignment horizontal="center"/>
      <protection hidden="1"/>
    </xf>
    <xf numFmtId="0" fontId="7" fillId="0" borderId="0" xfId="0" applyFont="1" applyAlignment="1" applyProtection="1">
      <alignment horizontal="center" vertical="center"/>
      <protection hidden="1"/>
    </xf>
    <xf numFmtId="0" fontId="0" fillId="38" borderId="8" xfId="0" applyFill="1" applyBorder="1" applyAlignment="1" applyProtection="1">
      <alignment horizontal="center"/>
      <protection hidden="1"/>
    </xf>
    <xf numFmtId="0" fontId="0" fillId="38" borderId="12" xfId="0" applyFill="1" applyBorder="1" applyAlignment="1" applyProtection="1">
      <alignment horizontal="center"/>
      <protection hidden="1"/>
    </xf>
    <xf numFmtId="0" fontId="0" fillId="38" borderId="7" xfId="0" applyFill="1" applyBorder="1" applyAlignment="1" applyProtection="1">
      <alignment horizontal="center"/>
      <protection hidden="1"/>
    </xf>
    <xf numFmtId="0" fontId="0" fillId="38" borderId="4" xfId="0" applyFill="1" applyBorder="1" applyAlignment="1" applyProtection="1">
      <alignment horizontal="center" wrapText="1"/>
      <protection hidden="1"/>
    </xf>
    <xf numFmtId="0" fontId="0" fillId="38" borderId="8" xfId="0" applyFill="1" applyBorder="1" applyAlignment="1" applyProtection="1">
      <alignment horizontal="center" wrapText="1"/>
      <protection hidden="1"/>
    </xf>
    <xf numFmtId="0" fontId="0" fillId="38" borderId="12" xfId="0" applyFill="1" applyBorder="1" applyAlignment="1" applyProtection="1">
      <alignment horizontal="center" wrapText="1"/>
      <protection hidden="1"/>
    </xf>
    <xf numFmtId="0" fontId="0" fillId="38" borderId="7" xfId="0" applyFill="1" applyBorder="1" applyAlignment="1" applyProtection="1">
      <alignment horizontal="center" wrapText="1"/>
      <protection hidden="1"/>
    </xf>
    <xf numFmtId="0" fontId="52" fillId="36" borderId="0" xfId="0" applyFont="1" applyFill="1" applyAlignment="1" applyProtection="1">
      <alignment horizontal="center"/>
      <protection hidden="1"/>
    </xf>
    <xf numFmtId="0" fontId="35" fillId="36" borderId="11" xfId="0" applyFont="1" applyFill="1" applyBorder="1" applyAlignment="1" applyProtection="1">
      <alignment horizontal="center" vertical="center" wrapText="1"/>
      <protection hidden="1"/>
    </xf>
    <xf numFmtId="0" fontId="35" fillId="36" borderId="28" xfId="0" applyFont="1" applyFill="1" applyBorder="1" applyAlignment="1" applyProtection="1">
      <alignment horizontal="center" vertical="center" wrapText="1"/>
      <protection hidden="1"/>
    </xf>
    <xf numFmtId="0" fontId="35" fillId="36" borderId="5" xfId="0" applyFont="1" applyFill="1" applyBorder="1" applyAlignment="1" applyProtection="1">
      <alignment horizontal="center" vertical="center" wrapText="1"/>
      <protection hidden="1"/>
    </xf>
    <xf numFmtId="0" fontId="7" fillId="34" borderId="48" xfId="0" applyFont="1" applyFill="1" applyBorder="1" applyAlignment="1" applyProtection="1">
      <alignment horizontal="center" vertical="top" wrapText="1"/>
      <protection hidden="1"/>
    </xf>
    <xf numFmtId="0" fontId="7" fillId="34" borderId="49" xfId="0" applyFont="1" applyFill="1" applyBorder="1" applyAlignment="1" applyProtection="1">
      <alignment horizontal="center" vertical="top" wrapText="1"/>
      <protection hidden="1"/>
    </xf>
    <xf numFmtId="0" fontId="31" fillId="36" borderId="10" xfId="0" applyFont="1" applyFill="1" applyBorder="1" applyAlignment="1" applyProtection="1">
      <alignment horizontal="center" vertical="center" wrapText="1"/>
      <protection hidden="1"/>
    </xf>
    <xf numFmtId="0" fontId="31" fillId="36" borderId="5" xfId="0" applyFont="1" applyFill="1" applyBorder="1" applyAlignment="1" applyProtection="1">
      <alignment horizontal="center" vertical="center" wrapText="1"/>
      <protection hidden="1"/>
    </xf>
    <xf numFmtId="0" fontId="0" fillId="0" borderId="0" xfId="0" applyFill="1" applyAlignment="1" applyProtection="1">
      <alignment horizontal="center" vertical="center" wrapText="1"/>
      <protection hidden="1"/>
    </xf>
    <xf numFmtId="0" fontId="0" fillId="34" borderId="22" xfId="0" applyFill="1" applyBorder="1" applyAlignment="1" applyProtection="1">
      <alignment horizontal="left" vertical="top" wrapText="1"/>
      <protection hidden="1"/>
    </xf>
    <xf numFmtId="0" fontId="0" fillId="34" borderId="95" xfId="0" applyFill="1" applyBorder="1" applyAlignment="1" applyProtection="1">
      <alignment horizontal="left" vertical="top" wrapText="1"/>
      <protection hidden="1"/>
    </xf>
    <xf numFmtId="0" fontId="0" fillId="34" borderId="20" xfId="0" applyFill="1" applyBorder="1" applyAlignment="1" applyProtection="1">
      <alignment horizontal="left" vertical="top" wrapText="1"/>
      <protection hidden="1"/>
    </xf>
    <xf numFmtId="0" fontId="145" fillId="20" borderId="94" xfId="0" applyFont="1" applyFill="1" applyBorder="1" applyAlignment="1" applyProtection="1">
      <alignment horizontal="center" wrapText="1"/>
      <protection hidden="1"/>
    </xf>
    <xf numFmtId="0" fontId="31" fillId="36" borderId="11" xfId="0" applyFont="1" applyFill="1" applyBorder="1" applyAlignment="1" applyProtection="1">
      <alignment horizontal="center" vertical="center" wrapText="1"/>
      <protection hidden="1"/>
    </xf>
    <xf numFmtId="0" fontId="31" fillId="36" borderId="2" xfId="0" applyFont="1" applyFill="1" applyBorder="1" applyAlignment="1" applyProtection="1">
      <alignment horizontal="center" vertical="center" wrapText="1"/>
      <protection hidden="1"/>
    </xf>
    <xf numFmtId="0" fontId="31" fillId="36" borderId="28" xfId="0" applyFont="1" applyFill="1" applyBorder="1" applyAlignment="1" applyProtection="1">
      <alignment horizontal="center" vertical="center" wrapText="1"/>
      <protection hidden="1"/>
    </xf>
    <xf numFmtId="0" fontId="7" fillId="0" borderId="0" xfId="0" applyFont="1" applyAlignment="1" applyProtection="1">
      <alignment horizontal="center" wrapText="1"/>
      <protection locked="0" hidden="1"/>
    </xf>
    <xf numFmtId="11" fontId="31" fillId="36" borderId="11" xfId="0" applyNumberFormat="1" applyFont="1" applyFill="1" applyBorder="1" applyAlignment="1" applyProtection="1">
      <alignment horizontal="center" vertical="center" wrapText="1"/>
      <protection hidden="1"/>
    </xf>
    <xf numFmtId="11" fontId="31" fillId="36" borderId="28" xfId="0" applyNumberFormat="1" applyFont="1" applyFill="1" applyBorder="1" applyAlignment="1" applyProtection="1">
      <alignment horizontal="center" vertical="center" wrapText="1"/>
      <protection hidden="1"/>
    </xf>
    <xf numFmtId="11" fontId="31" fillId="36" borderId="5" xfId="0" applyNumberFormat="1" applyFont="1" applyFill="1" applyBorder="1" applyAlignment="1" applyProtection="1">
      <alignment horizontal="center" vertical="center" wrapText="1"/>
      <protection hidden="1"/>
    </xf>
    <xf numFmtId="0" fontId="12" fillId="20" borderId="9" xfId="0" applyFont="1" applyFill="1" applyBorder="1" applyAlignment="1" applyProtection="1">
      <alignment horizontal="center" vertical="center" wrapText="1"/>
      <protection hidden="1"/>
    </xf>
    <xf numFmtId="0" fontId="12" fillId="20" borderId="13" xfId="0" applyFont="1" applyFill="1" applyBorder="1" applyAlignment="1" applyProtection="1">
      <alignment horizontal="center" vertical="center" wrapText="1"/>
      <protection hidden="1"/>
    </xf>
    <xf numFmtId="0" fontId="12" fillId="20" borderId="81" xfId="0" applyFont="1" applyFill="1" applyBorder="1" applyAlignment="1" applyProtection="1">
      <alignment horizontal="center" vertical="center" wrapText="1"/>
      <protection hidden="1"/>
    </xf>
    <xf numFmtId="0" fontId="12" fillId="20" borderId="3" xfId="0" applyFont="1" applyFill="1" applyBorder="1" applyAlignment="1" applyProtection="1">
      <alignment horizontal="center" vertical="center" wrapText="1"/>
      <protection hidden="1"/>
    </xf>
    <xf numFmtId="0" fontId="12" fillId="20" borderId="1" xfId="0" applyFont="1" applyFill="1" applyBorder="1" applyAlignment="1" applyProtection="1">
      <alignment horizontal="center" vertical="center" wrapText="1"/>
      <protection hidden="1"/>
    </xf>
    <xf numFmtId="0" fontId="12" fillId="20" borderId="76" xfId="0" applyFont="1" applyFill="1" applyBorder="1" applyAlignment="1" applyProtection="1">
      <alignment horizontal="center" vertical="center" wrapText="1"/>
      <protection hidden="1"/>
    </xf>
    <xf numFmtId="0" fontId="30" fillId="36" borderId="11" xfId="0" applyFont="1" applyFill="1" applyBorder="1" applyAlignment="1" applyProtection="1">
      <alignment horizontal="center" vertical="center" wrapText="1"/>
      <protection hidden="1"/>
    </xf>
    <xf numFmtId="0" fontId="30" fillId="36" borderId="28" xfId="0" applyFont="1" applyFill="1" applyBorder="1" applyAlignment="1" applyProtection="1">
      <alignment horizontal="center" vertical="center" wrapText="1"/>
      <protection hidden="1"/>
    </xf>
    <xf numFmtId="0" fontId="30" fillId="36" borderId="5" xfId="0" applyFont="1" applyFill="1" applyBorder="1" applyAlignment="1" applyProtection="1">
      <alignment horizontal="center" vertical="center" wrapText="1"/>
      <protection hidden="1"/>
    </xf>
    <xf numFmtId="0" fontId="112" fillId="2" borderId="0" xfId="10" applyFont="1" applyFill="1" applyAlignment="1" applyProtection="1">
      <alignment horizontal="right" vertical="center"/>
      <protection locked="0" hidden="1"/>
    </xf>
    <xf numFmtId="0" fontId="0" fillId="36" borderId="11" xfId="0" applyFill="1" applyBorder="1" applyAlignment="1" applyProtection="1">
      <alignment horizontal="center"/>
      <protection hidden="1"/>
    </xf>
    <xf numFmtId="0" fontId="0" fillId="36" borderId="5" xfId="0" applyFill="1" applyBorder="1" applyAlignment="1" applyProtection="1">
      <alignment horizontal="center"/>
      <protection hidden="1"/>
    </xf>
    <xf numFmtId="0" fontId="0" fillId="29" borderId="11" xfId="0" applyFill="1" applyBorder="1" applyAlignment="1" applyProtection="1">
      <alignment horizontal="center" vertical="center"/>
      <protection locked="0" hidden="1"/>
    </xf>
    <xf numFmtId="0" fontId="0" fillId="29" borderId="5" xfId="0" applyFill="1" applyBorder="1" applyAlignment="1" applyProtection="1">
      <alignment horizontal="center" vertical="center"/>
      <protection locked="0" hidden="1"/>
    </xf>
    <xf numFmtId="0" fontId="30" fillId="0" borderId="4" xfId="0" applyFont="1" applyFill="1" applyBorder="1" applyAlignment="1" applyProtection="1">
      <alignment horizontal="center"/>
      <protection hidden="1"/>
    </xf>
    <xf numFmtId="0" fontId="36" fillId="6" borderId="8" xfId="0" applyFont="1" applyFill="1" applyBorder="1" applyAlignment="1" applyProtection="1">
      <alignment horizontal="center"/>
      <protection hidden="1"/>
    </xf>
    <xf numFmtId="0" fontId="36" fillId="6" borderId="12" xfId="0" applyFont="1" applyFill="1" applyBorder="1" applyAlignment="1" applyProtection="1">
      <alignment horizontal="center"/>
      <protection hidden="1"/>
    </xf>
    <xf numFmtId="0" fontId="36" fillId="6" borderId="7" xfId="0" applyFont="1" applyFill="1" applyBorder="1" applyAlignment="1" applyProtection="1">
      <alignment horizontal="center"/>
      <protection hidden="1"/>
    </xf>
    <xf numFmtId="0" fontId="30" fillId="0" borderId="4" xfId="0" applyFont="1" applyFill="1" applyBorder="1" applyAlignment="1" applyProtection="1">
      <alignment horizontal="center" wrapText="1"/>
      <protection hidden="1"/>
    </xf>
    <xf numFmtId="0" fontId="112" fillId="2" borderId="0" xfId="10" applyFont="1" applyFill="1" applyBorder="1" applyAlignment="1" applyProtection="1">
      <alignment horizontal="left" vertical="center"/>
      <protection hidden="1"/>
    </xf>
    <xf numFmtId="0" fontId="112" fillId="2" borderId="0" xfId="10" applyFont="1" applyFill="1" applyAlignment="1" applyProtection="1">
      <alignment horizontal="right" vertical="center"/>
      <protection hidden="1"/>
    </xf>
    <xf numFmtId="0" fontId="36" fillId="36" borderId="8" xfId="0" applyFont="1" applyFill="1" applyBorder="1" applyAlignment="1" applyProtection="1">
      <alignment horizontal="center"/>
      <protection hidden="1"/>
    </xf>
    <xf numFmtId="0" fontId="36" fillId="36" borderId="12" xfId="0" applyFont="1" applyFill="1" applyBorder="1" applyAlignment="1" applyProtection="1">
      <alignment horizontal="center"/>
      <protection hidden="1"/>
    </xf>
    <xf numFmtId="0" fontId="36" fillId="36" borderId="7" xfId="0" applyFont="1" applyFill="1" applyBorder="1" applyAlignment="1" applyProtection="1">
      <alignment horizontal="center"/>
      <protection hidden="1"/>
    </xf>
    <xf numFmtId="0" fontId="88" fillId="21" borderId="4" xfId="0" applyFont="1" applyFill="1" applyBorder="1" applyAlignment="1" applyProtection="1">
      <alignment horizontal="center" vertical="center" wrapText="1"/>
      <protection hidden="1"/>
    </xf>
    <xf numFmtId="0" fontId="30" fillId="36" borderId="29" xfId="0" applyFont="1" applyFill="1" applyBorder="1" applyAlignment="1" applyProtection="1">
      <alignment horizontal="center" wrapText="1"/>
      <protection hidden="1"/>
    </xf>
    <xf numFmtId="0" fontId="30" fillId="36" borderId="0" xfId="0" applyFont="1" applyFill="1" applyBorder="1" applyAlignment="1" applyProtection="1">
      <alignment horizontal="center" wrapText="1"/>
      <protection hidden="1"/>
    </xf>
    <xf numFmtId="1" fontId="30" fillId="0" borderId="4" xfId="0" applyNumberFormat="1" applyFont="1" applyFill="1" applyBorder="1" applyProtection="1">
      <protection hidden="1"/>
    </xf>
    <xf numFmtId="1" fontId="88" fillId="0" borderId="4" xfId="0" applyNumberFormat="1" applyFont="1" applyFill="1" applyBorder="1" applyAlignment="1" applyProtection="1">
      <alignment wrapText="1"/>
      <protection hidden="1"/>
    </xf>
    <xf numFmtId="1" fontId="30" fillId="0" borderId="4" xfId="0" applyNumberFormat="1" applyFont="1" applyFill="1" applyBorder="1" applyAlignment="1" applyProtection="1">
      <alignment wrapText="1"/>
      <protection hidden="1"/>
    </xf>
    <xf numFmtId="169" fontId="30" fillId="0" borderId="4" xfId="1" applyNumberFormat="1" applyFont="1" applyFill="1" applyBorder="1" applyProtection="1">
      <protection hidden="1"/>
    </xf>
    <xf numFmtId="0" fontId="35" fillId="0" borderId="8" xfId="0" applyFont="1" applyFill="1" applyBorder="1" applyAlignment="1" applyProtection="1">
      <alignment horizontal="left" vertical="center"/>
      <protection locked="0" hidden="1"/>
    </xf>
    <xf numFmtId="0" fontId="35" fillId="0" borderId="12" xfId="0" applyFont="1" applyFill="1" applyBorder="1" applyAlignment="1" applyProtection="1">
      <alignment horizontal="left" vertical="center"/>
      <protection locked="0" hidden="1"/>
    </xf>
    <xf numFmtId="0" fontId="35" fillId="0" borderId="7" xfId="0" applyFont="1" applyFill="1" applyBorder="1" applyAlignment="1" applyProtection="1">
      <alignment horizontal="left" vertical="center"/>
      <protection locked="0" hidden="1"/>
    </xf>
    <xf numFmtId="0" fontId="108" fillId="0" borderId="0" xfId="0" applyFont="1" applyBorder="1" applyAlignment="1" applyProtection="1">
      <alignment horizontal="center" vertical="center"/>
      <protection hidden="1"/>
    </xf>
    <xf numFmtId="0" fontId="107" fillId="5" borderId="12" xfId="0" applyFont="1" applyFill="1" applyBorder="1" applyAlignment="1" applyProtection="1">
      <alignment horizontal="left" vertical="center" wrapText="1" indent="1"/>
      <protection hidden="1"/>
    </xf>
    <xf numFmtId="0" fontId="107" fillId="5" borderId="7" xfId="0" applyFont="1" applyFill="1" applyBorder="1" applyAlignment="1" applyProtection="1">
      <alignment horizontal="left" vertical="center" wrapText="1" indent="1"/>
      <protection hidden="1"/>
    </xf>
    <xf numFmtId="0" fontId="30" fillId="21" borderId="97" xfId="0" applyFont="1" applyFill="1" applyBorder="1" applyAlignment="1" applyProtection="1">
      <alignment vertical="center"/>
      <protection hidden="1"/>
    </xf>
    <xf numFmtId="0" fontId="30" fillId="21" borderId="99" xfId="0" applyFont="1" applyFill="1" applyBorder="1" applyAlignment="1" applyProtection="1">
      <alignment vertical="center"/>
      <protection hidden="1"/>
    </xf>
    <xf numFmtId="0" fontId="30" fillId="21" borderId="101" xfId="0" applyFont="1" applyFill="1" applyBorder="1" applyAlignment="1" applyProtection="1">
      <alignment vertical="center"/>
      <protection hidden="1"/>
    </xf>
    <xf numFmtId="0" fontId="30" fillId="21" borderId="103" xfId="0" applyFont="1" applyFill="1" applyBorder="1" applyAlignment="1" applyProtection="1">
      <alignment vertical="center"/>
      <protection hidden="1"/>
    </xf>
    <xf numFmtId="49" fontId="30" fillId="21" borderId="105" xfId="0" applyNumberFormat="1" applyFont="1" applyFill="1" applyBorder="1" applyAlignment="1" applyProtection="1">
      <alignment vertical="center"/>
      <protection hidden="1"/>
    </xf>
    <xf numFmtId="49" fontId="30" fillId="21" borderId="107" xfId="0" applyNumberFormat="1" applyFont="1" applyFill="1" applyBorder="1" applyAlignment="1" applyProtection="1">
      <alignment vertical="center"/>
      <protection hidden="1"/>
    </xf>
    <xf numFmtId="0" fontId="35" fillId="21" borderId="104" xfId="0" applyFont="1" applyFill="1" applyBorder="1" applyAlignment="1" applyProtection="1">
      <alignment horizontal="center" vertical="center"/>
      <protection hidden="1"/>
    </xf>
    <xf numFmtId="0" fontId="35" fillId="0" borderId="104" xfId="0" applyFont="1" applyBorder="1" applyAlignment="1" applyProtection="1">
      <alignment horizontal="center" vertical="center"/>
      <protection locked="0" hidden="1"/>
    </xf>
    <xf numFmtId="0" fontId="30" fillId="0" borderId="101" xfId="0" applyFont="1" applyBorder="1" applyAlignment="1" applyProtection="1">
      <alignment horizontal="left" vertical="center" wrapText="1"/>
      <protection locked="0" hidden="1"/>
    </xf>
    <xf numFmtId="0" fontId="30" fillId="0" borderId="103" xfId="0" applyFont="1" applyBorder="1" applyAlignment="1" applyProtection="1">
      <alignment horizontal="left" vertical="center" wrapText="1"/>
      <protection locked="0" hidden="1"/>
    </xf>
    <xf numFmtId="0" fontId="30" fillId="21" borderId="105" xfId="0" applyFont="1" applyFill="1" applyBorder="1" applyAlignment="1" applyProtection="1">
      <alignment vertical="center"/>
      <protection hidden="1"/>
    </xf>
    <xf numFmtId="0" fontId="30" fillId="21" borderId="107" xfId="0" applyFont="1" applyFill="1" applyBorder="1" applyAlignment="1" applyProtection="1">
      <alignment vertical="center"/>
      <protection hidden="1"/>
    </xf>
    <xf numFmtId="0" fontId="35" fillId="21" borderId="109" xfId="0" applyFont="1" applyFill="1" applyBorder="1" applyAlignment="1" applyProtection="1">
      <alignment horizontal="center" vertical="center"/>
      <protection hidden="1"/>
    </xf>
    <xf numFmtId="0" fontId="35" fillId="21" borderId="5" xfId="0" applyFont="1" applyFill="1" applyBorder="1" applyAlignment="1" applyProtection="1">
      <alignment horizontal="center" vertical="center"/>
      <protection hidden="1"/>
    </xf>
    <xf numFmtId="0" fontId="35" fillId="0" borderId="109" xfId="0" applyFont="1" applyBorder="1" applyAlignment="1" applyProtection="1">
      <alignment horizontal="center" vertical="center"/>
      <protection locked="0" hidden="1"/>
    </xf>
    <xf numFmtId="0" fontId="35" fillId="0" borderId="5" xfId="0" applyFont="1" applyBorder="1" applyAlignment="1" applyProtection="1">
      <alignment horizontal="center" vertical="center"/>
      <protection locked="0" hidden="1"/>
    </xf>
    <xf numFmtId="0" fontId="30" fillId="0" borderId="105" xfId="0" applyFont="1" applyBorder="1" applyAlignment="1" applyProtection="1">
      <alignment horizontal="left" vertical="center" wrapText="1"/>
      <protection locked="0" hidden="1"/>
    </xf>
    <xf numFmtId="0" fontId="30" fillId="0" borderId="107" xfId="0" applyFont="1" applyBorder="1" applyAlignment="1" applyProtection="1">
      <alignment horizontal="left" vertical="center" wrapText="1"/>
      <protection locked="0" hidden="1"/>
    </xf>
    <xf numFmtId="0" fontId="35" fillId="21" borderId="110" xfId="0" applyFont="1" applyFill="1" applyBorder="1" applyAlignment="1" applyProtection="1">
      <alignment horizontal="center" vertical="center"/>
      <protection hidden="1"/>
    </xf>
    <xf numFmtId="0" fontId="35" fillId="0" borderId="110" xfId="0" applyFont="1" applyBorder="1" applyAlignment="1" applyProtection="1">
      <alignment horizontal="center" vertical="center"/>
      <protection locked="0" hidden="1"/>
    </xf>
    <xf numFmtId="49" fontId="30" fillId="21" borderId="101" xfId="0" applyNumberFormat="1" applyFont="1" applyFill="1" applyBorder="1" applyAlignment="1" applyProtection="1">
      <alignment horizontal="left" vertical="center"/>
      <protection hidden="1"/>
    </xf>
    <xf numFmtId="49" fontId="30" fillId="21" borderId="103" xfId="0" applyNumberFormat="1" applyFont="1" applyFill="1" applyBorder="1" applyAlignment="1" applyProtection="1">
      <alignment horizontal="left" vertical="center"/>
      <protection hidden="1"/>
    </xf>
    <xf numFmtId="49" fontId="30" fillId="0" borderId="101" xfId="0" applyNumberFormat="1" applyFont="1" applyFill="1" applyBorder="1" applyAlignment="1" applyProtection="1">
      <alignment horizontal="left" vertical="center" wrapText="1"/>
      <protection locked="0" hidden="1"/>
    </xf>
    <xf numFmtId="49" fontId="30" fillId="0" borderId="103" xfId="0" applyNumberFormat="1" applyFont="1" applyFill="1" applyBorder="1" applyAlignment="1" applyProtection="1">
      <alignment horizontal="left" vertical="center" wrapText="1"/>
      <protection locked="0" hidden="1"/>
    </xf>
    <xf numFmtId="0" fontId="35" fillId="21" borderId="108" xfId="0" applyFont="1" applyFill="1" applyBorder="1" applyAlignment="1" applyProtection="1">
      <alignment horizontal="center" vertical="center"/>
      <protection hidden="1"/>
    </xf>
    <xf numFmtId="0" fontId="35" fillId="0" borderId="108" xfId="0" applyFont="1" applyBorder="1" applyAlignment="1" applyProtection="1">
      <alignment horizontal="center" vertical="center"/>
      <protection locked="0" hidden="1"/>
    </xf>
    <xf numFmtId="0" fontId="30" fillId="21" borderId="101" xfId="0" applyFont="1" applyFill="1" applyBorder="1" applyAlignment="1" applyProtection="1">
      <alignment horizontal="left" vertical="center"/>
      <protection hidden="1"/>
    </xf>
    <xf numFmtId="0" fontId="30" fillId="21" borderId="103" xfId="0" applyFont="1" applyFill="1" applyBorder="1" applyAlignment="1" applyProtection="1">
      <alignment horizontal="left" vertical="center"/>
      <protection hidden="1"/>
    </xf>
    <xf numFmtId="49" fontId="30" fillId="0" borderId="105" xfId="0" applyNumberFormat="1" applyFont="1" applyFill="1" applyBorder="1" applyAlignment="1" applyProtection="1">
      <alignment horizontal="left" vertical="center" wrapText="1"/>
      <protection locked="0" hidden="1"/>
    </xf>
    <xf numFmtId="49" fontId="30" fillId="0" borderId="107" xfId="0" applyNumberFormat="1" applyFont="1" applyFill="1" applyBorder="1" applyAlignment="1" applyProtection="1">
      <alignment horizontal="left" vertical="center" wrapText="1"/>
      <protection locked="0" hidden="1"/>
    </xf>
    <xf numFmtId="0" fontId="30" fillId="21" borderId="105" xfId="0" applyFont="1" applyFill="1" applyBorder="1" applyAlignment="1" applyProtection="1">
      <alignment horizontal="left" vertical="center"/>
      <protection hidden="1"/>
    </xf>
    <xf numFmtId="0" fontId="30" fillId="21" borderId="107" xfId="0" applyFont="1" applyFill="1" applyBorder="1" applyAlignment="1" applyProtection="1">
      <alignment horizontal="left" vertical="center"/>
      <protection hidden="1"/>
    </xf>
    <xf numFmtId="0" fontId="30" fillId="21" borderId="97" xfId="0" applyFont="1" applyFill="1" applyBorder="1" applyAlignment="1" applyProtection="1">
      <alignment horizontal="left" vertical="center"/>
      <protection hidden="1"/>
    </xf>
    <xf numFmtId="0" fontId="30" fillId="21" borderId="99" xfId="0" applyFont="1" applyFill="1" applyBorder="1" applyAlignment="1" applyProtection="1">
      <alignment horizontal="left" vertical="center"/>
      <protection hidden="1"/>
    </xf>
    <xf numFmtId="0" fontId="30" fillId="21" borderId="101" xfId="0" applyFont="1" applyFill="1" applyBorder="1" applyAlignment="1" applyProtection="1">
      <alignment horizontal="right" vertical="center" wrapText="1"/>
      <protection hidden="1"/>
    </xf>
    <xf numFmtId="0" fontId="30" fillId="21" borderId="102" xfId="0" applyFont="1" applyFill="1" applyBorder="1" applyAlignment="1" applyProtection="1">
      <alignment horizontal="right" vertical="center" wrapText="1"/>
      <protection hidden="1"/>
    </xf>
    <xf numFmtId="0" fontId="30" fillId="21" borderId="103" xfId="0" applyFont="1" applyFill="1" applyBorder="1" applyAlignment="1" applyProtection="1">
      <alignment horizontal="right" vertical="center" wrapText="1"/>
      <protection hidden="1"/>
    </xf>
    <xf numFmtId="0" fontId="30" fillId="21" borderId="105" xfId="0" applyFont="1" applyFill="1" applyBorder="1" applyAlignment="1" applyProtection="1">
      <alignment horizontal="right" vertical="center" wrapText="1"/>
      <protection hidden="1"/>
    </xf>
    <xf numFmtId="0" fontId="30" fillId="21" borderId="106" xfId="0" applyFont="1" applyFill="1" applyBorder="1" applyAlignment="1" applyProtection="1">
      <alignment horizontal="right" vertical="center" wrapText="1"/>
      <protection hidden="1"/>
    </xf>
    <xf numFmtId="0" fontId="30" fillId="21" borderId="107" xfId="0" applyFont="1" applyFill="1" applyBorder="1" applyAlignment="1" applyProtection="1">
      <alignment horizontal="right" vertical="center" wrapText="1"/>
      <protection hidden="1"/>
    </xf>
    <xf numFmtId="0" fontId="104" fillId="11" borderId="8" xfId="0" applyFont="1" applyFill="1" applyBorder="1" applyAlignment="1" applyProtection="1">
      <alignment horizontal="center" vertical="center" wrapText="1"/>
      <protection hidden="1"/>
    </xf>
    <xf numFmtId="0" fontId="104" fillId="11" borderId="12" xfId="0" applyFont="1" applyFill="1" applyBorder="1" applyAlignment="1" applyProtection="1">
      <alignment horizontal="center" vertical="center" wrapText="1"/>
      <protection hidden="1"/>
    </xf>
    <xf numFmtId="0" fontId="104" fillId="11" borderId="7" xfId="0" applyFont="1" applyFill="1" applyBorder="1" applyAlignment="1" applyProtection="1">
      <alignment horizontal="center" vertical="center" wrapText="1"/>
      <protection hidden="1"/>
    </xf>
    <xf numFmtId="0" fontId="103" fillId="0" borderId="0" xfId="0" applyFont="1" applyBorder="1" applyAlignment="1" applyProtection="1">
      <alignment horizontal="center" vertical="center" wrapText="1"/>
      <protection hidden="1"/>
    </xf>
    <xf numFmtId="0" fontId="30" fillId="0" borderId="1" xfId="0" applyFont="1" applyFill="1" applyBorder="1" applyAlignment="1" applyProtection="1">
      <alignment horizontal="left" vertical="top" wrapText="1"/>
      <protection hidden="1"/>
    </xf>
    <xf numFmtId="0" fontId="30" fillId="21" borderId="97" xfId="0" applyFont="1" applyFill="1" applyBorder="1" applyAlignment="1" applyProtection="1">
      <alignment horizontal="right" vertical="center" wrapText="1"/>
      <protection hidden="1"/>
    </xf>
    <xf numFmtId="0" fontId="30" fillId="21" borderId="98" xfId="0" applyFont="1" applyFill="1" applyBorder="1" applyAlignment="1" applyProtection="1">
      <alignment horizontal="right" vertical="center" wrapText="1"/>
      <protection hidden="1"/>
    </xf>
    <xf numFmtId="0" fontId="30" fillId="21" borderId="99" xfId="0" applyFont="1" applyFill="1" applyBorder="1" applyAlignment="1" applyProtection="1">
      <alignment horizontal="right" vertical="center" wrapText="1"/>
      <protection hidden="1"/>
    </xf>
    <xf numFmtId="0" fontId="12" fillId="0" borderId="8" xfId="0" applyFont="1" applyBorder="1" applyAlignment="1" applyProtection="1">
      <alignment horizontal="center" wrapText="1"/>
      <protection hidden="1"/>
    </xf>
    <xf numFmtId="0" fontId="12" fillId="0" borderId="12" xfId="0" applyFont="1" applyBorder="1" applyAlignment="1" applyProtection="1">
      <alignment horizontal="center" wrapText="1"/>
      <protection hidden="1"/>
    </xf>
    <xf numFmtId="0" fontId="12" fillId="0" borderId="7" xfId="0" applyFont="1" applyBorder="1" applyAlignment="1" applyProtection="1">
      <alignment horizontal="center" wrapText="1"/>
      <protection hidden="1"/>
    </xf>
    <xf numFmtId="0" fontId="65" fillId="31" borderId="0" xfId="0" applyFont="1" applyFill="1" applyAlignment="1" applyProtection="1">
      <alignment horizontal="left" wrapText="1"/>
      <protection hidden="1"/>
    </xf>
    <xf numFmtId="0" fontId="48" fillId="0" borderId="65" xfId="0" applyFont="1" applyBorder="1" applyAlignment="1" applyProtection="1">
      <alignment horizontal="center" vertical="center"/>
      <protection hidden="1"/>
    </xf>
    <xf numFmtId="0" fontId="48" fillId="0" borderId="67" xfId="0" applyFont="1" applyBorder="1" applyAlignment="1" applyProtection="1">
      <alignment horizontal="center" vertical="center"/>
      <protection hidden="1"/>
    </xf>
    <xf numFmtId="0" fontId="48" fillId="5" borderId="65" xfId="0" applyFont="1" applyFill="1" applyBorder="1" applyAlignment="1" applyProtection="1">
      <alignment horizontal="center" vertical="center"/>
      <protection hidden="1"/>
    </xf>
    <xf numFmtId="0" fontId="48" fillId="5" borderId="66" xfId="0" applyFont="1" applyFill="1" applyBorder="1" applyAlignment="1" applyProtection="1">
      <alignment horizontal="center" vertical="center"/>
      <protection hidden="1"/>
    </xf>
    <xf numFmtId="0" fontId="48" fillId="5" borderId="67" xfId="0" applyFont="1" applyFill="1" applyBorder="1" applyAlignment="1" applyProtection="1">
      <alignment horizontal="center" vertical="center"/>
      <protection hidden="1"/>
    </xf>
    <xf numFmtId="0" fontId="48" fillId="0" borderId="88" xfId="0" applyFont="1" applyBorder="1" applyAlignment="1" applyProtection="1">
      <alignment horizontal="center" vertical="center" wrapText="1"/>
      <protection hidden="1"/>
    </xf>
    <xf numFmtId="0" fontId="48" fillId="0" borderId="89" xfId="0" applyFont="1" applyBorder="1" applyAlignment="1" applyProtection="1">
      <alignment horizontal="center" vertical="center" wrapText="1"/>
      <protection hidden="1"/>
    </xf>
    <xf numFmtId="49" fontId="48" fillId="0" borderId="86" xfId="0" applyNumberFormat="1" applyFont="1" applyBorder="1" applyAlignment="1" applyProtection="1">
      <alignment horizontal="center" vertical="center" wrapText="1"/>
      <protection hidden="1"/>
    </xf>
    <xf numFmtId="49" fontId="48" fillId="0" borderId="72" xfId="0" applyNumberFormat="1" applyFont="1" applyBorder="1" applyAlignment="1" applyProtection="1">
      <alignment horizontal="center" vertical="center" wrapText="1"/>
      <protection hidden="1"/>
    </xf>
    <xf numFmtId="49" fontId="48" fillId="0" borderId="18" xfId="0" applyNumberFormat="1" applyFont="1" applyBorder="1" applyAlignment="1" applyProtection="1">
      <alignment horizontal="center" vertical="center" wrapText="1"/>
      <protection hidden="1"/>
    </xf>
    <xf numFmtId="49" fontId="48" fillId="0" borderId="19" xfId="0" applyNumberFormat="1" applyFont="1" applyBorder="1" applyAlignment="1" applyProtection="1">
      <alignment horizontal="center" vertical="center" wrapText="1"/>
      <protection hidden="1"/>
    </xf>
    <xf numFmtId="0" fontId="48" fillId="0" borderId="87" xfId="0" applyFont="1" applyBorder="1" applyAlignment="1" applyProtection="1">
      <alignment horizontal="center" vertical="center"/>
      <protection hidden="1"/>
    </xf>
    <xf numFmtId="0" fontId="48" fillId="0" borderId="84" xfId="0" applyFont="1" applyBorder="1" applyAlignment="1" applyProtection="1">
      <alignment horizontal="center" vertical="center"/>
      <protection hidden="1"/>
    </xf>
    <xf numFmtId="0" fontId="48" fillId="0" borderId="47" xfId="0" applyFont="1" applyBorder="1" applyAlignment="1" applyProtection="1">
      <alignment horizontal="center" vertical="center" wrapText="1"/>
      <protection hidden="1"/>
    </xf>
    <xf numFmtId="0" fontId="48" fillId="0" borderId="63" xfId="0" applyFont="1" applyBorder="1" applyAlignment="1" applyProtection="1">
      <alignment horizontal="center" vertical="center" wrapText="1"/>
      <protection hidden="1"/>
    </xf>
    <xf numFmtId="49" fontId="48" fillId="0" borderId="78" xfId="0" applyNumberFormat="1" applyFont="1" applyBorder="1" applyAlignment="1" applyProtection="1">
      <alignment horizontal="center" vertical="center" wrapText="1"/>
      <protection hidden="1"/>
    </xf>
    <xf numFmtId="49" fontId="48" fillId="0" borderId="93" xfId="0" applyNumberFormat="1" applyFont="1" applyBorder="1" applyAlignment="1" applyProtection="1">
      <alignment horizontal="center" vertical="center" wrapText="1"/>
      <protection hidden="1"/>
    </xf>
    <xf numFmtId="0" fontId="48" fillId="0" borderId="47" xfId="0" applyFont="1" applyBorder="1" applyAlignment="1" applyProtection="1">
      <alignment horizontal="center" vertical="center"/>
      <protection hidden="1"/>
    </xf>
    <xf numFmtId="0" fontId="48" fillId="0" borderId="48" xfId="0" applyFont="1" applyBorder="1" applyAlignment="1" applyProtection="1">
      <alignment horizontal="center" vertical="center"/>
      <protection hidden="1"/>
    </xf>
    <xf numFmtId="0" fontId="48" fillId="0" borderId="49" xfId="0" applyFont="1" applyBorder="1" applyAlignment="1" applyProtection="1">
      <alignment horizontal="center" vertical="center"/>
      <protection hidden="1"/>
    </xf>
    <xf numFmtId="0" fontId="48" fillId="0" borderId="7" xfId="0" applyFont="1" applyBorder="1" applyAlignment="1" applyProtection="1">
      <alignment horizontal="center" vertical="center"/>
      <protection hidden="1"/>
    </xf>
    <xf numFmtId="0" fontId="48" fillId="0" borderId="4" xfId="0" applyFont="1" applyBorder="1" applyAlignment="1" applyProtection="1">
      <alignment horizontal="center" vertical="center"/>
      <protection hidden="1"/>
    </xf>
    <xf numFmtId="0" fontId="33" fillId="0" borderId="0" xfId="0" applyFont="1" applyBorder="1" applyAlignment="1" applyProtection="1">
      <alignment horizontal="left" vertical="center" wrapText="1"/>
      <protection hidden="1"/>
    </xf>
    <xf numFmtId="0" fontId="33" fillId="26" borderId="0" xfId="0" applyFont="1" applyFill="1" applyBorder="1" applyAlignment="1" applyProtection="1">
      <alignment horizontal="left" vertical="top" wrapText="1"/>
      <protection hidden="1"/>
    </xf>
    <xf numFmtId="49" fontId="48" fillId="0" borderId="44" xfId="0" applyNumberFormat="1" applyFont="1" applyBorder="1" applyAlignment="1" applyProtection="1">
      <alignment horizontal="center" vertical="center" wrapText="1"/>
      <protection hidden="1"/>
    </xf>
    <xf numFmtId="49" fontId="48" fillId="0" borderId="46" xfId="0" applyNumberFormat="1" applyFont="1" applyBorder="1" applyAlignment="1" applyProtection="1">
      <alignment horizontal="center" vertical="center" wrapText="1"/>
      <protection hidden="1"/>
    </xf>
    <xf numFmtId="0" fontId="48" fillId="0" borderId="44" xfId="0" applyFont="1" applyBorder="1" applyAlignment="1" applyProtection="1">
      <alignment horizontal="center" vertical="center"/>
      <protection hidden="1"/>
    </xf>
    <xf numFmtId="0" fontId="48" fillId="0" borderId="46" xfId="0" applyFont="1" applyBorder="1" applyAlignment="1" applyProtection="1">
      <alignment horizontal="center" vertical="center"/>
      <protection hidden="1"/>
    </xf>
    <xf numFmtId="0" fontId="48" fillId="0" borderId="18" xfId="0" applyFont="1" applyBorder="1" applyAlignment="1" applyProtection="1">
      <alignment horizontal="center" vertical="center"/>
      <protection hidden="1"/>
    </xf>
    <xf numFmtId="0" fontId="48" fillId="0" borderId="19" xfId="0" applyFont="1" applyBorder="1" applyAlignment="1" applyProtection="1">
      <alignment horizontal="center" vertical="center"/>
      <protection hidden="1"/>
    </xf>
    <xf numFmtId="0" fontId="48" fillId="0" borderId="85" xfId="0" applyFont="1" applyBorder="1" applyAlignment="1" applyProtection="1">
      <alignment horizontal="center" vertical="center" wrapText="1"/>
      <protection hidden="1"/>
    </xf>
    <xf numFmtId="0" fontId="48" fillId="0" borderId="70" xfId="0" applyFont="1" applyBorder="1" applyAlignment="1" applyProtection="1">
      <alignment horizontal="center" vertical="center" wrapText="1"/>
      <protection hidden="1"/>
    </xf>
    <xf numFmtId="49" fontId="48" fillId="0" borderId="68" xfId="0" applyNumberFormat="1" applyFont="1" applyBorder="1" applyAlignment="1" applyProtection="1">
      <alignment horizontal="center" vertical="center" wrapText="1"/>
      <protection hidden="1"/>
    </xf>
    <xf numFmtId="49" fontId="48" fillId="0" borderId="71" xfId="0" applyNumberFormat="1" applyFont="1" applyBorder="1" applyAlignment="1" applyProtection="1">
      <alignment horizontal="center" vertical="center" wrapText="1"/>
      <protection hidden="1"/>
    </xf>
    <xf numFmtId="0" fontId="48" fillId="5" borderId="18" xfId="0" applyFont="1" applyFill="1" applyBorder="1" applyAlignment="1" applyProtection="1">
      <alignment horizontal="center" vertical="center"/>
      <protection hidden="1"/>
    </xf>
    <xf numFmtId="0" fontId="48" fillId="5" borderId="19" xfId="0" applyFont="1" applyFill="1" applyBorder="1" applyAlignment="1" applyProtection="1">
      <alignment horizontal="center" vertical="center"/>
      <protection hidden="1"/>
    </xf>
    <xf numFmtId="49" fontId="48" fillId="0" borderId="87" xfId="0" applyNumberFormat="1" applyFont="1" applyBorder="1" applyAlignment="1" applyProtection="1">
      <alignment horizontal="center" vertical="center" wrapText="1"/>
      <protection hidden="1"/>
    </xf>
    <xf numFmtId="49" fontId="48" fillId="0" borderId="84" xfId="0" applyNumberFormat="1" applyFont="1" applyBorder="1" applyAlignment="1" applyProtection="1">
      <alignment horizontal="center" vertical="center" wrapText="1"/>
      <protection hidden="1"/>
    </xf>
    <xf numFmtId="49" fontId="48" fillId="5" borderId="44" xfId="0" applyNumberFormat="1" applyFont="1" applyFill="1" applyBorder="1" applyAlignment="1" applyProtection="1">
      <alignment horizontal="center" vertical="center" wrapText="1"/>
      <protection hidden="1"/>
    </xf>
    <xf numFmtId="49" fontId="48" fillId="5" borderId="46" xfId="0" applyNumberFormat="1" applyFont="1" applyFill="1" applyBorder="1" applyAlignment="1" applyProtection="1">
      <alignment horizontal="center" vertical="center" wrapText="1"/>
      <protection hidden="1"/>
    </xf>
    <xf numFmtId="0" fontId="34" fillId="6" borderId="0" xfId="0" applyFont="1" applyFill="1" applyAlignment="1" applyProtection="1">
      <alignment horizontal="left" vertical="center"/>
      <protection hidden="1"/>
    </xf>
    <xf numFmtId="0" fontId="48" fillId="0" borderId="12" xfId="0" applyFont="1" applyBorder="1" applyAlignment="1" applyProtection="1">
      <alignment horizontal="center" vertical="center"/>
      <protection hidden="1"/>
    </xf>
    <xf numFmtId="0" fontId="48" fillId="0" borderId="13" xfId="0" applyFont="1" applyBorder="1" applyAlignment="1" applyProtection="1">
      <alignment horizontal="center" vertical="center"/>
      <protection hidden="1"/>
    </xf>
    <xf numFmtId="0" fontId="33" fillId="27" borderId="0" xfId="0" applyFont="1" applyFill="1" applyBorder="1" applyAlignment="1" applyProtection="1">
      <alignment horizontal="left" vertical="center" wrapText="1"/>
      <protection hidden="1"/>
    </xf>
    <xf numFmtId="0" fontId="48" fillId="2" borderId="8" xfId="0" applyFont="1" applyFill="1" applyBorder="1" applyAlignment="1" applyProtection="1">
      <alignment horizontal="center" vertical="center"/>
      <protection hidden="1"/>
    </xf>
    <xf numFmtId="0" fontId="48" fillId="2" borderId="7" xfId="0" applyFont="1" applyFill="1" applyBorder="1" applyAlignment="1" applyProtection="1">
      <alignment horizontal="center" vertical="center"/>
      <protection hidden="1"/>
    </xf>
    <xf numFmtId="0" fontId="48" fillId="2" borderId="48" xfId="0" applyFont="1" applyFill="1" applyBorder="1" applyAlignment="1" applyProtection="1">
      <alignment horizontal="center" vertical="center"/>
      <protection hidden="1"/>
    </xf>
    <xf numFmtId="0" fontId="48" fillId="2" borderId="4" xfId="0" applyFont="1" applyFill="1" applyBorder="1" applyAlignment="1" applyProtection="1">
      <alignment horizontal="center" vertical="center"/>
      <protection hidden="1"/>
    </xf>
    <xf numFmtId="49" fontId="48" fillId="2" borderId="47" xfId="0" applyNumberFormat="1" applyFont="1" applyFill="1" applyBorder="1" applyAlignment="1" applyProtection="1">
      <alignment horizontal="center" vertical="center" wrapText="1"/>
      <protection hidden="1"/>
    </xf>
    <xf numFmtId="49" fontId="48" fillId="2" borderId="50" xfId="0" applyNumberFormat="1" applyFont="1" applyFill="1" applyBorder="1" applyAlignment="1" applyProtection="1">
      <alignment horizontal="center" vertical="center" wrapText="1"/>
      <protection hidden="1"/>
    </xf>
    <xf numFmtId="0" fontId="48" fillId="2" borderId="49" xfId="0" applyFont="1" applyFill="1" applyBorder="1" applyAlignment="1" applyProtection="1">
      <alignment horizontal="center" vertical="center" wrapText="1"/>
      <protection hidden="1"/>
    </xf>
    <xf numFmtId="0" fontId="48" fillId="2" borderId="51" xfId="0" applyFont="1" applyFill="1" applyBorder="1" applyAlignment="1" applyProtection="1">
      <alignment horizontal="center" vertical="center" wrapText="1"/>
      <protection hidden="1"/>
    </xf>
    <xf numFmtId="49" fontId="48" fillId="2" borderId="48" xfId="0" applyNumberFormat="1" applyFont="1" applyFill="1" applyBorder="1" applyAlignment="1" applyProtection="1">
      <alignment horizontal="center" vertical="center" wrapText="1"/>
      <protection hidden="1"/>
    </xf>
    <xf numFmtId="49" fontId="48" fillId="2" borderId="4" xfId="0" applyNumberFormat="1" applyFont="1" applyFill="1" applyBorder="1" applyAlignment="1" applyProtection="1">
      <alignment horizontal="center" vertical="center" wrapText="1"/>
      <protection hidden="1"/>
    </xf>
    <xf numFmtId="49" fontId="48" fillId="0" borderId="47" xfId="0" applyNumberFormat="1" applyFont="1" applyBorder="1" applyAlignment="1" applyProtection="1">
      <alignment horizontal="center" vertical="center" wrapText="1"/>
      <protection hidden="1"/>
    </xf>
    <xf numFmtId="49" fontId="48" fillId="0" borderId="50" xfId="0" applyNumberFormat="1" applyFont="1" applyBorder="1" applyAlignment="1" applyProtection="1">
      <alignment horizontal="center" vertical="center" wrapText="1"/>
      <protection hidden="1"/>
    </xf>
    <xf numFmtId="0" fontId="48" fillId="0" borderId="48" xfId="0" applyFont="1" applyBorder="1" applyAlignment="1" applyProtection="1">
      <alignment horizontal="center" vertical="center" wrapText="1"/>
      <protection hidden="1"/>
    </xf>
    <xf numFmtId="0" fontId="48" fillId="0" borderId="4" xfId="0" applyFont="1" applyBorder="1" applyAlignment="1" applyProtection="1">
      <alignment horizontal="center" vertical="center" wrapText="1"/>
      <protection hidden="1"/>
    </xf>
    <xf numFmtId="49" fontId="48" fillId="0" borderId="48" xfId="0" applyNumberFormat="1" applyFont="1" applyBorder="1" applyAlignment="1" applyProtection="1">
      <alignment horizontal="center" vertical="center" wrapText="1"/>
      <protection hidden="1"/>
    </xf>
    <xf numFmtId="49" fontId="48" fillId="0" borderId="4" xfId="0" applyNumberFormat="1" applyFont="1" applyBorder="1" applyAlignment="1" applyProtection="1">
      <alignment horizontal="center" vertical="center" wrapText="1"/>
      <protection hidden="1"/>
    </xf>
    <xf numFmtId="49" fontId="48" fillId="0" borderId="11" xfId="0" applyNumberFormat="1" applyFont="1" applyBorder="1" applyAlignment="1" applyProtection="1">
      <alignment horizontal="center" vertical="center" wrapText="1"/>
      <protection hidden="1"/>
    </xf>
    <xf numFmtId="0" fontId="48" fillId="0" borderId="11" xfId="0" applyFont="1" applyBorder="1" applyAlignment="1" applyProtection="1">
      <alignment horizontal="center" vertical="center"/>
      <protection hidden="1"/>
    </xf>
    <xf numFmtId="0" fontId="48" fillId="0" borderId="91" xfId="0" applyFont="1" applyBorder="1" applyAlignment="1" applyProtection="1">
      <alignment horizontal="center" vertical="center" wrapText="1"/>
      <protection hidden="1"/>
    </xf>
    <xf numFmtId="49" fontId="48" fillId="0" borderId="28" xfId="0" applyNumberFormat="1" applyFont="1" applyBorder="1" applyAlignment="1" applyProtection="1">
      <alignment horizontal="center" vertical="center" wrapText="1"/>
      <protection hidden="1"/>
    </xf>
    <xf numFmtId="49" fontId="48" fillId="0" borderId="90" xfId="0" applyNumberFormat="1" applyFont="1" applyBorder="1" applyAlignment="1" applyProtection="1">
      <alignment horizontal="center" vertical="center" wrapText="1"/>
      <protection hidden="1"/>
    </xf>
    <xf numFmtId="0" fontId="48" fillId="0" borderId="90" xfId="0" applyFont="1" applyBorder="1" applyAlignment="1" applyProtection="1">
      <alignment horizontal="center" vertical="center"/>
      <protection hidden="1"/>
    </xf>
    <xf numFmtId="0" fontId="2" fillId="17" borderId="0" xfId="2" applyFill="1" applyAlignment="1" applyProtection="1">
      <alignment horizontal="center"/>
      <protection hidden="1"/>
    </xf>
    <xf numFmtId="0" fontId="2" fillId="18" borderId="0" xfId="2" applyFill="1" applyAlignment="1" applyProtection="1">
      <alignment horizontal="center"/>
      <protection hidden="1"/>
    </xf>
    <xf numFmtId="0" fontId="2" fillId="10" borderId="0" xfId="2" applyFill="1" applyAlignment="1" applyProtection="1">
      <alignment horizontal="center"/>
      <protection hidden="1"/>
    </xf>
    <xf numFmtId="0" fontId="2" fillId="15" borderId="0" xfId="2" applyFill="1" applyAlignment="1" applyProtection="1">
      <alignment horizontal="center"/>
      <protection hidden="1"/>
    </xf>
    <xf numFmtId="0" fontId="2" fillId="19" borderId="0" xfId="2" applyFill="1" applyAlignment="1" applyProtection="1">
      <alignment horizontal="center"/>
      <protection hidden="1"/>
    </xf>
    <xf numFmtId="0" fontId="2" fillId="12" borderId="0" xfId="2" applyFill="1" applyAlignment="1" applyProtection="1">
      <alignment horizontal="center"/>
      <protection hidden="1"/>
    </xf>
    <xf numFmtId="0" fontId="2" fillId="8" borderId="0" xfId="2" applyFill="1" applyAlignment="1" applyProtection="1">
      <alignment horizontal="center"/>
      <protection hidden="1"/>
    </xf>
    <xf numFmtId="0" fontId="2" fillId="5" borderId="0" xfId="2" applyFill="1" applyAlignment="1" applyProtection="1">
      <alignment horizontal="center"/>
      <protection hidden="1"/>
    </xf>
    <xf numFmtId="0" fontId="2" fillId="7" borderId="0" xfId="2" applyFill="1" applyAlignment="1" applyProtection="1">
      <alignment horizontal="center"/>
      <protection hidden="1"/>
    </xf>
    <xf numFmtId="0" fontId="2" fillId="9" borderId="0" xfId="2" applyFill="1" applyAlignment="1" applyProtection="1">
      <alignment horizontal="center"/>
      <protection hidden="1"/>
    </xf>
    <xf numFmtId="0" fontId="2" fillId="11" borderId="0" xfId="2" applyFill="1" applyAlignment="1" applyProtection="1">
      <alignment horizontal="center"/>
      <protection hidden="1"/>
    </xf>
    <xf numFmtId="2" fontId="43" fillId="0" borderId="4" xfId="0" applyNumberFormat="1" applyFont="1" applyBorder="1" applyAlignment="1" applyProtection="1">
      <alignment horizontal="right" vertical="center" wrapText="1" indent="11"/>
      <protection hidden="1"/>
    </xf>
    <xf numFmtId="2" fontId="43" fillId="0" borderId="4" xfId="0" applyNumberFormat="1" applyFont="1" applyBorder="1" applyAlignment="1" applyProtection="1">
      <alignment horizontal="right" vertical="center" wrapText="1" indent="15"/>
      <protection hidden="1"/>
    </xf>
    <xf numFmtId="2" fontId="26" fillId="0" borderId="11" xfId="0" applyNumberFormat="1" applyFont="1" applyBorder="1" applyAlignment="1" applyProtection="1">
      <alignment horizontal="center" vertical="center" wrapText="1"/>
      <protection hidden="1"/>
    </xf>
    <xf numFmtId="2" fontId="26" fillId="0" borderId="28" xfId="0" applyNumberFormat="1" applyFont="1" applyBorder="1" applyAlignment="1" applyProtection="1">
      <alignment horizontal="center" vertical="center" wrapText="1"/>
      <protection hidden="1"/>
    </xf>
    <xf numFmtId="2" fontId="26" fillId="0" borderId="5" xfId="0" applyNumberFormat="1" applyFont="1" applyBorder="1" applyAlignment="1" applyProtection="1">
      <alignment horizontal="center" vertical="center" wrapText="1"/>
      <protection hidden="1"/>
    </xf>
    <xf numFmtId="2" fontId="48" fillId="0" borderId="4" xfId="0" applyNumberFormat="1" applyFont="1" applyBorder="1" applyAlignment="1" applyProtection="1">
      <alignment horizontal="right" vertical="center" wrapText="1" indent="15"/>
      <protection hidden="1"/>
    </xf>
    <xf numFmtId="2" fontId="43" fillId="28" borderId="4" xfId="0" applyNumberFormat="1" applyFont="1" applyFill="1" applyBorder="1" applyAlignment="1" applyProtection="1">
      <alignment horizontal="right" vertical="center" wrapText="1" indent="15"/>
      <protection hidden="1"/>
    </xf>
    <xf numFmtId="2" fontId="26" fillId="0" borderId="4" xfId="0" applyNumberFormat="1" applyFont="1" applyBorder="1" applyAlignment="1" applyProtection="1">
      <alignment horizontal="right" vertical="center" wrapText="1"/>
      <protection hidden="1"/>
    </xf>
    <xf numFmtId="2" fontId="26" fillId="0" borderId="4" xfId="0" applyNumberFormat="1" applyFont="1" applyBorder="1" applyAlignment="1" applyProtection="1">
      <alignment horizontal="right" vertical="center" wrapText="1" indent="2"/>
      <protection hidden="1"/>
    </xf>
    <xf numFmtId="2" fontId="43" fillId="6" borderId="4" xfId="0" applyNumberFormat="1" applyFont="1" applyFill="1" applyBorder="1" applyAlignment="1" applyProtection="1">
      <alignment horizontal="right" vertical="center" wrapText="1" indent="15"/>
      <protection hidden="1"/>
    </xf>
    <xf numFmtId="2" fontId="26" fillId="0" borderId="4" xfId="0" applyNumberFormat="1" applyFont="1" applyBorder="1" applyAlignment="1" applyProtection="1">
      <alignment horizontal="right" vertical="center" wrapText="1" indent="3"/>
      <protection hidden="1"/>
    </xf>
    <xf numFmtId="2" fontId="26" fillId="0" borderId="4" xfId="0" applyNumberFormat="1" applyFont="1" applyBorder="1" applyAlignment="1" applyProtection="1">
      <alignment horizontal="right" vertical="center" wrapText="1" indent="7"/>
      <protection hidden="1"/>
    </xf>
    <xf numFmtId="0" fontId="57" fillId="14" borderId="40" xfId="0" applyFont="1" applyFill="1" applyBorder="1" applyAlignment="1" applyProtection="1">
      <alignment vertical="top" wrapText="1"/>
      <protection hidden="1"/>
    </xf>
    <xf numFmtId="0" fontId="57" fillId="14" borderId="43" xfId="0" applyFont="1" applyFill="1" applyBorder="1" applyAlignment="1" applyProtection="1">
      <alignment vertical="top" wrapText="1"/>
      <protection hidden="1"/>
    </xf>
    <xf numFmtId="0" fontId="57" fillId="14" borderId="41" xfId="0" applyFont="1" applyFill="1" applyBorder="1" applyAlignment="1" applyProtection="1">
      <alignment vertical="top" wrapText="1"/>
      <protection hidden="1"/>
    </xf>
    <xf numFmtId="0" fontId="57" fillId="14" borderId="37" xfId="0" applyFont="1" applyFill="1" applyBorder="1" applyAlignment="1" applyProtection="1">
      <alignment horizontal="center" vertical="top" wrapText="1"/>
      <protection hidden="1"/>
    </xf>
    <xf numFmtId="0" fontId="57" fillId="14" borderId="42" xfId="0" applyFont="1" applyFill="1" applyBorder="1" applyAlignment="1" applyProtection="1">
      <alignment horizontal="center" vertical="top" wrapText="1"/>
      <protection hidden="1"/>
    </xf>
    <xf numFmtId="0" fontId="57" fillId="14" borderId="38" xfId="0" applyFont="1" applyFill="1" applyBorder="1" applyAlignment="1" applyProtection="1">
      <alignment horizontal="center" vertical="top" wrapText="1"/>
      <protection hidden="1"/>
    </xf>
    <xf numFmtId="0" fontId="57" fillId="14" borderId="34" xfId="0" applyFont="1" applyFill="1" applyBorder="1" applyAlignment="1" applyProtection="1">
      <alignment vertical="top" wrapText="1"/>
      <protection hidden="1"/>
    </xf>
    <xf numFmtId="0" fontId="57" fillId="14" borderId="0" xfId="0" applyFont="1" applyFill="1" applyBorder="1" applyAlignment="1" applyProtection="1">
      <alignment vertical="top" wrapText="1"/>
      <protection hidden="1"/>
    </xf>
    <xf numFmtId="0" fontId="57" fillId="14" borderId="39" xfId="0" applyFont="1" applyFill="1" applyBorder="1" applyAlignment="1" applyProtection="1">
      <alignment vertical="top" wrapText="1"/>
      <protection hidden="1"/>
    </xf>
    <xf numFmtId="49" fontId="0" fillId="0" borderId="18" xfId="0" applyNumberFormat="1" applyFont="1" applyFill="1" applyBorder="1" applyAlignment="1" applyProtection="1">
      <alignment horizontal="center" vertical="center" wrapText="1"/>
      <protection hidden="1"/>
    </xf>
    <xf numFmtId="49" fontId="0" fillId="0" borderId="90" xfId="0" applyNumberFormat="1" applyFont="1" applyFill="1" applyBorder="1" applyAlignment="1" applyProtection="1">
      <alignment horizontal="center" vertical="center" wrapText="1"/>
      <protection hidden="1"/>
    </xf>
    <xf numFmtId="0" fontId="0" fillId="0" borderId="18" xfId="0" applyFill="1" applyBorder="1" applyAlignment="1" applyProtection="1">
      <alignment horizontal="center" vertical="center" wrapText="1"/>
      <protection hidden="1"/>
    </xf>
    <xf numFmtId="0" fontId="0" fillId="0" borderId="55" xfId="0" applyFill="1" applyBorder="1" applyAlignment="1" applyProtection="1">
      <alignment horizontal="center" vertical="center" wrapText="1"/>
      <protection hidden="1"/>
    </xf>
    <xf numFmtId="0" fontId="26" fillId="0" borderId="65" xfId="0" applyFont="1" applyFill="1" applyBorder="1" applyAlignment="1" applyProtection="1">
      <alignment horizontal="center" vertical="center" wrapText="1"/>
      <protection hidden="1"/>
    </xf>
    <xf numFmtId="0" fontId="26" fillId="0" borderId="66" xfId="0" applyFont="1" applyFill="1" applyBorder="1" applyAlignment="1" applyProtection="1">
      <alignment horizontal="center" vertical="center" wrapText="1"/>
      <protection hidden="1"/>
    </xf>
    <xf numFmtId="0" fontId="26" fillId="0" borderId="58" xfId="0" applyFont="1" applyFill="1" applyBorder="1" applyAlignment="1" applyProtection="1">
      <alignment horizontal="center" vertical="center" wrapText="1"/>
      <protection hidden="1"/>
    </xf>
    <xf numFmtId="0" fontId="26" fillId="0" borderId="48" xfId="0" applyFont="1" applyFill="1" applyBorder="1" applyAlignment="1" applyProtection="1">
      <alignment horizontal="center" vertical="center" wrapText="1"/>
      <protection hidden="1"/>
    </xf>
    <xf numFmtId="0" fontId="26" fillId="0" borderId="59" xfId="0" applyFont="1" applyFill="1" applyBorder="1" applyAlignment="1" applyProtection="1">
      <alignment horizontal="center" vertical="center" wrapText="1"/>
      <protection hidden="1"/>
    </xf>
    <xf numFmtId="0" fontId="0" fillId="0" borderId="8" xfId="0" applyFont="1" applyBorder="1" applyAlignment="1" applyProtection="1">
      <alignment horizontal="center"/>
      <protection hidden="1"/>
    </xf>
    <xf numFmtId="0" fontId="0" fillId="0" borderId="7" xfId="0" applyFont="1" applyBorder="1" applyAlignment="1" applyProtection="1">
      <alignment horizontal="center"/>
      <protection hidden="1"/>
    </xf>
    <xf numFmtId="0" fontId="21" fillId="14" borderId="11" xfId="0" applyFont="1" applyFill="1" applyBorder="1" applyAlignment="1" applyProtection="1">
      <alignment horizontal="left" vertical="center" wrapText="1"/>
      <protection hidden="1"/>
    </xf>
    <xf numFmtId="0" fontId="21" fillId="14" borderId="28" xfId="0" applyFont="1" applyFill="1" applyBorder="1" applyAlignment="1" applyProtection="1">
      <alignment horizontal="left" vertical="center" wrapText="1"/>
      <protection hidden="1"/>
    </xf>
    <xf numFmtId="0" fontId="21" fillId="14" borderId="5" xfId="0" applyFont="1" applyFill="1" applyBorder="1" applyAlignment="1" applyProtection="1">
      <alignment horizontal="left" vertical="center" wrapText="1"/>
      <protection hidden="1"/>
    </xf>
    <xf numFmtId="0" fontId="26" fillId="0" borderId="29" xfId="0" applyFont="1" applyBorder="1" applyAlignment="1" applyProtection="1">
      <alignment horizontal="left" vertical="center" wrapText="1"/>
      <protection hidden="1"/>
    </xf>
    <xf numFmtId="0" fontId="12" fillId="0" borderId="28" xfId="0" applyFont="1" applyBorder="1" applyAlignment="1" applyProtection="1">
      <alignment horizontal="center" vertical="center" wrapText="1"/>
      <protection hidden="1"/>
    </xf>
    <xf numFmtId="0" fontId="12" fillId="0" borderId="5" xfId="0" applyFont="1" applyBorder="1" applyAlignment="1" applyProtection="1">
      <alignment horizontal="center" vertical="center" wrapText="1"/>
      <protection hidden="1"/>
    </xf>
    <xf numFmtId="0" fontId="28" fillId="0" borderId="4" xfId="0" applyFont="1" applyFill="1" applyBorder="1" applyAlignment="1" applyProtection="1">
      <alignment horizontal="center" vertical="center" wrapText="1"/>
      <protection hidden="1"/>
    </xf>
    <xf numFmtId="0" fontId="24" fillId="0" borderId="0" xfId="0" applyFont="1" applyAlignment="1" applyProtection="1">
      <alignment horizontal="center" vertical="center" wrapText="1"/>
      <protection hidden="1"/>
    </xf>
    <xf numFmtId="0" fontId="24" fillId="0" borderId="26" xfId="0" applyFont="1" applyBorder="1" applyAlignment="1" applyProtection="1">
      <alignment horizontal="center" vertical="center" wrapText="1"/>
      <protection hidden="1"/>
    </xf>
    <xf numFmtId="0" fontId="24" fillId="0" borderId="15" xfId="0" applyFont="1" applyBorder="1" applyAlignment="1" applyProtection="1">
      <alignment horizontal="center" vertical="center" wrapText="1"/>
      <protection hidden="1"/>
    </xf>
    <xf numFmtId="0" fontId="14" fillId="0" borderId="22" xfId="0" applyFont="1" applyBorder="1" applyAlignment="1" applyProtection="1">
      <alignment horizontal="center" vertical="center" wrapText="1"/>
      <protection hidden="1"/>
    </xf>
    <xf numFmtId="0" fontId="14" fillId="0" borderId="20" xfId="0" applyFont="1" applyBorder="1" applyAlignment="1" applyProtection="1">
      <alignment horizontal="center" vertical="center" wrapText="1"/>
      <protection hidden="1"/>
    </xf>
    <xf numFmtId="0" fontId="28" fillId="0" borderId="4" xfId="0" applyFont="1" applyBorder="1" applyAlignment="1" applyProtection="1">
      <alignment horizontal="center" vertical="center"/>
      <protection hidden="1"/>
    </xf>
    <xf numFmtId="0" fontId="39" fillId="0" borderId="4" xfId="0" applyFont="1" applyBorder="1" applyAlignment="1" applyProtection="1">
      <alignment horizontal="center" vertical="center"/>
      <protection hidden="1"/>
    </xf>
    <xf numFmtId="0" fontId="28" fillId="0" borderId="4" xfId="0" applyFont="1" applyBorder="1" applyAlignment="1" applyProtection="1">
      <alignment horizontal="center" vertical="center" wrapText="1"/>
      <protection hidden="1"/>
    </xf>
    <xf numFmtId="0" fontId="7" fillId="0" borderId="4" xfId="0" applyFont="1" applyBorder="1" applyAlignment="1" applyProtection="1">
      <alignment horizontal="center"/>
      <protection hidden="1"/>
    </xf>
    <xf numFmtId="4" fontId="30" fillId="26" borderId="4" xfId="0" applyNumberFormat="1" applyFont="1" applyFill="1" applyBorder="1" applyProtection="1">
      <protection locked="0" hidden="1"/>
    </xf>
  </cellXfs>
  <cellStyles count="11">
    <cellStyle name="Normal 2" xfId="3"/>
    <cellStyle name="Гиперссылка" xfId="10" builtinId="8"/>
    <cellStyle name="Обычный" xfId="0" builtinId="0"/>
    <cellStyle name="Обычный 2" xfId="2"/>
    <cellStyle name="Обычный 2 2" xfId="6"/>
    <cellStyle name="Обычный 3" xfId="5"/>
    <cellStyle name="Обычный 5" xfId="4"/>
    <cellStyle name="Процентный" xfId="1" builtinId="5"/>
    <cellStyle name="Процентный 2" xfId="7"/>
    <cellStyle name="Финансовый" xfId="8" builtinId="3"/>
    <cellStyle name="Финансовый 2" xfId="9"/>
  </cellStyles>
  <dxfs count="130">
    <dxf>
      <border diagonalUp="0" diagonalDown="0">
        <left/>
        <right/>
        <top style="thin">
          <color indexed="64"/>
        </top>
        <bottom style="thin">
          <color indexed="64"/>
        </bottom>
        <vertical style="thin">
          <color indexed="64"/>
        </vertical>
        <horizontal style="thin">
          <color indexed="64"/>
        </horizontal>
      </border>
      <protection hidden="1"/>
    </dxf>
    <dxf>
      <border>
        <top style="thin">
          <color indexed="64"/>
        </top>
      </border>
    </dxf>
    <dxf>
      <border diagonalUp="0" diagonalDown="0">
        <left style="thin">
          <color indexed="64"/>
        </left>
        <right style="thin">
          <color indexed="64"/>
        </right>
        <top style="thin">
          <color indexed="64"/>
        </top>
        <bottom style="thin">
          <color indexed="64"/>
        </bottom>
      </border>
    </dxf>
    <dxf>
      <protection hidden="1"/>
    </dxf>
    <dxf>
      <border>
        <bottom style="thin">
          <color indexed="64"/>
        </bottom>
      </border>
    </dxf>
    <dxf>
      <font>
        <b/>
        <i val="0"/>
        <strike val="0"/>
        <condense val="0"/>
        <extend val="0"/>
        <outline val="0"/>
        <shadow val="0"/>
        <u val="none"/>
        <vertAlign val="baseline"/>
        <sz val="11"/>
        <color theme="1"/>
        <name val="Calibri"/>
        <scheme val="minor"/>
      </font>
      <border diagonalUp="0" diagonalDown="0">
        <left style="thin">
          <color indexed="64"/>
        </left>
        <right style="thin">
          <color indexed="64"/>
        </right>
        <top/>
        <bottom/>
        <vertical style="thin">
          <color indexed="64"/>
        </vertical>
        <horizontal style="thin">
          <color indexed="64"/>
        </horizontal>
      </border>
      <protection hidden="1"/>
    </dxf>
    <dxf>
      <border diagonalUp="0" diagonalDown="0">
        <left/>
        <right/>
        <top style="thin">
          <color indexed="64"/>
        </top>
        <bottom style="thin">
          <color indexed="64"/>
        </bottom>
        <vertical style="thin">
          <color indexed="64"/>
        </vertical>
        <horizontal style="thin">
          <color indexed="64"/>
        </horizontal>
      </border>
      <protection hidden="1"/>
    </dxf>
    <dxf>
      <border>
        <top style="thin">
          <color indexed="64"/>
        </top>
      </border>
    </dxf>
    <dxf>
      <border diagonalUp="0" diagonalDown="0">
        <left style="thin">
          <color indexed="64"/>
        </left>
        <right style="thin">
          <color indexed="64"/>
        </right>
        <top style="thin">
          <color indexed="64"/>
        </top>
        <bottom style="thin">
          <color indexed="64"/>
        </bottom>
      </border>
    </dxf>
    <dxf>
      <protection hidden="1"/>
    </dxf>
    <dxf>
      <border>
        <bottom style="thin">
          <color indexed="64"/>
        </bottom>
      </border>
    </dxf>
    <dxf>
      <font>
        <b/>
        <i val="0"/>
        <strike val="0"/>
        <condense val="0"/>
        <extend val="0"/>
        <outline val="0"/>
        <shadow val="0"/>
        <u val="none"/>
        <vertAlign val="baseline"/>
        <sz val="11"/>
        <color theme="1"/>
        <name val="Calibri"/>
        <scheme val="minor"/>
      </font>
      <border diagonalUp="0" diagonalDown="0">
        <left style="thin">
          <color indexed="64"/>
        </left>
        <right style="thin">
          <color indexed="64"/>
        </right>
        <top/>
        <bottom/>
        <vertical style="thin">
          <color indexed="64"/>
        </vertical>
        <horizontal style="thin">
          <color indexed="64"/>
        </horizontal>
      </border>
      <protection hidden="1"/>
    </dxf>
    <dxf>
      <border diagonalUp="0" diagonalDown="0">
        <left/>
        <right/>
        <top style="thin">
          <color indexed="64"/>
        </top>
        <bottom style="thin">
          <color indexed="64"/>
        </bottom>
        <vertical style="thin">
          <color indexed="64"/>
        </vertical>
        <horizontal style="thin">
          <color indexed="64"/>
        </horizontal>
      </border>
      <protection hidden="1"/>
    </dxf>
    <dxf>
      <border>
        <top style="thin">
          <color indexed="64"/>
        </top>
      </border>
    </dxf>
    <dxf>
      <border diagonalUp="0" diagonalDown="0">
        <left style="thin">
          <color indexed="64"/>
        </left>
        <right style="thin">
          <color indexed="64"/>
        </right>
        <top style="thin">
          <color indexed="64"/>
        </top>
        <bottom style="thin">
          <color indexed="64"/>
        </bottom>
      </border>
    </dxf>
    <dxf>
      <protection hidden="1"/>
    </dxf>
    <dxf>
      <border>
        <bottom style="thin">
          <color indexed="64"/>
        </bottom>
      </border>
    </dxf>
    <dxf>
      <font>
        <b/>
        <i val="0"/>
        <strike val="0"/>
        <condense val="0"/>
        <extend val="0"/>
        <outline val="0"/>
        <shadow val="0"/>
        <u val="none"/>
        <vertAlign val="baseline"/>
        <sz val="11"/>
        <color theme="1"/>
        <name val="Calibri"/>
        <scheme val="minor"/>
      </font>
      <border diagonalUp="0" diagonalDown="0">
        <left style="thin">
          <color indexed="64"/>
        </left>
        <right style="thin">
          <color indexed="64"/>
        </right>
        <top/>
        <bottom/>
        <vertical style="thin">
          <color indexed="64"/>
        </vertical>
        <horizontal style="thin">
          <color indexed="64"/>
        </horizontal>
      </border>
      <protection hidden="1"/>
    </dxf>
    <dxf>
      <font>
        <b val="0"/>
        <i val="0"/>
        <strike val="0"/>
        <condense val="0"/>
        <extend val="0"/>
        <outline val="0"/>
        <shadow val="0"/>
        <u val="none"/>
        <vertAlign val="baseline"/>
        <sz val="12"/>
        <color theme="1"/>
        <name val="Calibri"/>
        <scheme val="none"/>
      </font>
      <alignment horizontal="general" vertical="bottom" textRotation="0" wrapText="0" indent="0" justifyLastLine="0" shrinkToFit="0" readingOrder="0"/>
      <border diagonalUp="0" diagonalDown="0">
        <left style="thin">
          <color auto="1"/>
        </left>
        <right/>
        <top style="thin">
          <color auto="1"/>
        </top>
        <bottom style="thin">
          <color auto="1"/>
        </bottom>
      </border>
      <protection hidden="1"/>
    </dxf>
    <dxf>
      <font>
        <b val="0"/>
        <i val="0"/>
        <strike val="0"/>
        <condense val="0"/>
        <extend val="0"/>
        <outline val="0"/>
        <shadow val="0"/>
        <u val="none"/>
        <vertAlign val="baseline"/>
        <sz val="12"/>
        <color theme="1"/>
        <name val="Calibri"/>
        <scheme val="none"/>
      </font>
      <alignment horizontal="general" vertical="bottom" textRotation="0" wrapText="0" indent="0" justifyLastLine="0" shrinkToFit="0" readingOrder="0"/>
      <border diagonalUp="0" diagonalDown="0">
        <left/>
        <right style="thin">
          <color auto="1"/>
        </right>
        <top style="thin">
          <color auto="1"/>
        </top>
        <bottom style="thin">
          <color auto="1"/>
        </bottom>
      </border>
      <protection hidden="1"/>
    </dxf>
    <dxf>
      <border outline="0">
        <top style="thin">
          <color auto="1"/>
        </top>
      </border>
    </dxf>
    <dxf>
      <border outline="0">
        <left style="thin">
          <color auto="1"/>
        </left>
        <right style="thin">
          <color auto="1"/>
        </right>
        <top style="thin">
          <color auto="1"/>
        </top>
        <bottom style="thin">
          <color auto="1"/>
        </bottom>
      </border>
    </dxf>
    <dxf>
      <alignment horizontal="general" vertical="bottom" textRotation="0" wrapText="0" indent="0" justifyLastLine="0" shrinkToFit="0" readingOrder="0"/>
      <protection hidden="1"/>
    </dxf>
    <dxf>
      <border outline="0">
        <bottom style="thin">
          <color auto="1"/>
        </bottom>
      </border>
    </dxf>
    <dxf>
      <font>
        <b/>
        <i val="0"/>
        <strike val="0"/>
        <condense val="0"/>
        <extend val="0"/>
        <outline val="0"/>
        <shadow val="0"/>
        <u val="none"/>
        <vertAlign val="baseline"/>
        <sz val="11"/>
        <color theme="1"/>
        <name val="Calibri"/>
        <scheme val="minor"/>
      </font>
      <alignment horizontal="general" vertical="bottom" textRotation="0" wrapText="0" indent="0" justifyLastLine="0" shrinkToFit="0" readingOrder="0"/>
      <border diagonalUp="0" diagonalDown="0">
        <left style="thin">
          <color auto="1"/>
        </left>
        <right style="thin">
          <color auto="1"/>
        </right>
        <top/>
        <bottom/>
      </border>
      <protection hidden="1"/>
    </dxf>
    <dxf>
      <font>
        <color theme="0" tint="-4.9989318521683403E-2"/>
      </font>
      <fill>
        <patternFill>
          <bgColor theme="0" tint="-4.9989318521683403E-2"/>
        </patternFill>
      </fill>
    </dxf>
    <dxf>
      <font>
        <strike/>
        <color theme="0" tint="-4.9989318521683403E-2"/>
      </font>
      <numFmt numFmtId="0" formatCode="General"/>
      <fill>
        <patternFill>
          <bgColor theme="0" tint="-4.9989318521683403E-2"/>
        </patternFill>
      </fill>
    </dxf>
    <dxf>
      <fill>
        <patternFill>
          <bgColor rgb="FF92D050"/>
        </patternFill>
      </fill>
    </dxf>
    <dxf>
      <font>
        <color theme="0" tint="-4.9989318521683403E-2"/>
      </font>
      <fill>
        <patternFill>
          <bgColor theme="0" tint="-4.9989318521683403E-2"/>
        </patternFill>
      </fill>
      <border>
        <right/>
        <top/>
      </border>
    </dxf>
    <dxf>
      <fill>
        <patternFill>
          <bgColor rgb="FF92D050"/>
        </patternFill>
      </fill>
    </dxf>
    <dxf>
      <font>
        <color theme="0" tint="-4.9989318521683403E-2"/>
      </font>
      <fill>
        <patternFill>
          <bgColor theme="0" tint="-4.9989318521683403E-2"/>
        </patternFill>
      </fill>
      <border>
        <right/>
      </border>
    </dxf>
    <dxf>
      <font>
        <strike/>
        <color theme="0" tint="-4.9989318521683403E-2"/>
      </font>
      <fill>
        <patternFill>
          <bgColor theme="0" tint="-4.9989318521683403E-2"/>
        </patternFill>
      </fill>
      <border>
        <top/>
        <bottom/>
      </border>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CCFF99"/>
        </patternFill>
      </fill>
    </dxf>
    <dxf>
      <fill>
        <patternFill>
          <bgColor rgb="FFCCFF99"/>
        </patternFill>
      </fill>
    </dxf>
    <dxf>
      <fill>
        <patternFill>
          <bgColor rgb="FFCCFF99"/>
        </patternFill>
      </fill>
    </dxf>
    <dxf>
      <fill>
        <patternFill>
          <bgColor rgb="FFCCFF99"/>
        </patternFill>
      </fill>
    </dxf>
    <dxf>
      <fill>
        <patternFill>
          <bgColor rgb="FFCCFF99"/>
        </patternFill>
      </fill>
    </dxf>
    <dxf>
      <font>
        <color theme="0" tint="-0.24994659260841701"/>
      </font>
      <fill>
        <patternFill>
          <bgColor theme="0" tint="-0.14996795556505021"/>
        </patternFill>
      </fill>
    </dxf>
    <dxf>
      <font>
        <color theme="0" tint="-0.24994659260841701"/>
      </font>
      <fill>
        <patternFill>
          <bgColor theme="0" tint="-0.14996795556505021"/>
        </patternFill>
      </fill>
    </dxf>
    <dxf>
      <font>
        <color theme="0" tint="-0.24994659260841701"/>
      </font>
      <fill>
        <patternFill>
          <bgColor theme="0" tint="-0.14996795556505021"/>
        </patternFill>
      </fill>
    </dxf>
    <dxf>
      <font>
        <color theme="0" tint="-0.24994659260841701"/>
      </font>
      <fill>
        <patternFill>
          <bgColor theme="0" tint="-0.14996795556505021"/>
        </patternFill>
      </fill>
    </dxf>
    <dxf>
      <font>
        <color theme="0" tint="-0.24994659260841701"/>
      </font>
      <fill>
        <patternFill>
          <bgColor theme="0" tint="-0.14996795556505021"/>
        </patternFill>
      </fill>
    </dxf>
    <dxf>
      <fill>
        <patternFill>
          <bgColor rgb="FFCCFF99"/>
        </patternFill>
      </fill>
    </dxf>
    <dxf>
      <font>
        <color theme="0" tint="-0.24994659260841701"/>
      </font>
      <fill>
        <patternFill>
          <bgColor theme="0" tint="-0.14996795556505021"/>
        </patternFill>
      </fill>
    </dxf>
    <dxf>
      <fill>
        <patternFill>
          <bgColor rgb="FFCCFF99"/>
        </patternFill>
      </fill>
    </dxf>
    <dxf>
      <fill>
        <patternFill>
          <bgColor rgb="FFCCFF99"/>
        </patternFill>
      </fill>
    </dxf>
    <dxf>
      <fill>
        <patternFill>
          <bgColor rgb="FFCCFF99"/>
        </patternFill>
      </fill>
    </dxf>
    <dxf>
      <fill>
        <patternFill>
          <bgColor rgb="FFCCFF99"/>
        </patternFill>
      </fill>
    </dxf>
    <dxf>
      <fill>
        <patternFill>
          <bgColor rgb="FFCCFF99"/>
        </patternFill>
      </fill>
    </dxf>
    <dxf>
      <fill>
        <patternFill>
          <bgColor rgb="FFCCFF99"/>
        </patternFill>
      </fill>
    </dxf>
    <dxf>
      <fill>
        <patternFill>
          <bgColor rgb="FFCCFF99"/>
        </patternFill>
      </fill>
    </dxf>
    <dxf>
      <fill>
        <patternFill>
          <bgColor rgb="FFCCFF99"/>
        </patternFill>
      </fill>
    </dxf>
    <dxf>
      <fill>
        <patternFill>
          <bgColor rgb="FFCCFF99"/>
        </patternFill>
      </fill>
    </dxf>
    <dxf>
      <fill>
        <patternFill>
          <bgColor rgb="FFCCFF99"/>
        </patternFill>
      </fill>
    </dxf>
    <dxf>
      <fill>
        <patternFill>
          <bgColor rgb="FFCCFF99"/>
        </patternFill>
      </fill>
    </dxf>
    <dxf>
      <fill>
        <patternFill>
          <bgColor rgb="FFCCFF99"/>
        </patternFill>
      </fill>
    </dxf>
    <dxf>
      <fill>
        <patternFill>
          <bgColor rgb="FFCCFF99"/>
        </patternFill>
      </fill>
    </dxf>
    <dxf>
      <fill>
        <patternFill>
          <bgColor rgb="FFCCFF99"/>
        </patternFill>
      </fill>
    </dxf>
    <dxf>
      <fill>
        <patternFill>
          <bgColor rgb="FFCCFF99"/>
        </patternFill>
      </fill>
    </dxf>
    <dxf>
      <fill>
        <patternFill>
          <bgColor rgb="FFCCFF99"/>
        </patternFill>
      </fill>
    </dxf>
    <dxf>
      <fill>
        <patternFill>
          <bgColor rgb="FFCCFF99"/>
        </patternFill>
      </fill>
    </dxf>
    <dxf>
      <fill>
        <patternFill>
          <bgColor rgb="FFCCFF99"/>
        </patternFill>
      </fill>
    </dxf>
    <dxf>
      <fill>
        <patternFill>
          <bgColor rgb="FFCCFF99"/>
        </patternFill>
      </fill>
    </dxf>
    <dxf>
      <fill>
        <patternFill>
          <bgColor rgb="FFCCFF99"/>
        </patternFill>
      </fill>
    </dxf>
    <dxf>
      <fill>
        <patternFill>
          <bgColor rgb="FFCCFF99"/>
        </patternFill>
      </fill>
    </dxf>
    <dxf>
      <fill>
        <patternFill>
          <bgColor rgb="FFCCFF99"/>
        </patternFill>
      </fill>
    </dxf>
    <dxf>
      <fill>
        <patternFill>
          <bgColor rgb="FFCCFF99"/>
        </patternFill>
      </fill>
    </dxf>
    <dxf>
      <fill>
        <patternFill>
          <bgColor rgb="FFCCFF99"/>
        </patternFill>
      </fill>
    </dxf>
    <dxf>
      <fill>
        <patternFill>
          <bgColor rgb="FFCCFF99"/>
        </patternFill>
      </fill>
    </dxf>
    <dxf>
      <fill>
        <patternFill>
          <bgColor rgb="FFCCFF99"/>
        </patternFill>
      </fill>
    </dxf>
    <dxf>
      <fill>
        <patternFill>
          <bgColor rgb="FFCCFF99"/>
        </patternFill>
      </fill>
    </dxf>
    <dxf>
      <fill>
        <patternFill>
          <bgColor rgb="FFCCFF99"/>
        </patternFill>
      </fill>
    </dxf>
    <dxf>
      <font>
        <color theme="0" tint="-0.24994659260841701"/>
      </font>
      <fill>
        <patternFill>
          <bgColor theme="0" tint="-0.14996795556505021"/>
        </patternFill>
      </fill>
    </dxf>
    <dxf>
      <font>
        <color theme="0" tint="-0.24994659260841701"/>
      </font>
      <fill>
        <patternFill>
          <bgColor theme="0" tint="-0.14996795556505021"/>
        </patternFill>
      </fill>
    </dxf>
    <dxf>
      <font>
        <color theme="0" tint="-0.24994659260841701"/>
      </font>
      <fill>
        <patternFill>
          <bgColor theme="0" tint="-0.14996795556505021"/>
        </patternFill>
      </fill>
    </dxf>
    <dxf>
      <font>
        <color theme="0" tint="-0.24994659260841701"/>
      </font>
      <fill>
        <patternFill>
          <bgColor theme="0" tint="-0.14996795556505021"/>
        </patternFill>
      </fill>
    </dxf>
    <dxf>
      <font>
        <color theme="0" tint="-0.24994659260841701"/>
      </font>
      <fill>
        <patternFill>
          <bgColor theme="0" tint="-0.14996795556505021"/>
        </patternFill>
      </fill>
    </dxf>
    <dxf>
      <font>
        <color theme="0" tint="-0.24994659260841701"/>
      </font>
      <fill>
        <patternFill>
          <bgColor theme="0" tint="-0.14996795556505021"/>
        </patternFill>
      </fill>
    </dxf>
    <dxf>
      <font>
        <color theme="0" tint="-0.24994659260841701"/>
      </font>
      <fill>
        <patternFill>
          <bgColor theme="0" tint="-0.14996795556505021"/>
        </patternFill>
      </fill>
    </dxf>
    <dxf>
      <font>
        <color theme="0" tint="-0.24994659260841701"/>
      </font>
      <fill>
        <patternFill>
          <bgColor theme="0" tint="-0.14996795556505021"/>
        </patternFill>
      </fill>
    </dxf>
    <dxf>
      <fill>
        <patternFill>
          <bgColor rgb="FFFF0000"/>
        </patternFill>
      </fill>
    </dxf>
    <dxf>
      <font>
        <color theme="0" tint="-0.24994659260841701"/>
      </font>
      <fill>
        <patternFill>
          <bgColor theme="0" tint="-0.14996795556505021"/>
        </patternFill>
      </fill>
    </dxf>
    <dxf>
      <font>
        <color theme="0" tint="-0.24994659260841701"/>
      </font>
      <fill>
        <patternFill>
          <bgColor theme="0" tint="-0.14996795556505021"/>
        </patternFill>
      </fill>
    </dxf>
    <dxf>
      <font>
        <color theme="0" tint="-0.24994659260841701"/>
      </font>
      <fill>
        <patternFill>
          <bgColor theme="0" tint="-0.14996795556505021"/>
        </patternFill>
      </fill>
    </dxf>
    <dxf>
      <font>
        <color theme="0" tint="-0.24994659260841701"/>
      </font>
      <fill>
        <patternFill>
          <bgColor theme="0" tint="-0.14996795556505021"/>
        </patternFill>
      </fill>
    </dxf>
    <dxf>
      <font>
        <color theme="0" tint="-0.24994659260841701"/>
      </font>
      <fill>
        <patternFill>
          <bgColor theme="0" tint="-0.14996795556505021"/>
        </patternFill>
      </fill>
    </dxf>
    <dxf>
      <font>
        <color theme="0" tint="-0.34998626667073579"/>
      </font>
      <fill>
        <patternFill>
          <bgColor theme="0" tint="-0.14996795556505021"/>
        </patternFill>
      </fill>
    </dxf>
    <dxf>
      <font>
        <color theme="0" tint="-0.34998626667073579"/>
      </font>
      <fill>
        <patternFill>
          <bgColor theme="0" tint="-0.14996795556505021"/>
        </patternFill>
      </fill>
    </dxf>
    <dxf>
      <font>
        <color theme="0" tint="-0.24994659260841701"/>
      </font>
      <fill>
        <patternFill>
          <bgColor theme="0" tint="-0.14996795556505021"/>
        </patternFill>
      </fill>
    </dxf>
    <dxf>
      <font>
        <color theme="0" tint="-0.24994659260841701"/>
      </font>
      <fill>
        <patternFill>
          <bgColor theme="0" tint="-0.14996795556505021"/>
        </patternFill>
      </fill>
    </dxf>
    <dxf>
      <font>
        <color theme="0" tint="-0.24994659260841701"/>
      </font>
      <fill>
        <patternFill>
          <bgColor theme="0" tint="-0.14996795556505021"/>
        </patternFill>
      </fill>
    </dxf>
    <dxf>
      <font>
        <color auto="1"/>
      </font>
      <fill>
        <patternFill>
          <bgColor rgb="FFCCFF99"/>
        </patternFill>
      </fill>
    </dxf>
    <dxf>
      <fill>
        <patternFill>
          <bgColor theme="1" tint="0.24994659260841701"/>
        </patternFill>
      </fill>
    </dxf>
    <dxf>
      <font>
        <color rgb="FFC0F094"/>
      </font>
    </dxf>
    <dxf>
      <font>
        <color auto="1"/>
      </font>
      <fill>
        <patternFill>
          <bgColor rgb="FFCCFF99"/>
        </patternFill>
      </fill>
    </dxf>
    <dxf>
      <fill>
        <patternFill>
          <bgColor theme="1" tint="0.24994659260841701"/>
        </patternFill>
      </fill>
    </dxf>
    <dxf>
      <font>
        <color auto="1"/>
      </font>
      <fill>
        <patternFill>
          <bgColor rgb="FFCCFF99"/>
        </patternFill>
      </fill>
    </dxf>
    <dxf>
      <fill>
        <patternFill>
          <bgColor theme="1" tint="0.24994659260841701"/>
        </patternFill>
      </fill>
    </dxf>
    <dxf>
      <font>
        <color auto="1"/>
      </font>
      <fill>
        <patternFill>
          <bgColor rgb="FFCCFF99"/>
        </patternFill>
      </fill>
    </dxf>
    <dxf>
      <fill>
        <patternFill>
          <bgColor theme="1" tint="0.24994659260841701"/>
        </patternFill>
      </fill>
    </dxf>
    <dxf>
      <font>
        <color auto="1"/>
      </font>
      <fill>
        <patternFill>
          <bgColor rgb="FFCCFF99"/>
        </patternFill>
      </fill>
    </dxf>
    <dxf>
      <fill>
        <patternFill>
          <bgColor theme="1" tint="0.24994659260841701"/>
        </patternFill>
      </fill>
    </dxf>
    <dxf>
      <fill>
        <patternFill>
          <bgColor rgb="FFFF0000"/>
        </patternFill>
      </fill>
    </dxf>
    <dxf>
      <fill>
        <patternFill>
          <bgColor rgb="FFFF0000"/>
        </patternFill>
      </fill>
    </dxf>
    <dxf>
      <font>
        <b val="0"/>
        <i/>
        <color theme="9" tint="-0.24994659260841701"/>
      </font>
    </dxf>
    <dxf>
      <font>
        <b val="0"/>
        <i/>
        <color theme="9" tint="-0.24994659260841701"/>
      </font>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theme="1"/>
      </font>
      <fill>
        <patternFill>
          <bgColor rgb="FFFF0000"/>
        </patternFill>
      </fill>
    </dxf>
    <dxf>
      <font>
        <color theme="0" tint="-0.24994659260841701"/>
      </font>
      <fill>
        <patternFill>
          <bgColor theme="0" tint="-0.14996795556505021"/>
        </patternFill>
      </fill>
    </dxf>
  </dxfs>
  <tableStyles count="0" defaultTableStyle="TableStyleMedium2" defaultPivotStyle="PivotStyleLight16"/>
  <colors>
    <mruColors>
      <color rgb="FFCCFF99"/>
      <color rgb="FFEAEAEA"/>
      <color rgb="FFE3F3D1"/>
      <color rgb="FFC9C9C9"/>
      <color rgb="FFC0F094"/>
      <color rgb="FFCCFFCC"/>
      <color rgb="FF8FE2FF"/>
      <color rgb="FFB8FF71"/>
      <color rgb="FF99FF66"/>
      <color rgb="FFADDB7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0.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15.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17.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19.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6.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8.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a:pPr>
            <a:r>
              <a:rPr lang="ru-RU" sz="1200"/>
              <a:t>Вклад выбранных мероприятий в ожидаемую (расчетную) экономию затрат на коммунальные ресурсы</a:t>
            </a:r>
            <a:endParaRPr lang="ru-RU" sz="1200" b="0"/>
          </a:p>
        </c:rich>
      </c:tx>
      <c:layout>
        <c:manualLayout>
          <c:xMode val="edge"/>
          <c:yMode val="edge"/>
          <c:x val="0.12228610179708398"/>
          <c:y val="9.4835998260953576E-3"/>
        </c:manualLayout>
      </c:layout>
      <c:overlay val="0"/>
    </c:title>
    <c:autoTitleDeleted val="0"/>
    <c:plotArea>
      <c:layout>
        <c:manualLayout>
          <c:layoutTarget val="inner"/>
          <c:xMode val="edge"/>
          <c:yMode val="edge"/>
          <c:x val="0.47777753380381288"/>
          <c:y val="0.13340857209068577"/>
          <c:w val="0.49148631379248336"/>
          <c:h val="0.80491355758444305"/>
        </c:manualLayout>
      </c:layout>
      <c:barChart>
        <c:barDir val="bar"/>
        <c:grouping val="clustered"/>
        <c:varyColors val="0"/>
        <c:ser>
          <c:idx val="0"/>
          <c:order val="0"/>
          <c:spPr>
            <a:solidFill>
              <a:schemeClr val="accent1"/>
            </a:solidFill>
            <a:ln>
              <a:noFill/>
            </a:ln>
            <a:effectLst/>
          </c:spPr>
          <c:invertIfNegative val="0"/>
          <c:cat>
            <c:numRef>
              <c:f>'Экономический расчет'!$D$42:$D$64</c:f>
              <c:numCache>
                <c:formatCode>General</c:formatCode>
                <c:ptCount val="2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numCache>
            </c:numRef>
          </c:cat>
          <c:val>
            <c:numRef>
              <c:f>'Экономический расчет'!$E$42:$E$64</c:f>
              <c:numCache>
                <c:formatCode>0%</c:formatCode>
                <c:ptCount val="2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numCache>
            </c:numRef>
          </c:val>
        </c:ser>
        <c:dLbls>
          <c:showLegendKey val="0"/>
          <c:showVal val="0"/>
          <c:showCatName val="0"/>
          <c:showSerName val="0"/>
          <c:showPercent val="0"/>
          <c:showBubbleSize val="0"/>
        </c:dLbls>
        <c:gapWidth val="182"/>
        <c:axId val="858071136"/>
        <c:axId val="858071696"/>
      </c:barChart>
      <c:catAx>
        <c:axId val="85807113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Arial" panose="020B0604020202020204" pitchFamily="34" charset="0"/>
                <a:ea typeface="+mn-ea"/>
                <a:cs typeface="Arial" panose="020B0604020202020204" pitchFamily="34" charset="0"/>
              </a:defRPr>
            </a:pPr>
            <a:endParaRPr lang="ru-RU"/>
          </a:p>
        </c:txPr>
        <c:crossAx val="858071696"/>
        <c:crosses val="autoZero"/>
        <c:auto val="1"/>
        <c:lblAlgn val="ctr"/>
        <c:lblOffset val="100"/>
        <c:noMultiLvlLbl val="0"/>
      </c:catAx>
      <c:valAx>
        <c:axId val="858071696"/>
        <c:scaling>
          <c:orientation val="minMax"/>
          <c:max val="1"/>
          <c:min val="0"/>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ru-RU"/>
          </a:p>
        </c:txPr>
        <c:crossAx val="858071136"/>
        <c:crosses val="autoZero"/>
        <c:crossBetween val="between"/>
        <c:majorUnit val="0.1"/>
      </c:valAx>
      <c:spPr>
        <a:solidFill>
          <a:schemeClr val="bg1">
            <a:lumMod val="95000"/>
          </a:schemeClr>
        </a:solidFill>
        <a:ln>
          <a:noFill/>
        </a:ln>
        <a:effectLst/>
      </c:spPr>
    </c:plotArea>
    <c:plotVisOnly val="1"/>
    <c:dispBlanksAs val="gap"/>
    <c:showDLblsOverMax val="0"/>
  </c:chart>
  <c:spPr>
    <a:solidFill>
      <a:srgbClr val="E3F3D1"/>
    </a:solidFill>
    <a:ln w="9525" cap="flat" cmpd="sng" algn="ctr">
      <a:solidFill>
        <a:schemeClr val="tx1">
          <a:lumMod val="15000"/>
          <a:lumOff val="85000"/>
        </a:schemeClr>
      </a:solidFill>
      <a:round/>
    </a:ln>
    <a:effectLst/>
  </c:spPr>
  <c:txPr>
    <a:bodyPr/>
    <a:lstStyle/>
    <a:p>
      <a:pPr>
        <a:defRPr/>
      </a:pPr>
      <a:endParaRPr lang="ru-RU"/>
    </a:p>
  </c:txPr>
  <c:printSettings>
    <c:headerFooter/>
    <c:pageMargins b="0.75000000000000056" l="0.70000000000000051" r="0.70000000000000051" t="0.75000000000000056" header="0.30000000000000027" footer="0.30000000000000027"/>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ru-RU" sz="1400" b="0" i="0" baseline="0">
                <a:effectLst/>
              </a:rPr>
              <a:t>Потребление электроэнергии на общедомовые нужды</a:t>
            </a:r>
            <a:endParaRPr lang="ru-RU" sz="1400">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ru-RU"/>
        </a:p>
      </c:txPr>
    </c:title>
    <c:autoTitleDeleted val="0"/>
    <c:plotArea>
      <c:layout/>
      <c:pieChart>
        <c:varyColors val="1"/>
        <c:ser>
          <c:idx val="0"/>
          <c:order val="0"/>
          <c:dPt>
            <c:idx val="0"/>
            <c:bubble3D val="0"/>
            <c:spPr>
              <a:solidFill>
                <a:srgbClr val="FFFF00"/>
              </a:solidFill>
              <a:ln w="19050">
                <a:solidFill>
                  <a:schemeClr val="lt1"/>
                </a:solidFill>
              </a:ln>
              <a:effectLst/>
            </c:spPr>
            <c:extLst xmlns:c16r2="http://schemas.microsoft.com/office/drawing/2015/06/chart">
              <c:ext xmlns:c16="http://schemas.microsoft.com/office/drawing/2014/chart" uri="{C3380CC4-5D6E-409C-BE32-E72D297353CC}">
                <c16:uniqueId val="{00000000-63E7-4A36-AF85-D76CAF15E2A4}"/>
              </c:ext>
            </c:extLst>
          </c:dPt>
          <c:dPt>
            <c:idx val="1"/>
            <c:bubble3D val="0"/>
            <c:spPr>
              <a:solidFill>
                <a:schemeClr val="accent2"/>
              </a:solidFill>
              <a:ln w="19050">
                <a:solidFill>
                  <a:schemeClr val="lt1"/>
                </a:solidFill>
              </a:ln>
              <a:effectLst/>
            </c:spPr>
            <c:extLst xmlns:c16r2="http://schemas.microsoft.com/office/drawing/2015/06/chart">
              <c:ext xmlns:c16="http://schemas.microsoft.com/office/drawing/2014/chart" uri="{C3380CC4-5D6E-409C-BE32-E72D297353CC}">
                <c16:uniqueId val="{00000001-63E7-4A36-AF85-D76CAF15E2A4}"/>
              </c:ext>
            </c:extLst>
          </c:dPt>
          <c:dPt>
            <c:idx val="2"/>
            <c:bubble3D val="0"/>
            <c:spPr>
              <a:solidFill>
                <a:srgbClr val="FFC000"/>
              </a:solidFill>
              <a:ln w="19050">
                <a:solidFill>
                  <a:schemeClr val="lt1"/>
                </a:solidFill>
              </a:ln>
              <a:effectLst/>
            </c:spPr>
            <c:extLst xmlns:c16r2="http://schemas.microsoft.com/office/drawing/2015/06/chart">
              <c:ext xmlns:c16="http://schemas.microsoft.com/office/drawing/2014/chart" uri="{C3380CC4-5D6E-409C-BE32-E72D297353CC}">
                <c16:uniqueId val="{00000002-63E7-4A36-AF85-D76CAF15E2A4}"/>
              </c:ext>
            </c:extLst>
          </c:dPt>
          <c:dPt>
            <c:idx val="3"/>
            <c:bubble3D val="0"/>
            <c:spPr>
              <a:solidFill>
                <a:schemeClr val="accent4"/>
              </a:solidFill>
              <a:ln w="19050">
                <a:solidFill>
                  <a:schemeClr val="lt1"/>
                </a:solidFill>
              </a:ln>
              <a:effectLst/>
            </c:spPr>
            <c:extLst xmlns:c16r2="http://schemas.microsoft.com/office/drawing/2015/06/chart">
              <c:ext xmlns:c16="http://schemas.microsoft.com/office/drawing/2014/chart" uri="{C3380CC4-5D6E-409C-BE32-E72D297353CC}">
                <c16:uniqueId val="{00000003-63E7-4A36-AF85-D76CAF15E2A4}"/>
              </c:ext>
            </c:extLst>
          </c:dPt>
          <c:dPt>
            <c:idx val="4"/>
            <c:bubble3D val="0"/>
            <c:spPr>
              <a:solidFill>
                <a:schemeClr val="accent5"/>
              </a:solidFill>
              <a:ln w="19050">
                <a:solidFill>
                  <a:schemeClr val="lt1"/>
                </a:solidFill>
              </a:ln>
              <a:effectLst/>
            </c:spPr>
            <c:extLst xmlns:c16r2="http://schemas.microsoft.com/office/drawing/2015/06/chart">
              <c:ext xmlns:c16="http://schemas.microsoft.com/office/drawing/2014/chart" uri="{C3380CC4-5D6E-409C-BE32-E72D297353CC}">
                <c16:uniqueId val="{00000004-63E7-4A36-AF85-D76CAF15E2A4}"/>
              </c:ext>
            </c:extLst>
          </c:dPt>
          <c:dPt>
            <c:idx val="5"/>
            <c:bubble3D val="0"/>
            <c:spPr>
              <a:solidFill>
                <a:schemeClr val="accent6"/>
              </a:solidFill>
              <a:ln w="19050">
                <a:solidFill>
                  <a:schemeClr val="lt1"/>
                </a:solidFill>
              </a:ln>
              <a:effectLst/>
            </c:spPr>
            <c:extLst xmlns:c16r2="http://schemas.microsoft.com/office/drawing/2015/06/chart">
              <c:ext xmlns:c16="http://schemas.microsoft.com/office/drawing/2014/chart" uri="{C3380CC4-5D6E-409C-BE32-E72D297353CC}">
                <c16:uniqueId val="{00000005-63E7-4A36-AF85-D76CAF15E2A4}"/>
              </c:ext>
            </c:extLst>
          </c:dPt>
          <c:dPt>
            <c:idx val="6"/>
            <c:bubble3D val="0"/>
            <c:spPr>
              <a:solidFill>
                <a:schemeClr val="accent1">
                  <a:lumMod val="60000"/>
                </a:schemeClr>
              </a:solidFill>
              <a:ln w="19050">
                <a:solidFill>
                  <a:schemeClr val="lt1"/>
                </a:solidFill>
              </a:ln>
              <a:effectLst/>
            </c:spPr>
            <c:extLst xmlns:c16r2="http://schemas.microsoft.com/office/drawing/2015/06/chart">
              <c:ext xmlns:c16="http://schemas.microsoft.com/office/drawing/2014/chart" uri="{C3380CC4-5D6E-409C-BE32-E72D297353CC}">
                <c16:uniqueId val="{00000006-63E7-4A36-AF85-D76CAF15E2A4}"/>
              </c:ext>
            </c:extLst>
          </c:dPt>
          <c:dPt>
            <c:idx val="7"/>
            <c:bubble3D val="0"/>
            <c:spPr>
              <a:solidFill>
                <a:schemeClr val="accent2">
                  <a:lumMod val="60000"/>
                </a:schemeClr>
              </a:solidFill>
              <a:ln w="19050">
                <a:solidFill>
                  <a:schemeClr val="lt1"/>
                </a:solidFill>
              </a:ln>
              <a:effectLst/>
            </c:spPr>
            <c:extLst xmlns:c16r2="http://schemas.microsoft.com/office/drawing/2015/06/chart">
              <c:ext xmlns:c16="http://schemas.microsoft.com/office/drawing/2014/chart" uri="{C3380CC4-5D6E-409C-BE32-E72D297353CC}">
                <c16:uniqueId val="{0000000F-C118-4F5F-BD5D-529733821924}"/>
              </c:ext>
            </c:extLst>
          </c:dPt>
          <c:dPt>
            <c:idx val="8"/>
            <c:bubble3D val="0"/>
            <c:spPr>
              <a:solidFill>
                <a:schemeClr val="accent3">
                  <a:lumMod val="60000"/>
                </a:schemeClr>
              </a:solidFill>
              <a:ln w="19050">
                <a:solidFill>
                  <a:schemeClr val="lt1"/>
                </a:solidFill>
              </a:ln>
              <a:effectLst/>
            </c:spPr>
            <c:extLst xmlns:c16r2="http://schemas.microsoft.com/office/drawing/2015/06/chart">
              <c:ext xmlns:c16="http://schemas.microsoft.com/office/drawing/2014/chart" uri="{C3380CC4-5D6E-409C-BE32-E72D297353CC}">
                <c16:uniqueId val="{00000011-C118-4F5F-BD5D-529733821924}"/>
              </c:ext>
            </c:extLst>
          </c:dPt>
          <c:dPt>
            <c:idx val="9"/>
            <c:bubble3D val="0"/>
            <c:spPr>
              <a:solidFill>
                <a:schemeClr val="accent4">
                  <a:lumMod val="60000"/>
                </a:schemeClr>
              </a:solidFill>
              <a:ln w="19050">
                <a:solidFill>
                  <a:schemeClr val="lt1"/>
                </a:solidFill>
              </a:ln>
              <a:effectLst/>
            </c:spPr>
            <c:extLst xmlns:c16r2="http://schemas.microsoft.com/office/drawing/2015/06/chart">
              <c:ext xmlns:c16="http://schemas.microsoft.com/office/drawing/2014/chart" uri="{C3380CC4-5D6E-409C-BE32-E72D297353CC}">
                <c16:uniqueId val="{00000006-63E7-4A36-AF85-D76CAF15E2A4}"/>
              </c:ext>
            </c:extLst>
          </c:dPt>
          <c:dLbls>
            <c:dLbl>
              <c:idx val="0"/>
              <c:layout>
                <c:manualLayout>
                  <c:x val="0.22590118108015311"/>
                  <c:y val="8.6835359668773246E-2"/>
                </c:manualLayout>
              </c:layout>
              <c:showLegendKey val="0"/>
              <c:showVal val="0"/>
              <c:showCatName val="1"/>
              <c:showSerName val="0"/>
              <c:showPercent val="1"/>
              <c:showBubbleSize val="0"/>
              <c:extLst xmlns:c16r2="http://schemas.microsoft.com/office/drawing/2015/06/chart">
                <c:ext xmlns:c16="http://schemas.microsoft.com/office/drawing/2014/chart" uri="{C3380CC4-5D6E-409C-BE32-E72D297353CC}">
                  <c16:uniqueId val="{00000000-63E7-4A36-AF85-D76CAF15E2A4}"/>
                </c:ext>
                <c:ext xmlns:c15="http://schemas.microsoft.com/office/drawing/2012/chart" uri="{CE6537A1-D6FC-4f65-9D91-7224C49458BB}"/>
              </c:extLst>
            </c:dLbl>
            <c:dLbl>
              <c:idx val="1"/>
              <c:delete val="1"/>
              <c:extLst xmlns:c16r2="http://schemas.microsoft.com/office/drawing/2015/06/chart">
                <c:ext xmlns:c16="http://schemas.microsoft.com/office/drawing/2014/chart" uri="{C3380CC4-5D6E-409C-BE32-E72D297353CC}">
                  <c16:uniqueId val="{00000001-63E7-4A36-AF85-D76CAF15E2A4}"/>
                </c:ext>
                <c:ext xmlns:c15="http://schemas.microsoft.com/office/drawing/2012/chart" uri="{CE6537A1-D6FC-4f65-9D91-7224C49458BB}"/>
              </c:extLst>
            </c:dLbl>
            <c:dLbl>
              <c:idx val="2"/>
              <c:layout>
                <c:manualLayout>
                  <c:x val="0.16759160691519001"/>
                  <c:y val="-0.14009987159553194"/>
                </c:manualLayout>
              </c:layout>
              <c:showLegendKey val="0"/>
              <c:showVal val="0"/>
              <c:showCatName val="1"/>
              <c:showSerName val="0"/>
              <c:showPercent val="1"/>
              <c:showBubbleSize val="0"/>
              <c:extLst xmlns:c16r2="http://schemas.microsoft.com/office/drawing/2015/06/chart">
                <c:ext xmlns:c16="http://schemas.microsoft.com/office/drawing/2014/chart" uri="{C3380CC4-5D6E-409C-BE32-E72D297353CC}">
                  <c16:uniqueId val="{00000002-63E7-4A36-AF85-D76CAF15E2A4}"/>
                </c:ext>
                <c:ext xmlns:c15="http://schemas.microsoft.com/office/drawing/2012/chart" uri="{CE6537A1-D6FC-4f65-9D91-7224C49458BB}"/>
              </c:extLst>
            </c:dLbl>
            <c:dLbl>
              <c:idx val="3"/>
              <c:delete val="1"/>
              <c:extLst xmlns:c16r2="http://schemas.microsoft.com/office/drawing/2015/06/chart">
                <c:ext xmlns:c16="http://schemas.microsoft.com/office/drawing/2014/chart" uri="{C3380CC4-5D6E-409C-BE32-E72D297353CC}">
                  <c16:uniqueId val="{00000003-63E7-4A36-AF85-D76CAF15E2A4}"/>
                </c:ext>
                <c:ext xmlns:c15="http://schemas.microsoft.com/office/drawing/2012/chart" uri="{CE6537A1-D6FC-4f65-9D91-7224C49458BB}"/>
              </c:extLst>
            </c:dLbl>
            <c:dLbl>
              <c:idx val="4"/>
              <c:layout>
                <c:manualLayout>
                  <c:x val="-9.2502187226596672E-2"/>
                  <c:y val="6.9431660312168367E-2"/>
                </c:manualLayout>
              </c:layout>
              <c:showLegendKey val="0"/>
              <c:showVal val="0"/>
              <c:showCatName val="1"/>
              <c:showSerName val="0"/>
              <c:showPercent val="1"/>
              <c:showBubbleSize val="0"/>
              <c:extLst xmlns:c16r2="http://schemas.microsoft.com/office/drawing/2015/06/chart">
                <c:ext xmlns:c16="http://schemas.microsoft.com/office/drawing/2014/chart" uri="{C3380CC4-5D6E-409C-BE32-E72D297353CC}">
                  <c16:uniqueId val="{00000004-63E7-4A36-AF85-D76CAF15E2A4}"/>
                </c:ext>
                <c:ext xmlns:c15="http://schemas.microsoft.com/office/drawing/2012/chart" uri="{CE6537A1-D6FC-4f65-9D91-7224C49458BB}"/>
              </c:extLst>
            </c:dLbl>
            <c:dLbl>
              <c:idx val="5"/>
              <c:delete val="1"/>
              <c:extLst xmlns:c16r2="http://schemas.microsoft.com/office/drawing/2015/06/chart">
                <c:ext xmlns:c16="http://schemas.microsoft.com/office/drawing/2014/chart" uri="{C3380CC4-5D6E-409C-BE32-E72D297353CC}">
                  <c16:uniqueId val="{00000005-63E7-4A36-AF85-D76CAF15E2A4}"/>
                </c:ext>
                <c:ext xmlns:c15="http://schemas.microsoft.com/office/drawing/2012/chart" uri="{CE6537A1-D6FC-4f65-9D91-7224C49458BB}"/>
              </c:extLst>
            </c:dLbl>
            <c:dLbl>
              <c:idx val="9"/>
              <c:layout>
                <c:manualLayout>
                  <c:x val="-0.38159820647419085"/>
                  <c:y val="2.8935174637221259E-2"/>
                </c:manualLayout>
              </c:layout>
              <c:showLegendKey val="0"/>
              <c:showVal val="0"/>
              <c:showCatName val="1"/>
              <c:showSerName val="0"/>
              <c:showPercent val="1"/>
              <c:showBubbleSize val="0"/>
              <c:extLst xmlns:c16r2="http://schemas.microsoft.com/office/drawing/2015/06/chart">
                <c:ext xmlns:c16="http://schemas.microsoft.com/office/drawing/2014/chart" uri="{C3380CC4-5D6E-409C-BE32-E72D297353CC}">
                  <c16:uniqueId val="{00000006-63E7-4A36-AF85-D76CAF15E2A4}"/>
                </c:ext>
                <c:ext xmlns:c15="http://schemas.microsoft.com/office/drawing/2012/chart" uri="{CE6537A1-D6FC-4f65-9D91-7224C49458BB}"/>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u-RU"/>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xmlns:c16r2="http://schemas.microsoft.com/office/drawing/2015/06/chart">
              <c:ext xmlns:c15="http://schemas.microsoft.com/office/drawing/2012/chart" uri="{CE6537A1-D6FC-4f65-9D91-7224C49458BB}"/>
            </c:extLst>
          </c:dLbls>
          <c:cat>
            <c:strRef>
              <c:f>'Расчет базового уровня'!$A$102:$A$111</c:f>
              <c:strCache>
                <c:ptCount val="10"/>
                <c:pt idx="0">
                  <c:v>освещение мест общего пользования</c:v>
                </c:pt>
                <c:pt idx="1">
                  <c:v>то же</c:v>
                </c:pt>
                <c:pt idx="2">
                  <c:v>лифтовое оборудование</c:v>
                </c:pt>
                <c:pt idx="3">
                  <c:v>то же</c:v>
                </c:pt>
                <c:pt idx="4">
                  <c:v>насосное оборудование </c:v>
                </c:pt>
                <c:pt idx="5">
                  <c:v>то же</c:v>
                </c:pt>
                <c:pt idx="6">
                  <c:v>отопление</c:v>
                </c:pt>
                <c:pt idx="7">
                  <c:v>гвс</c:v>
                </c:pt>
                <c:pt idx="8">
                  <c:v>хвс</c:v>
                </c:pt>
                <c:pt idx="9">
                  <c:v>прочее энергетическое оборудование </c:v>
                </c:pt>
              </c:strCache>
            </c:strRef>
          </c:cat>
          <c:val>
            <c:numRef>
              <c:f>'Расчет базового уровня'!$C$102:$C$111</c:f>
              <c:numCache>
                <c:formatCode>0%</c:formatCode>
                <c:ptCount val="10"/>
                <c:pt idx="0" formatCode="0">
                  <c:v>0</c:v>
                </c:pt>
                <c:pt idx="1">
                  <c:v>0</c:v>
                </c:pt>
                <c:pt idx="2" formatCode="0">
                  <c:v>0</c:v>
                </c:pt>
                <c:pt idx="3">
                  <c:v>0</c:v>
                </c:pt>
                <c:pt idx="4" formatCode="0">
                  <c:v>0</c:v>
                </c:pt>
                <c:pt idx="5">
                  <c:v>0</c:v>
                </c:pt>
                <c:pt idx="6" formatCode="0.00">
                  <c:v>0</c:v>
                </c:pt>
                <c:pt idx="7" formatCode="0.00">
                  <c:v>0</c:v>
                </c:pt>
                <c:pt idx="8" formatCode="0.00">
                  <c:v>0</c:v>
                </c:pt>
                <c:pt idx="9" formatCode="0">
                  <c:v>0</c:v>
                </c:pt>
              </c:numCache>
            </c:numRef>
          </c:val>
          <c:extLst xmlns:c16r2="http://schemas.microsoft.com/office/drawing/2015/06/chart">
            <c:ext xmlns:c16="http://schemas.microsoft.com/office/drawing/2014/chart" uri="{C3380CC4-5D6E-409C-BE32-E72D297353CC}">
              <c16:uniqueId val="{00000007-63E7-4A36-AF85-D76CAF15E2A4}"/>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ru-RU"/>
    </a:p>
  </c:txPr>
  <c:printSettings>
    <c:headerFooter/>
    <c:pageMargins b="0.75000000000000167" l="0.70000000000000062" r="0.70000000000000062" t="0.75000000000000167"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ru-RU"/>
              <a:t>Потребление тепловой энергии на отопление и вентиляцию</a:t>
            </a:r>
          </a:p>
        </c:rich>
      </c:tx>
      <c:layout>
        <c:manualLayout>
          <c:xMode val="edge"/>
          <c:yMode val="edge"/>
          <c:x val="0.37993150300987877"/>
          <c:y val="2.8518515191774257E-2"/>
        </c:manualLayout>
      </c:layout>
      <c:overlay val="0"/>
      <c:spPr>
        <a:noFill/>
        <a:ln>
          <a:noFill/>
        </a:ln>
        <a:effectLst/>
      </c:spPr>
    </c:title>
    <c:autoTitleDeleted val="0"/>
    <c:plotArea>
      <c:layout>
        <c:manualLayout>
          <c:layoutTarget val="inner"/>
          <c:xMode val="edge"/>
          <c:yMode val="edge"/>
          <c:x val="5.7745273754437512E-2"/>
          <c:y val="3.1300754587255245E-2"/>
          <c:w val="0.93912951849289084"/>
          <c:h val="0.41512100616582331"/>
        </c:manualLayout>
      </c:layout>
      <c:barChart>
        <c:barDir val="col"/>
        <c:grouping val="stacked"/>
        <c:varyColors val="0"/>
        <c:ser>
          <c:idx val="0"/>
          <c:order val="0"/>
          <c:tx>
            <c:strRef>
              <c:f>'Расчет после реализации'!$G$38</c:f>
              <c:strCache>
                <c:ptCount val="1"/>
                <c:pt idx="0">
                  <c:v>Трансмиссионные тепловые потери через наружные ограждающие конструкции</c:v>
                </c:pt>
              </c:strCache>
            </c:strRef>
          </c:tx>
          <c:spPr>
            <a:solidFill>
              <a:schemeClr val="accent1"/>
            </a:solidFill>
            <a:ln>
              <a:noFill/>
            </a:ln>
            <a:effectLst/>
          </c:spPr>
          <c:invertIfNegative val="0"/>
          <c:cat>
            <c:multiLvlStrRef>
              <c:f>'Расчет после реализации'!$I$33:$AF$34</c:f>
              <c:multiLvlStrCache>
                <c:ptCount val="24"/>
                <c:lvl>
                  <c:pt idx="0">
                    <c:v>Фактическое потребление базового года</c:v>
                  </c:pt>
                  <c:pt idx="1">
                    <c:v>Ожидаемое потребление после проведения КР (на клим.усл базового года)</c:v>
                  </c:pt>
                  <c:pt idx="2">
                    <c:v>Фактическое потребление базового года</c:v>
                  </c:pt>
                  <c:pt idx="3">
                    <c:v>Ожидаемое потребление после проведения КР (на клим.усл базового года)</c:v>
                  </c:pt>
                  <c:pt idx="4">
                    <c:v>Фактическое потребление базового года</c:v>
                  </c:pt>
                  <c:pt idx="5">
                    <c:v>Ожидаемое потребление после проведения КР (на клим.усл базового года)</c:v>
                  </c:pt>
                  <c:pt idx="6">
                    <c:v>Фактическое потребление базового года</c:v>
                  </c:pt>
                  <c:pt idx="7">
                    <c:v>Ожидаемое потребление после проведения КР (на клим.усл базового года)</c:v>
                  </c:pt>
                  <c:pt idx="8">
                    <c:v>Фактическое потребление базового года</c:v>
                  </c:pt>
                  <c:pt idx="9">
                    <c:v>Ожидаемое потребление после проведения КР (на клим.усл базового года)</c:v>
                  </c:pt>
                  <c:pt idx="10">
                    <c:v>Фактическое потребление базового года</c:v>
                  </c:pt>
                  <c:pt idx="11">
                    <c:v>Ожидаемое потребление после проведения КР (на клим.усл базового года)</c:v>
                  </c:pt>
                  <c:pt idx="12">
                    <c:v>Фактическое потребление базового года</c:v>
                  </c:pt>
                  <c:pt idx="13">
                    <c:v>Ожидаемое потребление после проведения КР (на клим.усл базового года)</c:v>
                  </c:pt>
                  <c:pt idx="14">
                    <c:v>Фактическое потребление базового года</c:v>
                  </c:pt>
                  <c:pt idx="15">
                    <c:v>Ожидаемое потребление после проведения КР (на клим.усл базового года)</c:v>
                  </c:pt>
                  <c:pt idx="16">
                    <c:v>Фактическое потребление базового года</c:v>
                  </c:pt>
                  <c:pt idx="17">
                    <c:v>Ожидаемое потребление после проведения КР (на клим.усл базового года)</c:v>
                  </c:pt>
                  <c:pt idx="18">
                    <c:v>Фактическое потребление базового года</c:v>
                  </c:pt>
                  <c:pt idx="19">
                    <c:v>Ожидаемое потребление после проведения КР (на клим.усл базового года)</c:v>
                  </c:pt>
                  <c:pt idx="20">
                    <c:v>Фактическое потребление базового года</c:v>
                  </c:pt>
                  <c:pt idx="21">
                    <c:v>Ожидаемое потребление после проведения КР (на клим.усл базового года)</c:v>
                  </c:pt>
                  <c:pt idx="22">
                    <c:v>Фактическое потребление базового года</c:v>
                  </c:pt>
                  <c:pt idx="23">
                    <c:v>Ожидаемое потребление после проведения КР (на клим.усл базового года)</c:v>
                  </c:pt>
                </c:lvl>
                <c:lvl>
                  <c:pt idx="0">
                    <c:v>Январь</c:v>
                  </c:pt>
                  <c:pt idx="2">
                    <c:v>Февраль</c:v>
                  </c:pt>
                  <c:pt idx="4">
                    <c:v>Март</c:v>
                  </c:pt>
                  <c:pt idx="6">
                    <c:v>Апрель</c:v>
                  </c:pt>
                  <c:pt idx="8">
                    <c:v>Май</c:v>
                  </c:pt>
                  <c:pt idx="10">
                    <c:v>Июнь</c:v>
                  </c:pt>
                  <c:pt idx="12">
                    <c:v>Июль</c:v>
                  </c:pt>
                  <c:pt idx="14">
                    <c:v>Август</c:v>
                  </c:pt>
                  <c:pt idx="16">
                    <c:v>Сентябрь</c:v>
                  </c:pt>
                  <c:pt idx="18">
                    <c:v>Октябрь</c:v>
                  </c:pt>
                  <c:pt idx="20">
                    <c:v>Ноябрь</c:v>
                  </c:pt>
                  <c:pt idx="22">
                    <c:v>Декабрь</c:v>
                  </c:pt>
                </c:lvl>
              </c:multiLvlStrCache>
            </c:multiLvlStrRef>
          </c:cat>
          <c:val>
            <c:numRef>
              <c:f>'Расчет после реализации'!$I$38:$AF$38</c:f>
              <c:numCache>
                <c:formatCode>0</c:formatCode>
                <c:ptCount val="24"/>
                <c:pt idx="0">
                  <c:v>#N/A</c:v>
                </c:pt>
                <c:pt idx="1">
                  <c:v>#N/A</c:v>
                </c:pt>
                <c:pt idx="2">
                  <c:v>#N/A</c:v>
                </c:pt>
                <c:pt idx="3">
                  <c:v>#N/A</c:v>
                </c:pt>
                <c:pt idx="4">
                  <c:v>#N/A</c:v>
                </c:pt>
                <c:pt idx="5">
                  <c:v>#N/A</c:v>
                </c:pt>
                <c:pt idx="6">
                  <c:v>#N/A</c:v>
                </c:pt>
                <c:pt idx="7">
                  <c:v>#N/A</c:v>
                </c:pt>
                <c:pt idx="8">
                  <c:v>0</c:v>
                </c:pt>
                <c:pt idx="9">
                  <c:v>#N/A</c:v>
                </c:pt>
                <c:pt idx="10">
                  <c:v>0</c:v>
                </c:pt>
                <c:pt idx="11">
                  <c:v>#N/A</c:v>
                </c:pt>
                <c:pt idx="12">
                  <c:v>0</c:v>
                </c:pt>
                <c:pt idx="13">
                  <c:v>#N/A</c:v>
                </c:pt>
                <c:pt idx="14">
                  <c:v>0</c:v>
                </c:pt>
                <c:pt idx="15">
                  <c:v>#N/A</c:v>
                </c:pt>
                <c:pt idx="16">
                  <c:v>0</c:v>
                </c:pt>
                <c:pt idx="17">
                  <c:v>#N/A</c:v>
                </c:pt>
                <c:pt idx="18">
                  <c:v>0</c:v>
                </c:pt>
                <c:pt idx="19">
                  <c:v>#N/A</c:v>
                </c:pt>
                <c:pt idx="20">
                  <c:v>0</c:v>
                </c:pt>
                <c:pt idx="21">
                  <c:v>#N/A</c:v>
                </c:pt>
                <c:pt idx="22">
                  <c:v>0</c:v>
                </c:pt>
                <c:pt idx="23">
                  <c:v>#N/A</c:v>
                </c:pt>
              </c:numCache>
            </c:numRef>
          </c:val>
          <c:extLst xmlns:c16r2="http://schemas.microsoft.com/office/drawing/2015/06/chart">
            <c:ext xmlns:c16="http://schemas.microsoft.com/office/drawing/2014/chart" uri="{C3380CC4-5D6E-409C-BE32-E72D297353CC}">
              <c16:uniqueId val="{00000000-6FED-4552-A10F-027D9BD62DEA}"/>
            </c:ext>
          </c:extLst>
        </c:ser>
        <c:ser>
          <c:idx val="1"/>
          <c:order val="1"/>
          <c:tx>
            <c:strRef>
              <c:f>'Расчет после реализации'!$G$62</c:f>
              <c:strCache>
                <c:ptCount val="1"/>
                <c:pt idx="0">
                  <c:v>Инфильтрационные тепловые потери на нагрев наружного воздуха</c:v>
                </c:pt>
              </c:strCache>
            </c:strRef>
          </c:tx>
          <c:spPr>
            <a:solidFill>
              <a:schemeClr val="accent2"/>
            </a:solidFill>
            <a:ln>
              <a:noFill/>
            </a:ln>
            <a:effectLst/>
          </c:spPr>
          <c:invertIfNegative val="0"/>
          <c:val>
            <c:numRef>
              <c:f>'Расчет после реализации'!$I$62:$AF$62</c:f>
              <c:numCache>
                <c:formatCode>0</c:formatCode>
                <c:ptCount val="24"/>
                <c:pt idx="0">
                  <c:v>#N/A</c:v>
                </c:pt>
                <c:pt idx="1">
                  <c:v>0</c:v>
                </c:pt>
                <c:pt idx="2">
                  <c:v>#N/A</c:v>
                </c:pt>
                <c:pt idx="3">
                  <c:v>0</c:v>
                </c:pt>
                <c:pt idx="4">
                  <c:v>#N/A</c:v>
                </c:pt>
                <c:pt idx="5">
                  <c:v>0</c:v>
                </c:pt>
                <c:pt idx="6">
                  <c:v>#N/A</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numCache>
            </c:numRef>
          </c:val>
          <c:extLst xmlns:c16r2="http://schemas.microsoft.com/office/drawing/2015/06/chart">
            <c:ext xmlns:c16="http://schemas.microsoft.com/office/drawing/2014/chart" uri="{C3380CC4-5D6E-409C-BE32-E72D297353CC}">
              <c16:uniqueId val="{00000001-6FED-4552-A10F-027D9BD62DEA}"/>
            </c:ext>
          </c:extLst>
        </c:ser>
        <c:ser>
          <c:idx val="3"/>
          <c:order val="2"/>
          <c:tx>
            <c:strRef>
              <c:f>'Расчет после реализации'!$G$65</c:f>
              <c:strCache>
                <c:ptCount val="1"/>
                <c:pt idx="0">
                  <c:v>Дополнительные тепловые потери трубопроводами системы отопления, проходящими через неотапливаемые помещения (подвалы; чердаки)</c:v>
                </c:pt>
              </c:strCache>
            </c:strRef>
          </c:tx>
          <c:spPr>
            <a:solidFill>
              <a:schemeClr val="accent4"/>
            </a:solidFill>
            <a:ln>
              <a:noFill/>
            </a:ln>
            <a:effectLst/>
          </c:spPr>
          <c:invertIfNegative val="0"/>
          <c:val>
            <c:numRef>
              <c:f>'Расчет после реализации'!$I$65:$AF$65</c:f>
              <c:numCache>
                <c:formatCode>0.0</c:formatCode>
                <c:ptCount val="24"/>
                <c:pt idx="0" formatCode="0">
                  <c:v>#N/A</c:v>
                </c:pt>
                <c:pt idx="1">
                  <c:v>0</c:v>
                </c:pt>
                <c:pt idx="2" formatCode="0">
                  <c:v>#N/A</c:v>
                </c:pt>
                <c:pt idx="3">
                  <c:v>0</c:v>
                </c:pt>
                <c:pt idx="4" formatCode="0">
                  <c:v>#N/A</c:v>
                </c:pt>
                <c:pt idx="5">
                  <c:v>0</c:v>
                </c:pt>
                <c:pt idx="6" formatCode="0">
                  <c:v>#N/A</c:v>
                </c:pt>
                <c:pt idx="7">
                  <c:v>0</c:v>
                </c:pt>
                <c:pt idx="8" formatCode="0">
                  <c:v>0</c:v>
                </c:pt>
                <c:pt idx="9">
                  <c:v>0</c:v>
                </c:pt>
                <c:pt idx="10" formatCode="0">
                  <c:v>0</c:v>
                </c:pt>
                <c:pt idx="11">
                  <c:v>0</c:v>
                </c:pt>
                <c:pt idx="12" formatCode="0">
                  <c:v>0</c:v>
                </c:pt>
                <c:pt idx="13">
                  <c:v>0</c:v>
                </c:pt>
                <c:pt idx="14" formatCode="0">
                  <c:v>0</c:v>
                </c:pt>
                <c:pt idx="15">
                  <c:v>0</c:v>
                </c:pt>
                <c:pt idx="16" formatCode="0">
                  <c:v>0</c:v>
                </c:pt>
                <c:pt idx="17">
                  <c:v>0</c:v>
                </c:pt>
                <c:pt idx="18" formatCode="0">
                  <c:v>0</c:v>
                </c:pt>
                <c:pt idx="19">
                  <c:v>0</c:v>
                </c:pt>
                <c:pt idx="20" formatCode="0">
                  <c:v>0</c:v>
                </c:pt>
                <c:pt idx="21">
                  <c:v>0</c:v>
                </c:pt>
                <c:pt idx="22" formatCode="0">
                  <c:v>0</c:v>
                </c:pt>
                <c:pt idx="23">
                  <c:v>0</c:v>
                </c:pt>
              </c:numCache>
            </c:numRef>
          </c:val>
          <c:extLst xmlns:c16r2="http://schemas.microsoft.com/office/drawing/2015/06/chart">
            <c:ext xmlns:c16="http://schemas.microsoft.com/office/drawing/2014/chart" uri="{C3380CC4-5D6E-409C-BE32-E72D297353CC}">
              <c16:uniqueId val="{00000002-6FED-4552-A10F-027D9BD62DEA}"/>
            </c:ext>
          </c:extLst>
        </c:ser>
        <c:ser>
          <c:idx val="4"/>
          <c:order val="3"/>
          <c:tx>
            <c:strRef>
              <c:f>'Расчет после реализации'!$G$68</c:f>
              <c:strCache>
                <c:ptCount val="1"/>
                <c:pt idx="0">
                  <c:v>Дополнительные тепловые потери, обусловленные неэффективным регулированием подачи тепловой энергии в систему отопления </c:v>
                </c:pt>
              </c:strCache>
            </c:strRef>
          </c:tx>
          <c:spPr>
            <a:solidFill>
              <a:schemeClr val="accent5"/>
            </a:solidFill>
            <a:ln>
              <a:noFill/>
            </a:ln>
            <a:effectLst/>
          </c:spPr>
          <c:invertIfNegative val="0"/>
          <c:val>
            <c:numRef>
              <c:f>'Расчет после реализации'!$I$68:$AF$68</c:f>
              <c:numCache>
                <c:formatCode>0.0</c:formatCode>
                <c:ptCount val="24"/>
                <c:pt idx="0" formatCode="0">
                  <c:v>0</c:v>
                </c:pt>
                <c:pt idx="1">
                  <c:v>0</c:v>
                </c:pt>
                <c:pt idx="2" formatCode="0">
                  <c:v>0</c:v>
                </c:pt>
                <c:pt idx="3">
                  <c:v>0</c:v>
                </c:pt>
                <c:pt idx="4" formatCode="0">
                  <c:v>0</c:v>
                </c:pt>
                <c:pt idx="5">
                  <c:v>0</c:v>
                </c:pt>
                <c:pt idx="6" formatCode="0">
                  <c:v>0</c:v>
                </c:pt>
                <c:pt idx="7">
                  <c:v>0</c:v>
                </c:pt>
                <c:pt idx="8" formatCode="0">
                  <c:v>0</c:v>
                </c:pt>
                <c:pt idx="9">
                  <c:v>0</c:v>
                </c:pt>
                <c:pt idx="10" formatCode="0">
                  <c:v>0</c:v>
                </c:pt>
                <c:pt idx="11">
                  <c:v>0</c:v>
                </c:pt>
                <c:pt idx="12" formatCode="0">
                  <c:v>0</c:v>
                </c:pt>
                <c:pt idx="13">
                  <c:v>0</c:v>
                </c:pt>
                <c:pt idx="14" formatCode="0">
                  <c:v>0</c:v>
                </c:pt>
                <c:pt idx="15">
                  <c:v>0</c:v>
                </c:pt>
                <c:pt idx="16" formatCode="0">
                  <c:v>0</c:v>
                </c:pt>
                <c:pt idx="17">
                  <c:v>0</c:v>
                </c:pt>
                <c:pt idx="18" formatCode="0">
                  <c:v>0</c:v>
                </c:pt>
                <c:pt idx="19">
                  <c:v>0</c:v>
                </c:pt>
                <c:pt idx="20" formatCode="0">
                  <c:v>0</c:v>
                </c:pt>
                <c:pt idx="21">
                  <c:v>0</c:v>
                </c:pt>
                <c:pt idx="22" formatCode="0">
                  <c:v>0</c:v>
                </c:pt>
                <c:pt idx="23">
                  <c:v>0</c:v>
                </c:pt>
              </c:numCache>
            </c:numRef>
          </c:val>
          <c:extLst xmlns:c16r2="http://schemas.microsoft.com/office/drawing/2015/06/chart">
            <c:ext xmlns:c16="http://schemas.microsoft.com/office/drawing/2014/chart" uri="{C3380CC4-5D6E-409C-BE32-E72D297353CC}">
              <c16:uniqueId val="{00000003-6FED-4552-A10F-027D9BD62DEA}"/>
            </c:ext>
          </c:extLst>
        </c:ser>
        <c:dLbls>
          <c:showLegendKey val="0"/>
          <c:showVal val="0"/>
          <c:showCatName val="0"/>
          <c:showSerName val="0"/>
          <c:showPercent val="0"/>
          <c:showBubbleSize val="0"/>
        </c:dLbls>
        <c:gapWidth val="59"/>
        <c:overlap val="100"/>
        <c:axId val="890574672"/>
        <c:axId val="890575232"/>
      </c:barChart>
      <c:catAx>
        <c:axId val="890574672"/>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Times New Roman" pitchFamily="18" charset="0"/>
                <a:ea typeface="+mn-ea"/>
                <a:cs typeface="Times New Roman" pitchFamily="18" charset="0"/>
              </a:defRPr>
            </a:pPr>
            <a:endParaRPr lang="ru-RU"/>
          </a:p>
        </c:txPr>
        <c:crossAx val="890575232"/>
        <c:crosses val="autoZero"/>
        <c:auto val="1"/>
        <c:lblAlgn val="ctr"/>
        <c:lblOffset val="100"/>
        <c:noMultiLvlLbl val="0"/>
      </c:catAx>
      <c:valAx>
        <c:axId val="89057523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ru-RU"/>
                  <a:t>кВтч</a:t>
                </a:r>
              </a:p>
            </c:rich>
          </c:tx>
          <c:layout>
            <c:manualLayout>
              <c:xMode val="edge"/>
              <c:yMode val="edge"/>
              <c:x val="2.4443772189052099E-2"/>
              <c:y val="0.20692050662927888"/>
            </c:manualLayout>
          </c:layout>
          <c:overlay val="0"/>
          <c:spPr>
            <a:noFill/>
            <a:ln>
              <a:noFill/>
            </a:ln>
            <a:effectLst/>
          </c:sp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Times New Roman" pitchFamily="18" charset="0"/>
                <a:ea typeface="+mn-ea"/>
                <a:cs typeface="Times New Roman" pitchFamily="18" charset="0"/>
              </a:defRPr>
            </a:pPr>
            <a:endParaRPr lang="ru-RU"/>
          </a:p>
        </c:txPr>
        <c:crossAx val="890574672"/>
        <c:crosses val="autoZero"/>
        <c:crossBetween val="between"/>
      </c:valAx>
      <c:spPr>
        <a:noFill/>
        <a:ln>
          <a:noFill/>
        </a:ln>
        <a:effectLst/>
      </c:spPr>
    </c:plotArea>
    <c:legend>
      <c:legendPos val="t"/>
      <c:layout>
        <c:manualLayout>
          <c:xMode val="edge"/>
          <c:yMode val="edge"/>
          <c:x val="0.32102799271816357"/>
          <c:y val="8.9312762984804547E-2"/>
          <c:w val="0.42583760194031267"/>
          <c:h val="0.20167285486464218"/>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Times New Roman" pitchFamily="18" charset="0"/>
              <a:ea typeface="+mn-ea"/>
              <a:cs typeface="Times New Roman" pitchFamily="18" charset="0"/>
            </a:defRPr>
          </a:pPr>
          <a:endParaRPr lang="ru-RU"/>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ru-RU"/>
    </a:p>
  </c:txPr>
  <c:printSettings>
    <c:headerFooter/>
    <c:pageMargins b="0.75000000000000167" l="0.70000000000000062" r="0.70000000000000062" t="0.75000000000000167" header="0.30000000000000032" footer="0.30000000000000032"/>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ru-RU"/>
              <a:t>Суммарное</a:t>
            </a:r>
            <a:r>
              <a:rPr lang="ru-RU" baseline="0"/>
              <a:t> потребление энергоресурсов</a:t>
            </a:r>
          </a:p>
        </c:rich>
      </c:tx>
      <c:overlay val="0"/>
      <c:spPr>
        <a:noFill/>
        <a:ln>
          <a:noFill/>
        </a:ln>
        <a:effectLst/>
      </c:spPr>
    </c:title>
    <c:autoTitleDeleted val="0"/>
    <c:plotArea>
      <c:layout>
        <c:manualLayout>
          <c:layoutTarget val="inner"/>
          <c:xMode val="edge"/>
          <c:yMode val="edge"/>
          <c:x val="6.2769567244045046E-2"/>
          <c:y val="0.14728463209931791"/>
          <c:w val="0.92059537243112965"/>
          <c:h val="0.50230401863266616"/>
        </c:manualLayout>
      </c:layout>
      <c:barChart>
        <c:barDir val="col"/>
        <c:grouping val="stacked"/>
        <c:varyColors val="0"/>
        <c:ser>
          <c:idx val="0"/>
          <c:order val="0"/>
          <c:tx>
            <c:strRef>
              <c:f>'Расчет после реализации'!$G$12</c:f>
              <c:strCache>
                <c:ptCount val="1"/>
                <c:pt idx="0">
                  <c:v>Отопление и вентиляция</c:v>
                </c:pt>
              </c:strCache>
            </c:strRef>
          </c:tx>
          <c:spPr>
            <a:solidFill>
              <a:srgbClr val="FFC000"/>
            </a:solidFill>
            <a:ln>
              <a:noFill/>
            </a:ln>
            <a:effectLst/>
          </c:spPr>
          <c:invertIfNegative val="0"/>
          <c:cat>
            <c:multiLvlStrRef>
              <c:f>'Расчет после реализации'!$I$33:$AF$34</c:f>
              <c:multiLvlStrCache>
                <c:ptCount val="24"/>
                <c:lvl>
                  <c:pt idx="0">
                    <c:v>Фактическое потребление базового года</c:v>
                  </c:pt>
                  <c:pt idx="1">
                    <c:v>Ожидаемое потребление после проведения КР (на клим.усл базового года)</c:v>
                  </c:pt>
                  <c:pt idx="2">
                    <c:v>Фактическое потребление базового года</c:v>
                  </c:pt>
                  <c:pt idx="3">
                    <c:v>Ожидаемое потребление после проведения КР (на клим.усл базового года)</c:v>
                  </c:pt>
                  <c:pt idx="4">
                    <c:v>Фактическое потребление базового года</c:v>
                  </c:pt>
                  <c:pt idx="5">
                    <c:v>Ожидаемое потребление после проведения КР (на клим.усл базового года)</c:v>
                  </c:pt>
                  <c:pt idx="6">
                    <c:v>Фактическое потребление базового года</c:v>
                  </c:pt>
                  <c:pt idx="7">
                    <c:v>Ожидаемое потребление после проведения КР (на клим.усл базового года)</c:v>
                  </c:pt>
                  <c:pt idx="8">
                    <c:v>Фактическое потребление базового года</c:v>
                  </c:pt>
                  <c:pt idx="9">
                    <c:v>Ожидаемое потребление после проведения КР (на клим.усл базового года)</c:v>
                  </c:pt>
                  <c:pt idx="10">
                    <c:v>Фактическое потребление базового года</c:v>
                  </c:pt>
                  <c:pt idx="11">
                    <c:v>Ожидаемое потребление после проведения КР (на клим.усл базового года)</c:v>
                  </c:pt>
                  <c:pt idx="12">
                    <c:v>Фактическое потребление базового года</c:v>
                  </c:pt>
                  <c:pt idx="13">
                    <c:v>Ожидаемое потребление после проведения КР (на клим.усл базового года)</c:v>
                  </c:pt>
                  <c:pt idx="14">
                    <c:v>Фактическое потребление базового года</c:v>
                  </c:pt>
                  <c:pt idx="15">
                    <c:v>Ожидаемое потребление после проведения КР (на клим.усл базового года)</c:v>
                  </c:pt>
                  <c:pt idx="16">
                    <c:v>Фактическое потребление базового года</c:v>
                  </c:pt>
                  <c:pt idx="17">
                    <c:v>Ожидаемое потребление после проведения КР (на клим.усл базового года)</c:v>
                  </c:pt>
                  <c:pt idx="18">
                    <c:v>Фактическое потребление базового года</c:v>
                  </c:pt>
                  <c:pt idx="19">
                    <c:v>Ожидаемое потребление после проведения КР (на клим.усл базового года)</c:v>
                  </c:pt>
                  <c:pt idx="20">
                    <c:v>Фактическое потребление базового года</c:v>
                  </c:pt>
                  <c:pt idx="21">
                    <c:v>Ожидаемое потребление после проведения КР (на клим.усл базового года)</c:v>
                  </c:pt>
                  <c:pt idx="22">
                    <c:v>Фактическое потребление базового года</c:v>
                  </c:pt>
                  <c:pt idx="23">
                    <c:v>Ожидаемое потребление после проведения КР (на клим.усл базового года)</c:v>
                  </c:pt>
                </c:lvl>
                <c:lvl>
                  <c:pt idx="0">
                    <c:v>Январь</c:v>
                  </c:pt>
                  <c:pt idx="2">
                    <c:v>Февраль</c:v>
                  </c:pt>
                  <c:pt idx="4">
                    <c:v>Март</c:v>
                  </c:pt>
                  <c:pt idx="6">
                    <c:v>Апрель</c:v>
                  </c:pt>
                  <c:pt idx="8">
                    <c:v>Май</c:v>
                  </c:pt>
                  <c:pt idx="10">
                    <c:v>Июнь</c:v>
                  </c:pt>
                  <c:pt idx="12">
                    <c:v>Июль</c:v>
                  </c:pt>
                  <c:pt idx="14">
                    <c:v>Август</c:v>
                  </c:pt>
                  <c:pt idx="16">
                    <c:v>Сентябрь</c:v>
                  </c:pt>
                  <c:pt idx="18">
                    <c:v>Октябрь</c:v>
                  </c:pt>
                  <c:pt idx="20">
                    <c:v>Ноябрь</c:v>
                  </c:pt>
                  <c:pt idx="22">
                    <c:v>Декабрь</c:v>
                  </c:pt>
                </c:lvl>
              </c:multiLvlStrCache>
            </c:multiLvlStrRef>
          </c:cat>
          <c:val>
            <c:numRef>
              <c:f>'Расчет после реализации'!$I$12:$AF$12</c:f>
              <c:numCache>
                <c:formatCode>0</c:formatCode>
                <c:ptCount val="24"/>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numCache>
            </c:numRef>
          </c:val>
          <c:extLst xmlns:c16r2="http://schemas.microsoft.com/office/drawing/2015/06/chart">
            <c:ext xmlns:c16="http://schemas.microsoft.com/office/drawing/2014/chart" uri="{C3380CC4-5D6E-409C-BE32-E72D297353CC}">
              <c16:uniqueId val="{00000000-3FFA-43A1-B708-CE265236F0F6}"/>
            </c:ext>
          </c:extLst>
        </c:ser>
        <c:ser>
          <c:idx val="1"/>
          <c:order val="1"/>
          <c:tx>
            <c:strRef>
              <c:f>'Расчет после реализации'!$G$15</c:f>
              <c:strCache>
                <c:ptCount val="1"/>
                <c:pt idx="0">
                  <c:v>Горячее водоснабжение</c:v>
                </c:pt>
              </c:strCache>
            </c:strRef>
          </c:tx>
          <c:spPr>
            <a:solidFill>
              <a:srgbClr val="66CCFF"/>
            </a:solidFill>
            <a:ln>
              <a:noFill/>
            </a:ln>
            <a:effectLst/>
          </c:spPr>
          <c:invertIfNegative val="0"/>
          <c:val>
            <c:numRef>
              <c:f>'Расчет после реализации'!$I$15:$AF$15</c:f>
              <c:numCache>
                <c:formatCode>0</c:formatCode>
                <c:ptCount val="24"/>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numCache>
            </c:numRef>
          </c:val>
          <c:extLst xmlns:c16r2="http://schemas.microsoft.com/office/drawing/2015/06/chart">
            <c:ext xmlns:c16="http://schemas.microsoft.com/office/drawing/2014/chart" uri="{C3380CC4-5D6E-409C-BE32-E72D297353CC}">
              <c16:uniqueId val="{00000001-3FFA-43A1-B708-CE265236F0F6}"/>
            </c:ext>
          </c:extLst>
        </c:ser>
        <c:ser>
          <c:idx val="2"/>
          <c:order val="2"/>
          <c:tx>
            <c:strRef>
              <c:f>'Расчет после реализации'!$G$18</c:f>
              <c:strCache>
                <c:ptCount val="1"/>
                <c:pt idx="0">
                  <c:v>Годовое потребление электроэнергии на общедомовые нужды</c:v>
                </c:pt>
              </c:strCache>
            </c:strRef>
          </c:tx>
          <c:spPr>
            <a:solidFill>
              <a:schemeClr val="tx1"/>
            </a:solidFill>
            <a:ln>
              <a:noFill/>
            </a:ln>
            <a:effectLst/>
          </c:spPr>
          <c:invertIfNegative val="0"/>
          <c:val>
            <c:numRef>
              <c:f>'Расчет после реализации'!$I$18:$AF$18</c:f>
              <c:numCache>
                <c:formatCode>0</c:formatCode>
                <c:ptCount val="24"/>
                <c:pt idx="0">
                  <c:v>0</c:v>
                </c:pt>
                <c:pt idx="1">
                  <c:v>#N/A</c:v>
                </c:pt>
                <c:pt idx="2">
                  <c:v>0</c:v>
                </c:pt>
                <c:pt idx="3">
                  <c:v>#N/A</c:v>
                </c:pt>
                <c:pt idx="4">
                  <c:v>0</c:v>
                </c:pt>
                <c:pt idx="5">
                  <c:v>#N/A</c:v>
                </c:pt>
                <c:pt idx="6">
                  <c:v>0</c:v>
                </c:pt>
                <c:pt idx="7">
                  <c:v>#N/A</c:v>
                </c:pt>
                <c:pt idx="8">
                  <c:v>0</c:v>
                </c:pt>
                <c:pt idx="9">
                  <c:v>#N/A</c:v>
                </c:pt>
                <c:pt idx="10">
                  <c:v>0</c:v>
                </c:pt>
                <c:pt idx="11">
                  <c:v>#N/A</c:v>
                </c:pt>
                <c:pt idx="12">
                  <c:v>0</c:v>
                </c:pt>
                <c:pt idx="13">
                  <c:v>#N/A</c:v>
                </c:pt>
                <c:pt idx="14">
                  <c:v>0</c:v>
                </c:pt>
                <c:pt idx="15">
                  <c:v>#N/A</c:v>
                </c:pt>
                <c:pt idx="16">
                  <c:v>0</c:v>
                </c:pt>
                <c:pt idx="17">
                  <c:v>#N/A</c:v>
                </c:pt>
                <c:pt idx="18">
                  <c:v>0</c:v>
                </c:pt>
                <c:pt idx="19">
                  <c:v>#N/A</c:v>
                </c:pt>
                <c:pt idx="20">
                  <c:v>0</c:v>
                </c:pt>
                <c:pt idx="21">
                  <c:v>#N/A</c:v>
                </c:pt>
                <c:pt idx="22">
                  <c:v>0</c:v>
                </c:pt>
                <c:pt idx="23">
                  <c:v>#N/A</c:v>
                </c:pt>
              </c:numCache>
            </c:numRef>
          </c:val>
          <c:extLst xmlns:c16r2="http://schemas.microsoft.com/office/drawing/2015/06/chart">
            <c:ext xmlns:c16="http://schemas.microsoft.com/office/drawing/2014/chart" uri="{C3380CC4-5D6E-409C-BE32-E72D297353CC}">
              <c16:uniqueId val="{00000002-3FFA-43A1-B708-CE265236F0F6}"/>
            </c:ext>
          </c:extLst>
        </c:ser>
        <c:dLbls>
          <c:showLegendKey val="0"/>
          <c:showVal val="0"/>
          <c:showCatName val="0"/>
          <c:showSerName val="0"/>
          <c:showPercent val="0"/>
          <c:showBubbleSize val="0"/>
        </c:dLbls>
        <c:gapWidth val="59"/>
        <c:overlap val="100"/>
        <c:axId val="890579152"/>
        <c:axId val="890579712"/>
      </c:barChart>
      <c:catAx>
        <c:axId val="890579152"/>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Times New Roman" pitchFamily="18" charset="0"/>
                <a:ea typeface="+mn-ea"/>
                <a:cs typeface="Times New Roman" pitchFamily="18" charset="0"/>
              </a:defRPr>
            </a:pPr>
            <a:endParaRPr lang="ru-RU"/>
          </a:p>
        </c:txPr>
        <c:crossAx val="890579712"/>
        <c:crosses val="autoZero"/>
        <c:auto val="1"/>
        <c:lblAlgn val="ctr"/>
        <c:lblOffset val="100"/>
        <c:noMultiLvlLbl val="0"/>
      </c:catAx>
      <c:valAx>
        <c:axId val="89057971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ru-RU"/>
                  <a:t>кВтч</a:t>
                </a:r>
              </a:p>
            </c:rich>
          </c:tx>
          <c:overlay val="0"/>
          <c:spPr>
            <a:noFill/>
            <a:ln>
              <a:noFill/>
            </a:ln>
            <a:effectLst/>
          </c:sp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crossAx val="890579152"/>
        <c:crosses val="autoZero"/>
        <c:crossBetween val="between"/>
      </c:valAx>
      <c:spPr>
        <a:noFill/>
        <a:ln>
          <a:noFill/>
        </a:ln>
        <a:effectLst/>
      </c:spPr>
    </c:plotArea>
    <c:legend>
      <c:legendPos val="r"/>
      <c:layout>
        <c:manualLayout>
          <c:xMode val="edge"/>
          <c:yMode val="edge"/>
          <c:x val="0.38660986921816015"/>
          <c:y val="0.12138574192349313"/>
          <c:w val="0.19110779693198668"/>
          <c:h val="0.169538265838886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Times New Roman" pitchFamily="18" charset="0"/>
              <a:ea typeface="+mn-ea"/>
              <a:cs typeface="Times New Roman" pitchFamily="18" charset="0"/>
            </a:defRPr>
          </a:pPr>
          <a:endParaRPr lang="ru-RU"/>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ru-RU"/>
    </a:p>
  </c:txPr>
  <c:printSettings>
    <c:headerFooter/>
    <c:pageMargins b="0.75000000000000167" l="0.70000000000000062" r="0.70000000000000062" t="0.75000000000000167" header="0.30000000000000032" footer="0.30000000000000032"/>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ru-RU"/>
              <a:t>Потребление тепловой энергии на нужды ГВС</a:t>
            </a:r>
          </a:p>
        </c:rich>
      </c:tx>
      <c:overlay val="0"/>
      <c:spPr>
        <a:noFill/>
        <a:ln>
          <a:noFill/>
        </a:ln>
        <a:effectLst/>
      </c:spPr>
    </c:title>
    <c:autoTitleDeleted val="0"/>
    <c:plotArea>
      <c:layout>
        <c:manualLayout>
          <c:layoutTarget val="inner"/>
          <c:xMode val="edge"/>
          <c:yMode val="edge"/>
          <c:x val="4.7081656989007084E-2"/>
          <c:y val="0.12098445806716797"/>
          <c:w val="0.94411865730528055"/>
          <c:h val="0.41433585047023774"/>
        </c:manualLayout>
      </c:layout>
      <c:barChart>
        <c:barDir val="col"/>
        <c:grouping val="clustered"/>
        <c:varyColors val="0"/>
        <c:ser>
          <c:idx val="4"/>
          <c:order val="0"/>
          <c:tx>
            <c:strRef>
              <c:f>'Расчет после реализации'!$G$85</c:f>
              <c:strCache>
                <c:ptCount val="1"/>
                <c:pt idx="0">
                  <c:v>Потребление тепловой энергии на горячее водоснабжение </c:v>
                </c:pt>
              </c:strCache>
            </c:strRef>
          </c:tx>
          <c:spPr>
            <a:solidFill>
              <a:srgbClr val="FFC000"/>
            </a:solidFill>
            <a:ln>
              <a:noFill/>
            </a:ln>
            <a:effectLst/>
          </c:spPr>
          <c:invertIfNegative val="0"/>
          <c:cat>
            <c:multiLvlStrRef>
              <c:f>'Расчет после реализации'!$I$83:$AF$84</c:f>
              <c:multiLvlStrCache>
                <c:ptCount val="24"/>
                <c:lvl>
                  <c:pt idx="0">
                    <c:v>Фактическое потребление базового года</c:v>
                  </c:pt>
                  <c:pt idx="1">
                    <c:v>Ожидаемое потребление после проведения КР </c:v>
                  </c:pt>
                  <c:pt idx="2">
                    <c:v>Фактическое потребление базового года</c:v>
                  </c:pt>
                  <c:pt idx="3">
                    <c:v>Ожидаемое потребление после проведения КР </c:v>
                  </c:pt>
                  <c:pt idx="4">
                    <c:v>Фактическое потребление базового года</c:v>
                  </c:pt>
                  <c:pt idx="5">
                    <c:v>Ожидаемое потребление после проведения КР </c:v>
                  </c:pt>
                  <c:pt idx="6">
                    <c:v>Фактическое потребление базового года</c:v>
                  </c:pt>
                  <c:pt idx="7">
                    <c:v>Ожидаемое потребление после проведения КР </c:v>
                  </c:pt>
                  <c:pt idx="8">
                    <c:v>Фактическое потребление базового года</c:v>
                  </c:pt>
                  <c:pt idx="9">
                    <c:v>Ожидаемое потребление после проведения КР </c:v>
                  </c:pt>
                  <c:pt idx="10">
                    <c:v>Фактическое потребление базового года</c:v>
                  </c:pt>
                  <c:pt idx="11">
                    <c:v>Ожидаемое потребление после проведения КР </c:v>
                  </c:pt>
                  <c:pt idx="12">
                    <c:v>Фактическое потребление базового года</c:v>
                  </c:pt>
                  <c:pt idx="13">
                    <c:v>Ожидаемое потребление после проведения КР </c:v>
                  </c:pt>
                  <c:pt idx="14">
                    <c:v>Фактическое потребление базового года</c:v>
                  </c:pt>
                  <c:pt idx="15">
                    <c:v>Ожидаемое потребление после проведения КР </c:v>
                  </c:pt>
                  <c:pt idx="16">
                    <c:v>Фактическое потребление базового года</c:v>
                  </c:pt>
                  <c:pt idx="17">
                    <c:v>Ожидаемое потребление после проведения КР </c:v>
                  </c:pt>
                  <c:pt idx="18">
                    <c:v>Фактическое потребление базового года</c:v>
                  </c:pt>
                  <c:pt idx="19">
                    <c:v>Ожидаемое потребление после проведения КР </c:v>
                  </c:pt>
                  <c:pt idx="20">
                    <c:v>Фактическое потребление базового года</c:v>
                  </c:pt>
                  <c:pt idx="21">
                    <c:v>Ожидаемое потребление после проведения КР </c:v>
                  </c:pt>
                  <c:pt idx="22">
                    <c:v>Фактическое потребление базового года</c:v>
                  </c:pt>
                  <c:pt idx="23">
                    <c:v>Ожидаемое потребление после проведения КР </c:v>
                  </c:pt>
                </c:lvl>
                <c:lvl>
                  <c:pt idx="0">
                    <c:v>Январь</c:v>
                  </c:pt>
                  <c:pt idx="2">
                    <c:v>Февраль</c:v>
                  </c:pt>
                  <c:pt idx="4">
                    <c:v>Март</c:v>
                  </c:pt>
                  <c:pt idx="6">
                    <c:v>Апрель</c:v>
                  </c:pt>
                  <c:pt idx="8">
                    <c:v>Май</c:v>
                  </c:pt>
                  <c:pt idx="10">
                    <c:v>Июнь</c:v>
                  </c:pt>
                  <c:pt idx="12">
                    <c:v>Июль</c:v>
                  </c:pt>
                  <c:pt idx="14">
                    <c:v>Август</c:v>
                  </c:pt>
                  <c:pt idx="16">
                    <c:v>Сентябрь</c:v>
                  </c:pt>
                  <c:pt idx="18">
                    <c:v>Октябрь</c:v>
                  </c:pt>
                  <c:pt idx="20">
                    <c:v>Ноябрь</c:v>
                  </c:pt>
                  <c:pt idx="22">
                    <c:v>Декабрь</c:v>
                  </c:pt>
                </c:lvl>
              </c:multiLvlStrCache>
            </c:multiLvlStrRef>
          </c:cat>
          <c:val>
            <c:numRef>
              <c:f>'Расчет после реализации'!$I$85:$AF$85</c:f>
              <c:numCache>
                <c:formatCode>0</c:formatCode>
                <c:ptCount val="24"/>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numCache>
            </c:numRef>
          </c:val>
          <c:extLst xmlns:c16r2="http://schemas.microsoft.com/office/drawing/2015/06/chart">
            <c:ext xmlns:c16="http://schemas.microsoft.com/office/drawing/2014/chart" uri="{C3380CC4-5D6E-409C-BE32-E72D297353CC}">
              <c16:uniqueId val="{00000000-23D6-4B28-8833-233B4E3A279F}"/>
            </c:ext>
          </c:extLst>
        </c:ser>
        <c:dLbls>
          <c:showLegendKey val="0"/>
          <c:showVal val="0"/>
          <c:showCatName val="0"/>
          <c:showSerName val="0"/>
          <c:showPercent val="0"/>
          <c:showBubbleSize val="0"/>
        </c:dLbls>
        <c:gapWidth val="59"/>
        <c:axId val="860190224"/>
        <c:axId val="860190784"/>
      </c:barChart>
      <c:catAx>
        <c:axId val="860190224"/>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Times New Roman" pitchFamily="18" charset="0"/>
                <a:ea typeface="+mn-ea"/>
                <a:cs typeface="Times New Roman" pitchFamily="18" charset="0"/>
              </a:defRPr>
            </a:pPr>
            <a:endParaRPr lang="ru-RU"/>
          </a:p>
        </c:txPr>
        <c:crossAx val="860190784"/>
        <c:crosses val="autoZero"/>
        <c:auto val="1"/>
        <c:lblAlgn val="ctr"/>
        <c:lblOffset val="100"/>
        <c:noMultiLvlLbl val="0"/>
      </c:catAx>
      <c:valAx>
        <c:axId val="86019078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ru-RU"/>
                  <a:t>кВтч</a:t>
                </a:r>
              </a:p>
            </c:rich>
          </c:tx>
          <c:overlay val="0"/>
          <c:spPr>
            <a:noFill/>
            <a:ln>
              <a:noFill/>
            </a:ln>
            <a:effectLst/>
          </c:sp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crossAx val="86019022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ru-RU"/>
    </a:p>
  </c:txPr>
  <c:printSettings>
    <c:headerFooter/>
    <c:pageMargins b="0.75000000000000167" l="0.70000000000000062" r="0.70000000000000062" t="0.75000000000000167" header="0.30000000000000032" footer="0.30000000000000032"/>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ru-RU"/>
              <a:t>Потребление </a:t>
            </a:r>
            <a:r>
              <a:rPr lang="ru-RU" baseline="0"/>
              <a:t> горячей воды</a:t>
            </a:r>
            <a:endParaRPr lang="ru-RU"/>
          </a:p>
        </c:rich>
      </c:tx>
      <c:overlay val="0"/>
      <c:spPr>
        <a:noFill/>
        <a:ln>
          <a:noFill/>
        </a:ln>
        <a:effectLst/>
      </c:spPr>
    </c:title>
    <c:autoTitleDeleted val="0"/>
    <c:plotArea>
      <c:layout>
        <c:manualLayout>
          <c:layoutTarget val="inner"/>
          <c:xMode val="edge"/>
          <c:yMode val="edge"/>
          <c:x val="4.5463131483810426E-2"/>
          <c:y val="0.1350481642150447"/>
          <c:w val="0.94635191121389728"/>
          <c:h val="0.38491635375719385"/>
        </c:manualLayout>
      </c:layout>
      <c:barChart>
        <c:barDir val="col"/>
        <c:grouping val="clustered"/>
        <c:varyColors val="0"/>
        <c:ser>
          <c:idx val="0"/>
          <c:order val="0"/>
          <c:tx>
            <c:strRef>
              <c:f>'Расчет после реализации'!$G$90</c:f>
              <c:strCache>
                <c:ptCount val="1"/>
                <c:pt idx="0">
                  <c:v>Потребление горячей воды</c:v>
                </c:pt>
              </c:strCache>
            </c:strRef>
          </c:tx>
          <c:spPr>
            <a:solidFill>
              <a:schemeClr val="accent1"/>
            </a:solidFill>
            <a:ln>
              <a:noFill/>
            </a:ln>
            <a:effectLst/>
          </c:spPr>
          <c:invertIfNegative val="0"/>
          <c:cat>
            <c:multiLvlStrRef>
              <c:f>'Расчет после реализации'!$I$83:$AF$84</c:f>
              <c:multiLvlStrCache>
                <c:ptCount val="24"/>
                <c:lvl>
                  <c:pt idx="0">
                    <c:v>Фактическое потребление базового года</c:v>
                  </c:pt>
                  <c:pt idx="1">
                    <c:v>Ожидаемое потребление после проведения КР </c:v>
                  </c:pt>
                  <c:pt idx="2">
                    <c:v>Фактическое потребление базового года</c:v>
                  </c:pt>
                  <c:pt idx="3">
                    <c:v>Ожидаемое потребление после проведения КР </c:v>
                  </c:pt>
                  <c:pt idx="4">
                    <c:v>Фактическое потребление базового года</c:v>
                  </c:pt>
                  <c:pt idx="5">
                    <c:v>Ожидаемое потребление после проведения КР </c:v>
                  </c:pt>
                  <c:pt idx="6">
                    <c:v>Фактическое потребление базового года</c:v>
                  </c:pt>
                  <c:pt idx="7">
                    <c:v>Ожидаемое потребление после проведения КР </c:v>
                  </c:pt>
                  <c:pt idx="8">
                    <c:v>Фактическое потребление базового года</c:v>
                  </c:pt>
                  <c:pt idx="9">
                    <c:v>Ожидаемое потребление после проведения КР </c:v>
                  </c:pt>
                  <c:pt idx="10">
                    <c:v>Фактическое потребление базового года</c:v>
                  </c:pt>
                  <c:pt idx="11">
                    <c:v>Ожидаемое потребление после проведения КР </c:v>
                  </c:pt>
                  <c:pt idx="12">
                    <c:v>Фактическое потребление базового года</c:v>
                  </c:pt>
                  <c:pt idx="13">
                    <c:v>Ожидаемое потребление после проведения КР </c:v>
                  </c:pt>
                  <c:pt idx="14">
                    <c:v>Фактическое потребление базового года</c:v>
                  </c:pt>
                  <c:pt idx="15">
                    <c:v>Ожидаемое потребление после проведения КР </c:v>
                  </c:pt>
                  <c:pt idx="16">
                    <c:v>Фактическое потребление базового года</c:v>
                  </c:pt>
                  <c:pt idx="17">
                    <c:v>Ожидаемое потребление после проведения КР </c:v>
                  </c:pt>
                  <c:pt idx="18">
                    <c:v>Фактическое потребление базового года</c:v>
                  </c:pt>
                  <c:pt idx="19">
                    <c:v>Ожидаемое потребление после проведения КР </c:v>
                  </c:pt>
                  <c:pt idx="20">
                    <c:v>Фактическое потребление базового года</c:v>
                  </c:pt>
                  <c:pt idx="21">
                    <c:v>Ожидаемое потребление после проведения КР </c:v>
                  </c:pt>
                  <c:pt idx="22">
                    <c:v>Фактическое потребление базового года</c:v>
                  </c:pt>
                  <c:pt idx="23">
                    <c:v>Ожидаемое потребление после проведения КР </c:v>
                  </c:pt>
                </c:lvl>
                <c:lvl>
                  <c:pt idx="0">
                    <c:v>Январь</c:v>
                  </c:pt>
                  <c:pt idx="2">
                    <c:v>Февраль</c:v>
                  </c:pt>
                  <c:pt idx="4">
                    <c:v>Март</c:v>
                  </c:pt>
                  <c:pt idx="6">
                    <c:v>Апрель</c:v>
                  </c:pt>
                  <c:pt idx="8">
                    <c:v>Май</c:v>
                  </c:pt>
                  <c:pt idx="10">
                    <c:v>Июнь</c:v>
                  </c:pt>
                  <c:pt idx="12">
                    <c:v>Июль</c:v>
                  </c:pt>
                  <c:pt idx="14">
                    <c:v>Август</c:v>
                  </c:pt>
                  <c:pt idx="16">
                    <c:v>Сентябрь</c:v>
                  </c:pt>
                  <c:pt idx="18">
                    <c:v>Октябрь</c:v>
                  </c:pt>
                  <c:pt idx="20">
                    <c:v>Ноябрь</c:v>
                  </c:pt>
                  <c:pt idx="22">
                    <c:v>Декабрь</c:v>
                  </c:pt>
                </c:lvl>
              </c:multiLvlStrCache>
            </c:multiLvlStrRef>
          </c:cat>
          <c:val>
            <c:numRef>
              <c:f>'Расчет после реализации'!$J$90:$AF$90</c:f>
              <c:numCache>
                <c:formatCode>0</c:formatCode>
                <c:ptCount val="23"/>
                <c:pt idx="0" formatCode="General">
                  <c:v>0</c:v>
                </c:pt>
                <c:pt idx="1">
                  <c:v>0</c:v>
                </c:pt>
                <c:pt idx="2" formatCode="General">
                  <c:v>0</c:v>
                </c:pt>
                <c:pt idx="3">
                  <c:v>0</c:v>
                </c:pt>
                <c:pt idx="4" formatCode="General">
                  <c:v>0</c:v>
                </c:pt>
                <c:pt idx="5">
                  <c:v>0</c:v>
                </c:pt>
                <c:pt idx="6" formatCode="General">
                  <c:v>0</c:v>
                </c:pt>
                <c:pt idx="7">
                  <c:v>0</c:v>
                </c:pt>
                <c:pt idx="8" formatCode="General">
                  <c:v>0</c:v>
                </c:pt>
                <c:pt idx="9">
                  <c:v>0</c:v>
                </c:pt>
                <c:pt idx="10" formatCode="General">
                  <c:v>0</c:v>
                </c:pt>
                <c:pt idx="11">
                  <c:v>0</c:v>
                </c:pt>
                <c:pt idx="12" formatCode="General">
                  <c:v>0</c:v>
                </c:pt>
                <c:pt idx="13">
                  <c:v>0</c:v>
                </c:pt>
                <c:pt idx="14" formatCode="General">
                  <c:v>0</c:v>
                </c:pt>
                <c:pt idx="15">
                  <c:v>0</c:v>
                </c:pt>
                <c:pt idx="16" formatCode="General">
                  <c:v>0</c:v>
                </c:pt>
                <c:pt idx="17">
                  <c:v>0</c:v>
                </c:pt>
                <c:pt idx="18" formatCode="General">
                  <c:v>0</c:v>
                </c:pt>
                <c:pt idx="19">
                  <c:v>0</c:v>
                </c:pt>
                <c:pt idx="20" formatCode="General">
                  <c:v>0</c:v>
                </c:pt>
                <c:pt idx="21">
                  <c:v>0</c:v>
                </c:pt>
                <c:pt idx="22" formatCode="General">
                  <c:v>0</c:v>
                </c:pt>
              </c:numCache>
            </c:numRef>
          </c:val>
          <c:extLst xmlns:c16r2="http://schemas.microsoft.com/office/drawing/2015/06/chart">
            <c:ext xmlns:c16="http://schemas.microsoft.com/office/drawing/2014/chart" uri="{C3380CC4-5D6E-409C-BE32-E72D297353CC}">
              <c16:uniqueId val="{00000000-A2E0-4042-95E5-748C603E7374}"/>
            </c:ext>
          </c:extLst>
        </c:ser>
        <c:dLbls>
          <c:showLegendKey val="0"/>
          <c:showVal val="0"/>
          <c:showCatName val="0"/>
          <c:showSerName val="0"/>
          <c:showPercent val="0"/>
          <c:showBubbleSize val="0"/>
        </c:dLbls>
        <c:gapWidth val="59"/>
        <c:axId val="860193584"/>
        <c:axId val="860194144"/>
      </c:barChart>
      <c:catAx>
        <c:axId val="860193584"/>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Times New Roman" pitchFamily="18" charset="0"/>
                <a:ea typeface="+mn-ea"/>
                <a:cs typeface="Times New Roman" pitchFamily="18" charset="0"/>
              </a:defRPr>
            </a:pPr>
            <a:endParaRPr lang="ru-RU"/>
          </a:p>
        </c:txPr>
        <c:crossAx val="860194144"/>
        <c:crosses val="autoZero"/>
        <c:auto val="1"/>
        <c:lblAlgn val="ctr"/>
        <c:lblOffset val="100"/>
        <c:noMultiLvlLbl val="0"/>
      </c:catAx>
      <c:valAx>
        <c:axId val="86019414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ru-RU"/>
                  <a:t>куб.м</a:t>
                </a:r>
              </a:p>
            </c:rich>
          </c:tx>
          <c:overlay val="0"/>
          <c:spPr>
            <a:noFill/>
            <a:ln>
              <a:noFill/>
            </a:ln>
            <a:effectLst/>
          </c:sp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crossAx val="86019358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ru-RU"/>
    </a:p>
  </c:txPr>
  <c:printSettings>
    <c:headerFooter/>
    <c:pageMargins b="0.75000000000000167" l="0.70000000000000062" r="0.70000000000000062" t="0.75000000000000167" header="0.30000000000000032" footer="0.30000000000000032"/>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r>
              <a:rPr lang="ru-RU" sz="1100"/>
              <a:t>Структура годового</a:t>
            </a:r>
          </a:p>
          <a:p>
            <a:pPr>
              <a:defRPr sz="1100"/>
            </a:pPr>
            <a:r>
              <a:rPr lang="ru-RU" sz="1100"/>
              <a:t> потребления</a:t>
            </a:r>
          </a:p>
          <a:p>
            <a:pPr>
              <a:defRPr sz="1100"/>
            </a:pPr>
            <a:r>
              <a:rPr lang="ru-RU" sz="1100"/>
              <a:t> энергоресурсов</a:t>
            </a:r>
          </a:p>
          <a:p>
            <a:pPr>
              <a:defRPr sz="1100"/>
            </a:pPr>
            <a:r>
              <a:rPr lang="ru-RU" sz="1100"/>
              <a:t> (расчетно-нормативный)</a:t>
            </a:r>
          </a:p>
        </c:rich>
      </c:tx>
      <c:layout>
        <c:manualLayout>
          <c:xMode val="edge"/>
          <c:yMode val="edge"/>
          <c:x val="0"/>
          <c:y val="3.7037037037037056E-2"/>
        </c:manualLayout>
      </c:layout>
      <c:overlay val="0"/>
      <c:spPr>
        <a:noFill/>
        <a:ln>
          <a:noFill/>
        </a:ln>
        <a:effectLst/>
      </c:spPr>
      <c:txPr>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endParaRPr lang="ru-RU"/>
        </a:p>
      </c:txPr>
    </c:title>
    <c:autoTitleDeleted val="0"/>
    <c:plotArea>
      <c:layout>
        <c:manualLayout>
          <c:layoutTarget val="inner"/>
          <c:xMode val="edge"/>
          <c:yMode val="edge"/>
          <c:x val="0.4115352143482065"/>
          <c:y val="7.407407407407407E-2"/>
          <c:w val="0.49915179352581024"/>
          <c:h val="0.83191965587634853"/>
        </c:manualLayout>
      </c:layout>
      <c:pieChart>
        <c:varyColors val="1"/>
        <c:ser>
          <c:idx val="0"/>
          <c:order val="0"/>
          <c:dPt>
            <c:idx val="0"/>
            <c:bubble3D val="0"/>
            <c:spPr>
              <a:solidFill>
                <a:schemeClr val="accent1"/>
              </a:solidFill>
              <a:ln w="19050">
                <a:solidFill>
                  <a:schemeClr val="lt1"/>
                </a:solidFill>
              </a:ln>
              <a:effectLst/>
            </c:spPr>
            <c:extLst xmlns:c16r2="http://schemas.microsoft.com/office/drawing/2015/06/chart">
              <c:ext xmlns:c16="http://schemas.microsoft.com/office/drawing/2014/chart" uri="{C3380CC4-5D6E-409C-BE32-E72D297353CC}">
                <c16:uniqueId val="{00000000-793F-4A22-BF68-CEF7557AA7C8}"/>
              </c:ext>
            </c:extLst>
          </c:dPt>
          <c:dPt>
            <c:idx val="1"/>
            <c:bubble3D val="0"/>
            <c:spPr>
              <a:solidFill>
                <a:schemeClr val="accent2"/>
              </a:solidFill>
              <a:ln w="19050">
                <a:solidFill>
                  <a:schemeClr val="lt1"/>
                </a:solidFill>
              </a:ln>
              <a:effectLst/>
            </c:spPr>
            <c:extLst xmlns:c16r2="http://schemas.microsoft.com/office/drawing/2015/06/chart">
              <c:ext xmlns:c16="http://schemas.microsoft.com/office/drawing/2014/chart" uri="{C3380CC4-5D6E-409C-BE32-E72D297353CC}">
                <c16:uniqueId val="{00000001-793F-4A22-BF68-CEF7557AA7C8}"/>
              </c:ext>
            </c:extLst>
          </c:dPt>
          <c:dPt>
            <c:idx val="2"/>
            <c:bubble3D val="0"/>
            <c:spPr>
              <a:solidFill>
                <a:schemeClr val="accent3"/>
              </a:solidFill>
              <a:ln w="19050">
                <a:solidFill>
                  <a:schemeClr val="lt1"/>
                </a:solidFill>
              </a:ln>
              <a:effectLst/>
            </c:spPr>
            <c:extLst xmlns:c16r2="http://schemas.microsoft.com/office/drawing/2015/06/chart">
              <c:ext xmlns:c16="http://schemas.microsoft.com/office/drawing/2014/chart" uri="{C3380CC4-5D6E-409C-BE32-E72D297353CC}">
                <c16:uniqueId val="{00000002-793F-4A22-BF68-CEF7557AA7C8}"/>
              </c:ext>
            </c:extLst>
          </c:dPt>
          <c:dLbls>
            <c:dLbl>
              <c:idx val="0"/>
              <c:layout>
                <c:manualLayout>
                  <c:x val="-0.10463188976377966"/>
                  <c:y val="-1.6105278506853241E-2"/>
                </c:manualLayout>
              </c:layout>
              <c:showLegendKey val="0"/>
              <c:showVal val="1"/>
              <c:showCatName val="0"/>
              <c:showSerName val="0"/>
              <c:showPercent val="1"/>
              <c:showBubbleSize val="0"/>
              <c:extLst xmlns:c16r2="http://schemas.microsoft.com/office/drawing/2015/06/chart">
                <c:ext xmlns:c16="http://schemas.microsoft.com/office/drawing/2014/chart" uri="{C3380CC4-5D6E-409C-BE32-E72D297353CC}">
                  <c16:uniqueId val="{00000000-793F-4A22-BF68-CEF7557AA7C8}"/>
                </c:ext>
                <c:ext xmlns:c15="http://schemas.microsoft.com/office/drawing/2012/chart" uri="{CE6537A1-D6FC-4f65-9D91-7224C49458BB}"/>
              </c:extLst>
            </c:dLbl>
            <c:dLbl>
              <c:idx val="1"/>
              <c:layout>
                <c:manualLayout>
                  <c:x val="0.34480993000874932"/>
                  <c:y val="-3.5879629629629803E-2"/>
                </c:manualLayout>
              </c:layout>
              <c:showLegendKey val="0"/>
              <c:showVal val="1"/>
              <c:showCatName val="0"/>
              <c:showSerName val="0"/>
              <c:showPercent val="1"/>
              <c:showBubbleSize val="0"/>
              <c:extLst xmlns:c16r2="http://schemas.microsoft.com/office/drawing/2015/06/chart">
                <c:ext xmlns:c16="http://schemas.microsoft.com/office/drawing/2014/chart" uri="{C3380CC4-5D6E-409C-BE32-E72D297353CC}">
                  <c16:uniqueId val="{00000001-793F-4A22-BF68-CEF7557AA7C8}"/>
                </c:ext>
                <c:ext xmlns:c15="http://schemas.microsoft.com/office/drawing/2012/chart" uri="{CE6537A1-D6FC-4f65-9D91-7224C49458BB}"/>
              </c:extLst>
            </c:dLbl>
            <c:spPr>
              <a:solidFill>
                <a:sysClr val="window" lastClr="FFFFFF"/>
              </a:solid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ru-RU"/>
              </a:p>
            </c:txPr>
            <c:showLegendKey val="0"/>
            <c:showVal val="1"/>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6r2="http://schemas.microsoft.com/office/drawing/2015/06/chart">
              <c:ext xmlns:c15="http://schemas.microsoft.com/office/drawing/2012/chart" uri="{CE6537A1-D6FC-4f65-9D91-7224C49458BB}"/>
            </c:extLst>
          </c:dLbls>
          <c:cat>
            <c:strRef>
              <c:f>'Расчет после реализации'!$B$26:$D$26</c:f>
              <c:strCache>
                <c:ptCount val="3"/>
                <c:pt idx="0">
                  <c:v>Отопление и вентиляция</c:v>
                </c:pt>
                <c:pt idx="1">
                  <c:v>Электроэнергия на общедомовые нужды</c:v>
                </c:pt>
                <c:pt idx="2">
                  <c:v>Горячее водоснабжение</c:v>
                </c:pt>
              </c:strCache>
            </c:strRef>
          </c:cat>
          <c:val>
            <c:numRef>
              <c:f>'Расчет после реализации'!$B$27:$D$27</c:f>
              <c:numCache>
                <c:formatCode>0</c:formatCode>
                <c:ptCount val="3"/>
                <c:pt idx="0">
                  <c:v>#N/A</c:v>
                </c:pt>
                <c:pt idx="1">
                  <c:v>#N/A</c:v>
                </c:pt>
                <c:pt idx="2">
                  <c:v>0</c:v>
                </c:pt>
              </c:numCache>
            </c:numRef>
          </c:val>
          <c:extLst xmlns:c16r2="http://schemas.microsoft.com/office/drawing/2015/06/chart">
            <c:ext xmlns:c16="http://schemas.microsoft.com/office/drawing/2014/chart" uri="{C3380CC4-5D6E-409C-BE32-E72D297353CC}">
              <c16:uniqueId val="{00000003-793F-4A22-BF68-CEF7557AA7C8}"/>
            </c:ext>
          </c:extLst>
        </c:ser>
        <c:dLbls>
          <c:showLegendKey val="0"/>
          <c:showVal val="0"/>
          <c:showCatName val="0"/>
          <c:showSerName val="0"/>
          <c:showPercent val="0"/>
          <c:showBubbleSize val="0"/>
          <c:showLeaderLines val="1"/>
        </c:dLbls>
        <c:firstSliceAng val="332"/>
      </c:pieChart>
      <c:spPr>
        <a:noFill/>
        <a:ln>
          <a:noFill/>
        </a:ln>
        <a:effectLst/>
      </c:spPr>
    </c:plotArea>
    <c:legend>
      <c:legendPos val="b"/>
      <c:layout>
        <c:manualLayout>
          <c:xMode val="edge"/>
          <c:yMode val="edge"/>
          <c:x val="2.0463692038495095E-3"/>
          <c:y val="0.35590113735783124"/>
          <c:w val="0.35146259842519689"/>
          <c:h val="0.6440988626421742"/>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ru-RU"/>
        </a:p>
      </c:txPr>
    </c:legend>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ru-RU"/>
    </a:p>
  </c:txPr>
  <c:printSettings>
    <c:headerFooter/>
    <c:pageMargins b="0.75000000000000167" l="0.70000000000000062" r="0.70000000000000062" t="0.75000000000000167" header="0.30000000000000032" footer="0.30000000000000032"/>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r>
              <a:rPr lang="ru-RU" sz="1100"/>
              <a:t>Структура годового</a:t>
            </a:r>
          </a:p>
          <a:p>
            <a:pPr>
              <a:defRPr sz="1100" b="0" i="0" u="none" strike="noStrike" kern="1200" spc="0" baseline="0">
                <a:solidFill>
                  <a:schemeClr val="tx1">
                    <a:lumMod val="65000"/>
                    <a:lumOff val="35000"/>
                  </a:schemeClr>
                </a:solidFill>
                <a:latin typeface="+mn-lt"/>
                <a:ea typeface="+mn-ea"/>
                <a:cs typeface="+mn-cs"/>
              </a:defRPr>
            </a:pPr>
            <a:r>
              <a:rPr lang="ru-RU" sz="1100"/>
              <a:t> потребления</a:t>
            </a:r>
          </a:p>
          <a:p>
            <a:pPr>
              <a:defRPr sz="1100" b="0" i="0" u="none" strike="noStrike" kern="1200" spc="0" baseline="0">
                <a:solidFill>
                  <a:schemeClr val="tx1">
                    <a:lumMod val="65000"/>
                    <a:lumOff val="35000"/>
                  </a:schemeClr>
                </a:solidFill>
                <a:latin typeface="+mn-lt"/>
                <a:ea typeface="+mn-ea"/>
                <a:cs typeface="+mn-cs"/>
              </a:defRPr>
            </a:pPr>
            <a:r>
              <a:rPr lang="ru-RU" sz="1100"/>
              <a:t> энергоресурсов</a:t>
            </a:r>
          </a:p>
          <a:p>
            <a:pPr>
              <a:defRPr sz="1100" b="0" i="0" u="none" strike="noStrike" kern="1200" spc="0" baseline="0">
                <a:solidFill>
                  <a:schemeClr val="tx1">
                    <a:lumMod val="65000"/>
                    <a:lumOff val="35000"/>
                  </a:schemeClr>
                </a:solidFill>
                <a:latin typeface="+mn-lt"/>
                <a:ea typeface="+mn-ea"/>
                <a:cs typeface="+mn-cs"/>
              </a:defRPr>
            </a:pPr>
            <a:r>
              <a:rPr lang="ru-RU" sz="1100"/>
              <a:t> (фактический)</a:t>
            </a:r>
          </a:p>
        </c:rich>
      </c:tx>
      <c:layout>
        <c:manualLayout>
          <c:xMode val="edge"/>
          <c:yMode val="edge"/>
          <c:x val="0"/>
          <c:y val="3.7037037037037056E-2"/>
        </c:manualLayout>
      </c:layout>
      <c:overlay val="0"/>
      <c:spPr>
        <a:noFill/>
        <a:ln>
          <a:noFill/>
        </a:ln>
        <a:effectLst/>
      </c:spPr>
    </c:title>
    <c:autoTitleDeleted val="0"/>
    <c:plotArea>
      <c:layout>
        <c:manualLayout>
          <c:layoutTarget val="inner"/>
          <c:xMode val="edge"/>
          <c:yMode val="edge"/>
          <c:x val="0.4115352143482065"/>
          <c:y val="7.407407407407407E-2"/>
          <c:w val="0.49915179352581024"/>
          <c:h val="0.83191965587634853"/>
        </c:manualLayout>
      </c:layout>
      <c:pieChart>
        <c:varyColors val="1"/>
        <c:ser>
          <c:idx val="0"/>
          <c:order val="0"/>
          <c:dPt>
            <c:idx val="0"/>
            <c:bubble3D val="0"/>
            <c:spPr>
              <a:solidFill>
                <a:schemeClr val="accent1"/>
              </a:solidFill>
              <a:ln w="19050">
                <a:solidFill>
                  <a:schemeClr val="lt1"/>
                </a:solidFill>
              </a:ln>
              <a:effectLst/>
            </c:spPr>
            <c:extLst xmlns:c16r2="http://schemas.microsoft.com/office/drawing/2015/06/chart">
              <c:ext xmlns:c16="http://schemas.microsoft.com/office/drawing/2014/chart" uri="{C3380CC4-5D6E-409C-BE32-E72D297353CC}">
                <c16:uniqueId val="{00000000-9335-484A-9311-5C14721A0D46}"/>
              </c:ext>
            </c:extLst>
          </c:dPt>
          <c:dPt>
            <c:idx val="1"/>
            <c:bubble3D val="0"/>
            <c:spPr>
              <a:solidFill>
                <a:schemeClr val="accent2"/>
              </a:solidFill>
              <a:ln w="19050">
                <a:solidFill>
                  <a:schemeClr val="lt1"/>
                </a:solidFill>
              </a:ln>
              <a:effectLst/>
            </c:spPr>
            <c:extLst xmlns:c16r2="http://schemas.microsoft.com/office/drawing/2015/06/chart">
              <c:ext xmlns:c16="http://schemas.microsoft.com/office/drawing/2014/chart" uri="{C3380CC4-5D6E-409C-BE32-E72D297353CC}">
                <c16:uniqueId val="{00000001-9335-484A-9311-5C14721A0D46}"/>
              </c:ext>
            </c:extLst>
          </c:dPt>
          <c:dPt>
            <c:idx val="2"/>
            <c:bubble3D val="0"/>
            <c:spPr>
              <a:solidFill>
                <a:schemeClr val="accent3"/>
              </a:solidFill>
              <a:ln w="19050">
                <a:solidFill>
                  <a:schemeClr val="lt1"/>
                </a:solidFill>
              </a:ln>
              <a:effectLst/>
            </c:spPr>
            <c:extLst xmlns:c16r2="http://schemas.microsoft.com/office/drawing/2015/06/chart">
              <c:ext xmlns:c16="http://schemas.microsoft.com/office/drawing/2014/chart" uri="{C3380CC4-5D6E-409C-BE32-E72D297353CC}">
                <c16:uniqueId val="{00000002-9335-484A-9311-5C14721A0D46}"/>
              </c:ext>
            </c:extLst>
          </c:dPt>
          <c:cat>
            <c:strRef>
              <c:f>'Расчет после реализации'!$B$26:$D$26</c:f>
              <c:strCache>
                <c:ptCount val="3"/>
                <c:pt idx="0">
                  <c:v>Отопление и вентиляция</c:v>
                </c:pt>
                <c:pt idx="1">
                  <c:v>Электроэнергия на общедомовые нужды</c:v>
                </c:pt>
                <c:pt idx="2">
                  <c:v>Горячее водоснабжение</c:v>
                </c:pt>
              </c:strCache>
            </c:strRef>
          </c:cat>
          <c:val>
            <c:numRef>
              <c:f>'Расчет после реализации'!$B$28:$D$28</c:f>
              <c:numCache>
                <c:formatCode>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3-9335-484A-9311-5C14721A0D46}"/>
            </c:ext>
          </c:extLst>
        </c:ser>
        <c:dLbls>
          <c:showLegendKey val="0"/>
          <c:showVal val="0"/>
          <c:showCatName val="0"/>
          <c:showSerName val="0"/>
          <c:showPercent val="0"/>
          <c:showBubbleSize val="0"/>
          <c:showLeaderLines val="1"/>
        </c:dLbls>
        <c:firstSliceAng val="332"/>
      </c:pieChart>
      <c:spPr>
        <a:noFill/>
        <a:ln>
          <a:noFill/>
        </a:ln>
        <a:effectLst/>
      </c:spPr>
    </c:plotArea>
    <c:legend>
      <c:legendPos val="b"/>
      <c:layout>
        <c:manualLayout>
          <c:xMode val="edge"/>
          <c:yMode val="edge"/>
          <c:x val="2.0463692038495095E-3"/>
          <c:y val="0.35590113735783124"/>
          <c:w val="0.35146259842519689"/>
          <c:h val="0.6440988626421742"/>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ru-RU"/>
        </a:p>
      </c:txPr>
    </c:legend>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ru-RU"/>
    </a:p>
  </c:txPr>
  <c:printSettings>
    <c:headerFooter/>
    <c:pageMargins b="0.75000000000000167" l="0.70000000000000062" r="0.70000000000000062" t="0.75000000000000167" header="0.30000000000000032" footer="0.30000000000000032"/>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r>
              <a:rPr lang="ru-RU" sz="1200"/>
              <a:t>Потери тепла</a:t>
            </a:r>
          </a:p>
          <a:p>
            <a:pPr>
              <a:defRPr sz="1200"/>
            </a:pPr>
            <a:r>
              <a:rPr lang="ru-RU" sz="1200"/>
              <a:t> (расчетно-нормативные)</a:t>
            </a:r>
          </a:p>
        </c:rich>
      </c:tx>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endParaRPr lang="ru-RU"/>
        </a:p>
      </c:txPr>
    </c:title>
    <c:autoTitleDeleted val="0"/>
    <c:plotArea>
      <c:layout>
        <c:manualLayout>
          <c:layoutTarget val="inner"/>
          <c:xMode val="edge"/>
          <c:yMode val="edge"/>
          <c:x val="0.30313475680404894"/>
          <c:y val="0.15498349361806843"/>
          <c:w val="0.43216873566479963"/>
          <c:h val="0.56474098390643213"/>
        </c:manualLayout>
      </c:layout>
      <c:pieChart>
        <c:varyColors val="1"/>
        <c:ser>
          <c:idx val="0"/>
          <c:order val="0"/>
          <c:dPt>
            <c:idx val="0"/>
            <c:bubble3D val="0"/>
            <c:spPr>
              <a:solidFill>
                <a:schemeClr val="accent1"/>
              </a:solidFill>
              <a:ln w="19050">
                <a:solidFill>
                  <a:schemeClr val="lt1"/>
                </a:solidFill>
              </a:ln>
              <a:effectLst/>
            </c:spPr>
            <c:extLst xmlns:c16r2="http://schemas.microsoft.com/office/drawing/2015/06/chart">
              <c:ext xmlns:c16="http://schemas.microsoft.com/office/drawing/2014/chart" uri="{C3380CC4-5D6E-409C-BE32-E72D297353CC}">
                <c16:uniqueId val="{00000000-E8D9-438F-98F2-C6AA8AA29B9B}"/>
              </c:ext>
            </c:extLst>
          </c:dPt>
          <c:dPt>
            <c:idx val="1"/>
            <c:bubble3D val="0"/>
            <c:spPr>
              <a:solidFill>
                <a:schemeClr val="accent2"/>
              </a:solidFill>
              <a:ln w="19050">
                <a:solidFill>
                  <a:schemeClr val="lt1"/>
                </a:solidFill>
              </a:ln>
              <a:effectLst/>
            </c:spPr>
            <c:extLst xmlns:c16r2="http://schemas.microsoft.com/office/drawing/2015/06/chart">
              <c:ext xmlns:c16="http://schemas.microsoft.com/office/drawing/2014/chart" uri="{C3380CC4-5D6E-409C-BE32-E72D297353CC}">
                <c16:uniqueId val="{00000001-E8D9-438F-98F2-C6AA8AA29B9B}"/>
              </c:ext>
            </c:extLst>
          </c:dPt>
          <c:dPt>
            <c:idx val="2"/>
            <c:bubble3D val="0"/>
            <c:spPr>
              <a:solidFill>
                <a:schemeClr val="accent3"/>
              </a:solidFill>
              <a:ln w="19050">
                <a:solidFill>
                  <a:schemeClr val="lt1"/>
                </a:solidFill>
              </a:ln>
              <a:effectLst/>
            </c:spPr>
            <c:extLst xmlns:c16r2="http://schemas.microsoft.com/office/drawing/2015/06/chart">
              <c:ext xmlns:c16="http://schemas.microsoft.com/office/drawing/2014/chart" uri="{C3380CC4-5D6E-409C-BE32-E72D297353CC}">
                <c16:uniqueId val="{00000002-E8D9-438F-98F2-C6AA8AA29B9B}"/>
              </c:ext>
            </c:extLst>
          </c:dPt>
          <c:dPt>
            <c:idx val="3"/>
            <c:bubble3D val="0"/>
            <c:spPr>
              <a:solidFill>
                <a:schemeClr val="accent4"/>
              </a:solidFill>
              <a:ln w="19050">
                <a:solidFill>
                  <a:schemeClr val="lt1"/>
                </a:solidFill>
              </a:ln>
              <a:effectLst/>
            </c:spPr>
            <c:extLst xmlns:c16r2="http://schemas.microsoft.com/office/drawing/2015/06/chart">
              <c:ext xmlns:c16="http://schemas.microsoft.com/office/drawing/2014/chart" uri="{C3380CC4-5D6E-409C-BE32-E72D297353CC}">
                <c16:uniqueId val="{00000003-E8D9-438F-98F2-C6AA8AA29B9B}"/>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u-RU"/>
              </a:p>
            </c:txPr>
            <c:showLegendKey val="0"/>
            <c:showVal val="0"/>
            <c:showCatName val="1"/>
            <c:showSerName val="0"/>
            <c:showPercent val="1"/>
            <c:showBubbleSize val="0"/>
            <c:showLeaderLines val="1"/>
            <c:leaderLines>
              <c:spPr>
                <a:ln w="9525" cap="flat" cmpd="sng" algn="ctr">
                  <a:solidFill>
                    <a:srgbClr val="C9C9C9"/>
                  </a:solidFill>
                  <a:round/>
                </a:ln>
                <a:effectLst/>
              </c:spPr>
            </c:leaderLines>
            <c:extLst xmlns:c16r2="http://schemas.microsoft.com/office/drawing/2015/06/chart">
              <c:ext xmlns:c15="http://schemas.microsoft.com/office/drawing/2012/chart" uri="{CE6537A1-D6FC-4f65-9D91-7224C49458BB}"/>
            </c:extLst>
          </c:dLbls>
          <c:cat>
            <c:strRef>
              <c:f>'Расчет после реализации'!$A$79:$D$79</c:f>
              <c:strCache>
                <c:ptCount val="4"/>
                <c:pt idx="0">
                  <c:v>Трансмиссионные тепловые потери через наружные ограждающие конструкции</c:v>
                </c:pt>
                <c:pt idx="1">
                  <c:v>Инфильтрационные тепловые потери на нагрев наружного воздуха</c:v>
                </c:pt>
                <c:pt idx="2">
                  <c:v>Дополнительные тепловые потери трубопроводами системы отопления, проходящими через неотапливаемые помещения </c:v>
                </c:pt>
                <c:pt idx="3">
                  <c:v>Дополнительные тепловые потери, обусловленные неэффективным регулированием подачи тепловой энергии в систему отопления </c:v>
                </c:pt>
              </c:strCache>
            </c:strRef>
          </c:cat>
          <c:val>
            <c:numRef>
              <c:f>'Расчет после реализации'!$A$80:$D$80</c:f>
              <c:numCache>
                <c:formatCode>0</c:formatCode>
                <c:ptCount val="4"/>
                <c:pt idx="0">
                  <c:v>#N/A</c:v>
                </c:pt>
                <c:pt idx="1">
                  <c:v>0</c:v>
                </c:pt>
                <c:pt idx="2">
                  <c:v>0</c:v>
                </c:pt>
                <c:pt idx="3" formatCode="0.0">
                  <c:v>0</c:v>
                </c:pt>
              </c:numCache>
            </c:numRef>
          </c:val>
          <c:extLst xmlns:c16r2="http://schemas.microsoft.com/office/drawing/2015/06/chart">
            <c:ext xmlns:c16="http://schemas.microsoft.com/office/drawing/2014/chart" uri="{C3380CC4-5D6E-409C-BE32-E72D297353CC}">
              <c16:uniqueId val="{00000004-E8D9-438F-98F2-C6AA8AA29B9B}"/>
            </c:ext>
          </c:extLst>
        </c:ser>
        <c:dLbls>
          <c:showLegendKey val="0"/>
          <c:showVal val="0"/>
          <c:showCatName val="0"/>
          <c:showSerName val="0"/>
          <c:showPercent val="0"/>
          <c:showBubbleSize val="0"/>
          <c:showLeaderLines val="1"/>
        </c:dLbls>
        <c:firstSliceAng val="15"/>
      </c:pieChart>
      <c:spPr>
        <a:noFill/>
        <a:ln>
          <a:noFill/>
        </a:ln>
        <a:effectLst/>
      </c:spPr>
    </c:plotArea>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ru-RU"/>
    </a:p>
  </c:txPr>
  <c:printSettings>
    <c:headerFooter/>
    <c:pageMargins b="0.75000000000000167" l="0.70000000000000062" r="0.70000000000000062" t="0.75000000000000167" header="0.30000000000000032" footer="0.30000000000000032"/>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ru-RU"/>
              <a:t>Потребление электроэнергии на общедомовые нужды</a:t>
            </a:r>
          </a:p>
        </c:rich>
      </c:tx>
      <c:layout>
        <c:manualLayout>
          <c:xMode val="edge"/>
          <c:yMode val="edge"/>
          <c:x val="0.31133601060473398"/>
          <c:y val="0"/>
        </c:manualLayout>
      </c:layout>
      <c:overlay val="0"/>
      <c:spPr>
        <a:noFill/>
        <a:ln>
          <a:noFill/>
        </a:ln>
        <a:effectLst/>
      </c:spPr>
    </c:title>
    <c:autoTitleDeleted val="0"/>
    <c:plotArea>
      <c:layout>
        <c:manualLayout>
          <c:layoutTarget val="inner"/>
          <c:xMode val="edge"/>
          <c:yMode val="edge"/>
          <c:x val="6.1324604556994004E-2"/>
          <c:y val="4.2289719058539989E-2"/>
          <c:w val="0.9262510299905683"/>
          <c:h val="0.36775085203901758"/>
        </c:manualLayout>
      </c:layout>
      <c:barChart>
        <c:barDir val="col"/>
        <c:grouping val="stacked"/>
        <c:varyColors val="0"/>
        <c:ser>
          <c:idx val="4"/>
          <c:order val="0"/>
          <c:tx>
            <c:strRef>
              <c:f>'Расчет после реализации'!$G$102</c:f>
              <c:strCache>
                <c:ptCount val="1"/>
                <c:pt idx="0">
                  <c:v>освещение мест общего пользования</c:v>
                </c:pt>
              </c:strCache>
            </c:strRef>
          </c:tx>
          <c:spPr>
            <a:solidFill>
              <a:srgbClr val="FFFF00"/>
            </a:solidFill>
            <a:ln>
              <a:noFill/>
            </a:ln>
            <a:effectLst/>
          </c:spPr>
          <c:invertIfNegative val="0"/>
          <c:cat>
            <c:multiLvlStrRef>
              <c:f>'Расчет после реализации'!$I$98:$AF$99</c:f>
              <c:multiLvlStrCache>
                <c:ptCount val="24"/>
                <c:lvl>
                  <c:pt idx="0">
                    <c:v>Фактическое потребление базового года</c:v>
                  </c:pt>
                  <c:pt idx="1">
                    <c:v>Ожидаемое потребление после проведения КР </c:v>
                  </c:pt>
                  <c:pt idx="2">
                    <c:v>Фактическое потребление базового года</c:v>
                  </c:pt>
                  <c:pt idx="3">
                    <c:v>Ожидаемое потребление после проведения КР </c:v>
                  </c:pt>
                  <c:pt idx="4">
                    <c:v>Фактическое потребление базового года</c:v>
                  </c:pt>
                  <c:pt idx="5">
                    <c:v>Ожидаемое потребление после проведения КР </c:v>
                  </c:pt>
                  <c:pt idx="6">
                    <c:v>Фактическое потребление базового года</c:v>
                  </c:pt>
                  <c:pt idx="7">
                    <c:v>Ожидаемое потребление после проведения КР </c:v>
                  </c:pt>
                  <c:pt idx="8">
                    <c:v>Фактическое потребление базового года</c:v>
                  </c:pt>
                  <c:pt idx="9">
                    <c:v>Ожидаемое потребление после проведения КР </c:v>
                  </c:pt>
                  <c:pt idx="10">
                    <c:v>Фактическое потребление базового года</c:v>
                  </c:pt>
                  <c:pt idx="11">
                    <c:v>Ожидаемое потребление после проведения КР </c:v>
                  </c:pt>
                  <c:pt idx="12">
                    <c:v>Фактическое потребление базового года</c:v>
                  </c:pt>
                  <c:pt idx="13">
                    <c:v>Ожидаемое потребление после проведения КР </c:v>
                  </c:pt>
                  <c:pt idx="14">
                    <c:v>Фактическое потребление базового года</c:v>
                  </c:pt>
                  <c:pt idx="15">
                    <c:v>Ожидаемое потребление после проведения КР </c:v>
                  </c:pt>
                  <c:pt idx="16">
                    <c:v>Фактическое потребление базового года</c:v>
                  </c:pt>
                  <c:pt idx="17">
                    <c:v>Ожидаемое потребление после проведения КР </c:v>
                  </c:pt>
                  <c:pt idx="18">
                    <c:v>Фактическое потребление базового года</c:v>
                  </c:pt>
                  <c:pt idx="19">
                    <c:v>Ожидаемое потребление после проведения КР </c:v>
                  </c:pt>
                  <c:pt idx="20">
                    <c:v>Фактическое потребление базового года</c:v>
                  </c:pt>
                  <c:pt idx="21">
                    <c:v>Ожидаемое потребление после проведения КР </c:v>
                  </c:pt>
                  <c:pt idx="22">
                    <c:v>Фактическое потребление базового года</c:v>
                  </c:pt>
                  <c:pt idx="23">
                    <c:v>Ожидаемое потребление после проведения КР </c:v>
                  </c:pt>
                </c:lvl>
                <c:lvl>
                  <c:pt idx="0">
                    <c:v>Январь</c:v>
                  </c:pt>
                  <c:pt idx="2">
                    <c:v>Февраль</c:v>
                  </c:pt>
                  <c:pt idx="4">
                    <c:v>Март</c:v>
                  </c:pt>
                  <c:pt idx="6">
                    <c:v>Апрель</c:v>
                  </c:pt>
                  <c:pt idx="8">
                    <c:v>Май</c:v>
                  </c:pt>
                  <c:pt idx="10">
                    <c:v>Июнь</c:v>
                  </c:pt>
                  <c:pt idx="12">
                    <c:v>Июль</c:v>
                  </c:pt>
                  <c:pt idx="14">
                    <c:v>Август</c:v>
                  </c:pt>
                  <c:pt idx="16">
                    <c:v>Сентябрь</c:v>
                  </c:pt>
                  <c:pt idx="18">
                    <c:v>Октябрь</c:v>
                  </c:pt>
                  <c:pt idx="20">
                    <c:v>Ноябрь</c:v>
                  </c:pt>
                  <c:pt idx="22">
                    <c:v>Декабрь</c:v>
                  </c:pt>
                </c:lvl>
              </c:multiLvlStrCache>
            </c:multiLvlStrRef>
          </c:cat>
          <c:val>
            <c:numRef>
              <c:f>'Расчет после реализации'!$I$102:$AE$102</c:f>
              <c:numCache>
                <c:formatCode>0</c:formatCode>
                <c:ptCount val="2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numCache>
            </c:numRef>
          </c:val>
          <c:extLst xmlns:c16r2="http://schemas.microsoft.com/office/drawing/2015/06/chart">
            <c:ext xmlns:c16="http://schemas.microsoft.com/office/drawing/2014/chart" uri="{C3380CC4-5D6E-409C-BE32-E72D297353CC}">
              <c16:uniqueId val="{00000000-AA2F-4AB6-8F78-D4AA85EB49FD}"/>
            </c:ext>
          </c:extLst>
        </c:ser>
        <c:ser>
          <c:idx val="0"/>
          <c:order val="1"/>
          <c:tx>
            <c:strRef>
              <c:f>'Расчет после реализации'!$G$104</c:f>
              <c:strCache>
                <c:ptCount val="1"/>
                <c:pt idx="0">
                  <c:v>лифтовое оборудование</c:v>
                </c:pt>
              </c:strCache>
            </c:strRef>
          </c:tx>
          <c:spPr>
            <a:solidFill>
              <a:srgbClr val="FFC000"/>
            </a:solidFill>
            <a:ln>
              <a:noFill/>
            </a:ln>
            <a:effectLst/>
          </c:spPr>
          <c:invertIfNegative val="0"/>
          <c:cat>
            <c:multiLvlStrRef>
              <c:f>'Расчет после реализации'!$I$98:$AF$99</c:f>
              <c:multiLvlStrCache>
                <c:ptCount val="24"/>
                <c:lvl>
                  <c:pt idx="0">
                    <c:v>Фактическое потребление базового года</c:v>
                  </c:pt>
                  <c:pt idx="1">
                    <c:v>Ожидаемое потребление после проведения КР </c:v>
                  </c:pt>
                  <c:pt idx="2">
                    <c:v>Фактическое потребление базового года</c:v>
                  </c:pt>
                  <c:pt idx="3">
                    <c:v>Ожидаемое потребление после проведения КР </c:v>
                  </c:pt>
                  <c:pt idx="4">
                    <c:v>Фактическое потребление базового года</c:v>
                  </c:pt>
                  <c:pt idx="5">
                    <c:v>Ожидаемое потребление после проведения КР </c:v>
                  </c:pt>
                  <c:pt idx="6">
                    <c:v>Фактическое потребление базового года</c:v>
                  </c:pt>
                  <c:pt idx="7">
                    <c:v>Ожидаемое потребление после проведения КР </c:v>
                  </c:pt>
                  <c:pt idx="8">
                    <c:v>Фактическое потребление базового года</c:v>
                  </c:pt>
                  <c:pt idx="9">
                    <c:v>Ожидаемое потребление после проведения КР </c:v>
                  </c:pt>
                  <c:pt idx="10">
                    <c:v>Фактическое потребление базового года</c:v>
                  </c:pt>
                  <c:pt idx="11">
                    <c:v>Ожидаемое потребление после проведения КР </c:v>
                  </c:pt>
                  <c:pt idx="12">
                    <c:v>Фактическое потребление базового года</c:v>
                  </c:pt>
                  <c:pt idx="13">
                    <c:v>Ожидаемое потребление после проведения КР </c:v>
                  </c:pt>
                  <c:pt idx="14">
                    <c:v>Фактическое потребление базового года</c:v>
                  </c:pt>
                  <c:pt idx="15">
                    <c:v>Ожидаемое потребление после проведения КР </c:v>
                  </c:pt>
                  <c:pt idx="16">
                    <c:v>Фактическое потребление базового года</c:v>
                  </c:pt>
                  <c:pt idx="17">
                    <c:v>Ожидаемое потребление после проведения КР </c:v>
                  </c:pt>
                  <c:pt idx="18">
                    <c:v>Фактическое потребление базового года</c:v>
                  </c:pt>
                  <c:pt idx="19">
                    <c:v>Ожидаемое потребление после проведения КР </c:v>
                  </c:pt>
                  <c:pt idx="20">
                    <c:v>Фактическое потребление базового года</c:v>
                  </c:pt>
                  <c:pt idx="21">
                    <c:v>Ожидаемое потребление после проведения КР </c:v>
                  </c:pt>
                  <c:pt idx="22">
                    <c:v>Фактическое потребление базового года</c:v>
                  </c:pt>
                  <c:pt idx="23">
                    <c:v>Ожидаемое потребление после проведения КР </c:v>
                  </c:pt>
                </c:lvl>
                <c:lvl>
                  <c:pt idx="0">
                    <c:v>Январь</c:v>
                  </c:pt>
                  <c:pt idx="2">
                    <c:v>Февраль</c:v>
                  </c:pt>
                  <c:pt idx="4">
                    <c:v>Март</c:v>
                  </c:pt>
                  <c:pt idx="6">
                    <c:v>Апрель</c:v>
                  </c:pt>
                  <c:pt idx="8">
                    <c:v>Май</c:v>
                  </c:pt>
                  <c:pt idx="10">
                    <c:v>Июнь</c:v>
                  </c:pt>
                  <c:pt idx="12">
                    <c:v>Июль</c:v>
                  </c:pt>
                  <c:pt idx="14">
                    <c:v>Август</c:v>
                  </c:pt>
                  <c:pt idx="16">
                    <c:v>Сентябрь</c:v>
                  </c:pt>
                  <c:pt idx="18">
                    <c:v>Октябрь</c:v>
                  </c:pt>
                  <c:pt idx="20">
                    <c:v>Ноябрь</c:v>
                  </c:pt>
                  <c:pt idx="22">
                    <c:v>Декабрь</c:v>
                  </c:pt>
                </c:lvl>
              </c:multiLvlStrCache>
            </c:multiLvlStrRef>
          </c:cat>
          <c:val>
            <c:numRef>
              <c:f>'Расчет после реализации'!$I$104:$AF$104</c:f>
              <c:numCache>
                <c:formatCode>0</c:formatCode>
                <c:ptCount val="24"/>
                <c:pt idx="0">
                  <c:v>0</c:v>
                </c:pt>
                <c:pt idx="1">
                  <c:v>0</c:v>
                </c:pt>
                <c:pt idx="2">
                  <c:v>0</c:v>
                </c:pt>
                <c:pt idx="3">
                  <c:v>0</c:v>
                </c:pt>
                <c:pt idx="4">
                  <c:v>0</c:v>
                </c:pt>
                <c:pt idx="5" formatCode="General">
                  <c:v>0</c:v>
                </c:pt>
                <c:pt idx="6">
                  <c:v>0</c:v>
                </c:pt>
                <c:pt idx="7" formatCode="General">
                  <c:v>0</c:v>
                </c:pt>
                <c:pt idx="8">
                  <c:v>0</c:v>
                </c:pt>
                <c:pt idx="9" formatCode="General">
                  <c:v>0</c:v>
                </c:pt>
                <c:pt idx="10">
                  <c:v>0</c:v>
                </c:pt>
                <c:pt idx="11" formatCode="General">
                  <c:v>0</c:v>
                </c:pt>
                <c:pt idx="12">
                  <c:v>0</c:v>
                </c:pt>
                <c:pt idx="13" formatCode="General">
                  <c:v>0</c:v>
                </c:pt>
                <c:pt idx="14">
                  <c:v>0</c:v>
                </c:pt>
                <c:pt idx="15" formatCode="General">
                  <c:v>0</c:v>
                </c:pt>
                <c:pt idx="16">
                  <c:v>0</c:v>
                </c:pt>
                <c:pt idx="17" formatCode="General">
                  <c:v>0</c:v>
                </c:pt>
                <c:pt idx="18">
                  <c:v>0</c:v>
                </c:pt>
                <c:pt idx="19" formatCode="General">
                  <c:v>0</c:v>
                </c:pt>
                <c:pt idx="20">
                  <c:v>0</c:v>
                </c:pt>
                <c:pt idx="21" formatCode="General">
                  <c:v>0</c:v>
                </c:pt>
                <c:pt idx="22">
                  <c:v>0</c:v>
                </c:pt>
                <c:pt idx="23" formatCode="General">
                  <c:v>0</c:v>
                </c:pt>
              </c:numCache>
            </c:numRef>
          </c:val>
          <c:extLst xmlns:c16r2="http://schemas.microsoft.com/office/drawing/2015/06/chart">
            <c:ext xmlns:c16="http://schemas.microsoft.com/office/drawing/2014/chart" uri="{C3380CC4-5D6E-409C-BE32-E72D297353CC}">
              <c16:uniqueId val="{00000001-AA2F-4AB6-8F78-D4AA85EB49FD}"/>
            </c:ext>
          </c:extLst>
        </c:ser>
        <c:ser>
          <c:idx val="1"/>
          <c:order val="2"/>
          <c:tx>
            <c:strRef>
              <c:f>'Расчет после реализации'!$G$106</c:f>
              <c:strCache>
                <c:ptCount val="1"/>
                <c:pt idx="0">
                  <c:v>насосное оборудование</c:v>
                </c:pt>
              </c:strCache>
            </c:strRef>
          </c:tx>
          <c:spPr>
            <a:solidFill>
              <a:srgbClr val="0070C0"/>
            </a:solidFill>
            <a:ln>
              <a:noFill/>
            </a:ln>
            <a:effectLst/>
          </c:spPr>
          <c:invertIfNegative val="0"/>
          <c:cat>
            <c:multiLvlStrRef>
              <c:f>'Расчет после реализации'!$I$98:$AF$99</c:f>
              <c:multiLvlStrCache>
                <c:ptCount val="24"/>
                <c:lvl>
                  <c:pt idx="0">
                    <c:v>Фактическое потребление базового года</c:v>
                  </c:pt>
                  <c:pt idx="1">
                    <c:v>Ожидаемое потребление после проведения КР </c:v>
                  </c:pt>
                  <c:pt idx="2">
                    <c:v>Фактическое потребление базового года</c:v>
                  </c:pt>
                  <c:pt idx="3">
                    <c:v>Ожидаемое потребление после проведения КР </c:v>
                  </c:pt>
                  <c:pt idx="4">
                    <c:v>Фактическое потребление базового года</c:v>
                  </c:pt>
                  <c:pt idx="5">
                    <c:v>Ожидаемое потребление после проведения КР </c:v>
                  </c:pt>
                  <c:pt idx="6">
                    <c:v>Фактическое потребление базового года</c:v>
                  </c:pt>
                  <c:pt idx="7">
                    <c:v>Ожидаемое потребление после проведения КР </c:v>
                  </c:pt>
                  <c:pt idx="8">
                    <c:v>Фактическое потребление базового года</c:v>
                  </c:pt>
                  <c:pt idx="9">
                    <c:v>Ожидаемое потребление после проведения КР </c:v>
                  </c:pt>
                  <c:pt idx="10">
                    <c:v>Фактическое потребление базового года</c:v>
                  </c:pt>
                  <c:pt idx="11">
                    <c:v>Ожидаемое потребление после проведения КР </c:v>
                  </c:pt>
                  <c:pt idx="12">
                    <c:v>Фактическое потребление базового года</c:v>
                  </c:pt>
                  <c:pt idx="13">
                    <c:v>Ожидаемое потребление после проведения КР </c:v>
                  </c:pt>
                  <c:pt idx="14">
                    <c:v>Фактическое потребление базового года</c:v>
                  </c:pt>
                  <c:pt idx="15">
                    <c:v>Ожидаемое потребление после проведения КР </c:v>
                  </c:pt>
                  <c:pt idx="16">
                    <c:v>Фактическое потребление базового года</c:v>
                  </c:pt>
                  <c:pt idx="17">
                    <c:v>Ожидаемое потребление после проведения КР </c:v>
                  </c:pt>
                  <c:pt idx="18">
                    <c:v>Фактическое потребление базового года</c:v>
                  </c:pt>
                  <c:pt idx="19">
                    <c:v>Ожидаемое потребление после проведения КР </c:v>
                  </c:pt>
                  <c:pt idx="20">
                    <c:v>Фактическое потребление базового года</c:v>
                  </c:pt>
                  <c:pt idx="21">
                    <c:v>Ожидаемое потребление после проведения КР </c:v>
                  </c:pt>
                  <c:pt idx="22">
                    <c:v>Фактическое потребление базового года</c:v>
                  </c:pt>
                  <c:pt idx="23">
                    <c:v>Ожидаемое потребление после проведения КР </c:v>
                  </c:pt>
                </c:lvl>
                <c:lvl>
                  <c:pt idx="0">
                    <c:v>Январь</c:v>
                  </c:pt>
                  <c:pt idx="2">
                    <c:v>Февраль</c:v>
                  </c:pt>
                  <c:pt idx="4">
                    <c:v>Март</c:v>
                  </c:pt>
                  <c:pt idx="6">
                    <c:v>Апрель</c:v>
                  </c:pt>
                  <c:pt idx="8">
                    <c:v>Май</c:v>
                  </c:pt>
                  <c:pt idx="10">
                    <c:v>Июнь</c:v>
                  </c:pt>
                  <c:pt idx="12">
                    <c:v>Июль</c:v>
                  </c:pt>
                  <c:pt idx="14">
                    <c:v>Август</c:v>
                  </c:pt>
                  <c:pt idx="16">
                    <c:v>Сентябрь</c:v>
                  </c:pt>
                  <c:pt idx="18">
                    <c:v>Октябрь</c:v>
                  </c:pt>
                  <c:pt idx="20">
                    <c:v>Ноябрь</c:v>
                  </c:pt>
                  <c:pt idx="22">
                    <c:v>Декабрь</c:v>
                  </c:pt>
                </c:lvl>
              </c:multiLvlStrCache>
            </c:multiLvlStrRef>
          </c:cat>
          <c:val>
            <c:numRef>
              <c:f>'Расчет после реализации'!$I$106:$AF$106</c:f>
              <c:numCache>
                <c:formatCode>0</c:formatCode>
                <c:ptCount val="24"/>
                <c:pt idx="0">
                  <c:v>0</c:v>
                </c:pt>
                <c:pt idx="1">
                  <c:v>#N/A</c:v>
                </c:pt>
                <c:pt idx="2">
                  <c:v>0</c:v>
                </c:pt>
                <c:pt idx="3">
                  <c:v>#N/A</c:v>
                </c:pt>
                <c:pt idx="4">
                  <c:v>0</c:v>
                </c:pt>
                <c:pt idx="5">
                  <c:v>#N/A</c:v>
                </c:pt>
                <c:pt idx="6">
                  <c:v>0</c:v>
                </c:pt>
                <c:pt idx="7">
                  <c:v>#N/A</c:v>
                </c:pt>
                <c:pt idx="8">
                  <c:v>0</c:v>
                </c:pt>
                <c:pt idx="9">
                  <c:v>#N/A</c:v>
                </c:pt>
                <c:pt idx="10">
                  <c:v>0</c:v>
                </c:pt>
                <c:pt idx="11">
                  <c:v>#N/A</c:v>
                </c:pt>
                <c:pt idx="12">
                  <c:v>0</c:v>
                </c:pt>
                <c:pt idx="13">
                  <c:v>#N/A</c:v>
                </c:pt>
                <c:pt idx="14">
                  <c:v>0</c:v>
                </c:pt>
                <c:pt idx="15">
                  <c:v>#N/A</c:v>
                </c:pt>
                <c:pt idx="16">
                  <c:v>0</c:v>
                </c:pt>
                <c:pt idx="17">
                  <c:v>#N/A</c:v>
                </c:pt>
                <c:pt idx="18">
                  <c:v>0</c:v>
                </c:pt>
                <c:pt idx="19">
                  <c:v>#N/A</c:v>
                </c:pt>
                <c:pt idx="20">
                  <c:v>0</c:v>
                </c:pt>
                <c:pt idx="21">
                  <c:v>#N/A</c:v>
                </c:pt>
                <c:pt idx="22">
                  <c:v>0</c:v>
                </c:pt>
                <c:pt idx="23">
                  <c:v>#N/A</c:v>
                </c:pt>
              </c:numCache>
            </c:numRef>
          </c:val>
          <c:extLst xmlns:c16r2="http://schemas.microsoft.com/office/drawing/2015/06/chart">
            <c:ext xmlns:c16="http://schemas.microsoft.com/office/drawing/2014/chart" uri="{C3380CC4-5D6E-409C-BE32-E72D297353CC}">
              <c16:uniqueId val="{00000002-AA2F-4AB6-8F78-D4AA85EB49FD}"/>
            </c:ext>
          </c:extLst>
        </c:ser>
        <c:ser>
          <c:idx val="2"/>
          <c:order val="3"/>
          <c:tx>
            <c:strRef>
              <c:f>'Расчет после реализации'!$G$111</c:f>
              <c:strCache>
                <c:ptCount val="1"/>
                <c:pt idx="0">
                  <c:v>прочее энергетическое оборудование </c:v>
                </c:pt>
              </c:strCache>
            </c:strRef>
          </c:tx>
          <c:spPr>
            <a:solidFill>
              <a:schemeClr val="accent3"/>
            </a:solidFill>
            <a:ln>
              <a:noFill/>
            </a:ln>
            <a:effectLst/>
          </c:spPr>
          <c:invertIfNegative val="0"/>
          <c:cat>
            <c:multiLvlStrRef>
              <c:f>'Расчет после реализации'!$I$98:$AF$99</c:f>
              <c:multiLvlStrCache>
                <c:ptCount val="24"/>
                <c:lvl>
                  <c:pt idx="0">
                    <c:v>Фактическое потребление базового года</c:v>
                  </c:pt>
                  <c:pt idx="1">
                    <c:v>Ожидаемое потребление после проведения КР </c:v>
                  </c:pt>
                  <c:pt idx="2">
                    <c:v>Фактическое потребление базового года</c:v>
                  </c:pt>
                  <c:pt idx="3">
                    <c:v>Ожидаемое потребление после проведения КР </c:v>
                  </c:pt>
                  <c:pt idx="4">
                    <c:v>Фактическое потребление базового года</c:v>
                  </c:pt>
                  <c:pt idx="5">
                    <c:v>Ожидаемое потребление после проведения КР </c:v>
                  </c:pt>
                  <c:pt idx="6">
                    <c:v>Фактическое потребление базового года</c:v>
                  </c:pt>
                  <c:pt idx="7">
                    <c:v>Ожидаемое потребление после проведения КР </c:v>
                  </c:pt>
                  <c:pt idx="8">
                    <c:v>Фактическое потребление базового года</c:v>
                  </c:pt>
                  <c:pt idx="9">
                    <c:v>Ожидаемое потребление после проведения КР </c:v>
                  </c:pt>
                  <c:pt idx="10">
                    <c:v>Фактическое потребление базового года</c:v>
                  </c:pt>
                  <c:pt idx="11">
                    <c:v>Ожидаемое потребление после проведения КР </c:v>
                  </c:pt>
                  <c:pt idx="12">
                    <c:v>Фактическое потребление базового года</c:v>
                  </c:pt>
                  <c:pt idx="13">
                    <c:v>Ожидаемое потребление после проведения КР </c:v>
                  </c:pt>
                  <c:pt idx="14">
                    <c:v>Фактическое потребление базового года</c:v>
                  </c:pt>
                  <c:pt idx="15">
                    <c:v>Ожидаемое потребление после проведения КР </c:v>
                  </c:pt>
                  <c:pt idx="16">
                    <c:v>Фактическое потребление базового года</c:v>
                  </c:pt>
                  <c:pt idx="17">
                    <c:v>Ожидаемое потребление после проведения КР </c:v>
                  </c:pt>
                  <c:pt idx="18">
                    <c:v>Фактическое потребление базового года</c:v>
                  </c:pt>
                  <c:pt idx="19">
                    <c:v>Ожидаемое потребление после проведения КР </c:v>
                  </c:pt>
                  <c:pt idx="20">
                    <c:v>Фактическое потребление базового года</c:v>
                  </c:pt>
                  <c:pt idx="21">
                    <c:v>Ожидаемое потребление после проведения КР </c:v>
                  </c:pt>
                  <c:pt idx="22">
                    <c:v>Фактическое потребление базового года</c:v>
                  </c:pt>
                  <c:pt idx="23">
                    <c:v>Ожидаемое потребление после проведения КР </c:v>
                  </c:pt>
                </c:lvl>
                <c:lvl>
                  <c:pt idx="0">
                    <c:v>Январь</c:v>
                  </c:pt>
                  <c:pt idx="2">
                    <c:v>Февраль</c:v>
                  </c:pt>
                  <c:pt idx="4">
                    <c:v>Март</c:v>
                  </c:pt>
                  <c:pt idx="6">
                    <c:v>Апрель</c:v>
                  </c:pt>
                  <c:pt idx="8">
                    <c:v>Май</c:v>
                  </c:pt>
                  <c:pt idx="10">
                    <c:v>Июнь</c:v>
                  </c:pt>
                  <c:pt idx="12">
                    <c:v>Июль</c:v>
                  </c:pt>
                  <c:pt idx="14">
                    <c:v>Август</c:v>
                  </c:pt>
                  <c:pt idx="16">
                    <c:v>Сентябрь</c:v>
                  </c:pt>
                  <c:pt idx="18">
                    <c:v>Октябрь</c:v>
                  </c:pt>
                  <c:pt idx="20">
                    <c:v>Ноябрь</c:v>
                  </c:pt>
                  <c:pt idx="22">
                    <c:v>Декабрь</c:v>
                  </c:pt>
                </c:lvl>
              </c:multiLvlStrCache>
            </c:multiLvlStrRef>
          </c:cat>
          <c:val>
            <c:numRef>
              <c:f>'Расчет после реализации'!$J$111:$AF$111</c:f>
              <c:numCache>
                <c:formatCode>0</c:formatCode>
                <c:ptCount val="23"/>
                <c:pt idx="0" formatCode="General">
                  <c:v>0</c:v>
                </c:pt>
                <c:pt idx="1">
                  <c:v>0</c:v>
                </c:pt>
                <c:pt idx="2" formatCode="General">
                  <c:v>0</c:v>
                </c:pt>
                <c:pt idx="3">
                  <c:v>0</c:v>
                </c:pt>
                <c:pt idx="4" formatCode="General">
                  <c:v>0</c:v>
                </c:pt>
                <c:pt idx="5">
                  <c:v>0</c:v>
                </c:pt>
                <c:pt idx="6" formatCode="General">
                  <c:v>0</c:v>
                </c:pt>
                <c:pt idx="7">
                  <c:v>0</c:v>
                </c:pt>
                <c:pt idx="8" formatCode="General">
                  <c:v>0</c:v>
                </c:pt>
                <c:pt idx="9">
                  <c:v>0</c:v>
                </c:pt>
                <c:pt idx="10" formatCode="General">
                  <c:v>0</c:v>
                </c:pt>
                <c:pt idx="11">
                  <c:v>0</c:v>
                </c:pt>
                <c:pt idx="12" formatCode="General">
                  <c:v>0</c:v>
                </c:pt>
                <c:pt idx="13">
                  <c:v>0</c:v>
                </c:pt>
                <c:pt idx="14" formatCode="General">
                  <c:v>0</c:v>
                </c:pt>
                <c:pt idx="15">
                  <c:v>0</c:v>
                </c:pt>
                <c:pt idx="16" formatCode="General">
                  <c:v>0</c:v>
                </c:pt>
                <c:pt idx="17">
                  <c:v>0</c:v>
                </c:pt>
                <c:pt idx="18" formatCode="General">
                  <c:v>0</c:v>
                </c:pt>
                <c:pt idx="19">
                  <c:v>0</c:v>
                </c:pt>
                <c:pt idx="20" formatCode="General">
                  <c:v>0</c:v>
                </c:pt>
                <c:pt idx="21">
                  <c:v>0</c:v>
                </c:pt>
                <c:pt idx="22" formatCode="General">
                  <c:v>0</c:v>
                </c:pt>
              </c:numCache>
            </c:numRef>
          </c:val>
          <c:extLst xmlns:c16r2="http://schemas.microsoft.com/office/drawing/2015/06/chart">
            <c:ext xmlns:c16="http://schemas.microsoft.com/office/drawing/2014/chart" uri="{C3380CC4-5D6E-409C-BE32-E72D297353CC}">
              <c16:uniqueId val="{00000003-AA2F-4AB6-8F78-D4AA85EB49FD}"/>
            </c:ext>
          </c:extLst>
        </c:ser>
        <c:dLbls>
          <c:showLegendKey val="0"/>
          <c:showVal val="0"/>
          <c:showCatName val="0"/>
          <c:showSerName val="0"/>
          <c:showPercent val="0"/>
          <c:showBubbleSize val="0"/>
        </c:dLbls>
        <c:gapWidth val="59"/>
        <c:overlap val="100"/>
        <c:axId val="860203664"/>
        <c:axId val="840650736"/>
      </c:barChart>
      <c:catAx>
        <c:axId val="860203664"/>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Times New Roman" pitchFamily="18" charset="0"/>
                <a:ea typeface="+mn-ea"/>
                <a:cs typeface="Times New Roman" pitchFamily="18" charset="0"/>
              </a:defRPr>
            </a:pPr>
            <a:endParaRPr lang="ru-RU"/>
          </a:p>
        </c:txPr>
        <c:crossAx val="840650736"/>
        <c:crosses val="autoZero"/>
        <c:auto val="1"/>
        <c:lblAlgn val="ctr"/>
        <c:lblOffset val="100"/>
        <c:noMultiLvlLbl val="0"/>
      </c:catAx>
      <c:valAx>
        <c:axId val="84065073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ru-RU"/>
                  <a:t>кВтч</a:t>
                </a:r>
              </a:p>
            </c:rich>
          </c:tx>
          <c:layout>
            <c:manualLayout>
              <c:xMode val="edge"/>
              <c:yMode val="edge"/>
              <c:x val="1.5507906428391298E-2"/>
              <c:y val="0.17956441038800749"/>
            </c:manualLayout>
          </c:layout>
          <c:overlay val="0"/>
          <c:spPr>
            <a:noFill/>
            <a:ln>
              <a:noFill/>
            </a:ln>
            <a:effectLst/>
          </c:sp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crossAx val="860203664"/>
        <c:crosses val="autoZero"/>
        <c:crossBetween val="between"/>
      </c:valAx>
      <c:spPr>
        <a:noFill/>
        <a:ln>
          <a:noFill/>
        </a:ln>
        <a:effectLst/>
      </c:spPr>
    </c:plotArea>
    <c:legend>
      <c:legendPos val="t"/>
      <c:layout>
        <c:manualLayout>
          <c:xMode val="edge"/>
          <c:yMode val="edge"/>
          <c:x val="0.27250911260948585"/>
          <c:y val="6.5911857167845769E-2"/>
          <c:w val="0.45272279924422287"/>
          <c:h val="0.10129071422055765"/>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ru-RU"/>
    </a:p>
  </c:txPr>
  <c:printSettings>
    <c:headerFooter/>
    <c:pageMargins b="0.75000000000000167" l="0.70000000000000062" r="0.70000000000000062" t="0.75000000000000167" header="0.30000000000000032" footer="0.30000000000000032"/>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ru-RU" sz="1400" b="0" i="0" baseline="0">
                <a:effectLst/>
              </a:rPr>
              <a:t>Потребление электроэнергии на общедомовые нужды</a:t>
            </a:r>
            <a:endParaRPr lang="ru-RU" sz="1400">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ru-RU"/>
        </a:p>
      </c:txPr>
    </c:title>
    <c:autoTitleDeleted val="0"/>
    <c:plotArea>
      <c:layout/>
      <c:pieChart>
        <c:varyColors val="1"/>
        <c:ser>
          <c:idx val="0"/>
          <c:order val="0"/>
          <c:dPt>
            <c:idx val="0"/>
            <c:bubble3D val="0"/>
            <c:spPr>
              <a:solidFill>
                <a:srgbClr val="FFFF00"/>
              </a:solidFill>
              <a:ln w="19050">
                <a:solidFill>
                  <a:schemeClr val="lt1"/>
                </a:solidFill>
              </a:ln>
              <a:effectLst/>
            </c:spPr>
            <c:extLst xmlns:c16r2="http://schemas.microsoft.com/office/drawing/2015/06/chart">
              <c:ext xmlns:c16="http://schemas.microsoft.com/office/drawing/2014/chart" uri="{C3380CC4-5D6E-409C-BE32-E72D297353CC}">
                <c16:uniqueId val="{00000000-5294-4582-819B-964534BA79F0}"/>
              </c:ext>
            </c:extLst>
          </c:dPt>
          <c:dPt>
            <c:idx val="1"/>
            <c:bubble3D val="0"/>
            <c:spPr>
              <a:solidFill>
                <a:schemeClr val="accent2"/>
              </a:solidFill>
              <a:ln w="19050">
                <a:solidFill>
                  <a:schemeClr val="lt1"/>
                </a:solidFill>
              </a:ln>
              <a:effectLst/>
            </c:spPr>
            <c:extLst xmlns:c16r2="http://schemas.microsoft.com/office/drawing/2015/06/chart">
              <c:ext xmlns:c16="http://schemas.microsoft.com/office/drawing/2014/chart" uri="{C3380CC4-5D6E-409C-BE32-E72D297353CC}">
                <c16:uniqueId val="{00000001-5294-4582-819B-964534BA79F0}"/>
              </c:ext>
            </c:extLst>
          </c:dPt>
          <c:dPt>
            <c:idx val="2"/>
            <c:bubble3D val="0"/>
            <c:spPr>
              <a:solidFill>
                <a:srgbClr val="FFC000"/>
              </a:solidFill>
              <a:ln w="19050">
                <a:solidFill>
                  <a:schemeClr val="lt1"/>
                </a:solidFill>
              </a:ln>
              <a:effectLst/>
            </c:spPr>
            <c:extLst xmlns:c16r2="http://schemas.microsoft.com/office/drawing/2015/06/chart">
              <c:ext xmlns:c16="http://schemas.microsoft.com/office/drawing/2014/chart" uri="{C3380CC4-5D6E-409C-BE32-E72D297353CC}">
                <c16:uniqueId val="{00000002-5294-4582-819B-964534BA79F0}"/>
              </c:ext>
            </c:extLst>
          </c:dPt>
          <c:dPt>
            <c:idx val="3"/>
            <c:bubble3D val="0"/>
            <c:spPr>
              <a:solidFill>
                <a:schemeClr val="accent4"/>
              </a:solidFill>
              <a:ln w="19050">
                <a:solidFill>
                  <a:schemeClr val="lt1"/>
                </a:solidFill>
              </a:ln>
              <a:effectLst/>
            </c:spPr>
            <c:extLst xmlns:c16r2="http://schemas.microsoft.com/office/drawing/2015/06/chart">
              <c:ext xmlns:c16="http://schemas.microsoft.com/office/drawing/2014/chart" uri="{C3380CC4-5D6E-409C-BE32-E72D297353CC}">
                <c16:uniqueId val="{00000003-5294-4582-819B-964534BA79F0}"/>
              </c:ext>
            </c:extLst>
          </c:dPt>
          <c:dPt>
            <c:idx val="4"/>
            <c:bubble3D val="0"/>
            <c:spPr>
              <a:solidFill>
                <a:schemeClr val="accent5"/>
              </a:solidFill>
              <a:ln w="19050">
                <a:solidFill>
                  <a:schemeClr val="lt1"/>
                </a:solidFill>
              </a:ln>
              <a:effectLst/>
            </c:spPr>
            <c:extLst xmlns:c16r2="http://schemas.microsoft.com/office/drawing/2015/06/chart">
              <c:ext xmlns:c16="http://schemas.microsoft.com/office/drawing/2014/chart" uri="{C3380CC4-5D6E-409C-BE32-E72D297353CC}">
                <c16:uniqueId val="{00000004-5294-4582-819B-964534BA79F0}"/>
              </c:ext>
            </c:extLst>
          </c:dPt>
          <c:dPt>
            <c:idx val="5"/>
            <c:bubble3D val="0"/>
            <c:spPr>
              <a:solidFill>
                <a:schemeClr val="accent6"/>
              </a:solidFill>
              <a:ln w="19050">
                <a:solidFill>
                  <a:schemeClr val="lt1"/>
                </a:solidFill>
              </a:ln>
              <a:effectLst/>
            </c:spPr>
            <c:extLst xmlns:c16r2="http://schemas.microsoft.com/office/drawing/2015/06/chart">
              <c:ext xmlns:c16="http://schemas.microsoft.com/office/drawing/2014/chart" uri="{C3380CC4-5D6E-409C-BE32-E72D297353CC}">
                <c16:uniqueId val="{00000005-5294-4582-819B-964534BA79F0}"/>
              </c:ext>
            </c:extLst>
          </c:dPt>
          <c:dPt>
            <c:idx val="6"/>
            <c:bubble3D val="0"/>
            <c:spPr>
              <a:solidFill>
                <a:schemeClr val="accent1">
                  <a:lumMod val="60000"/>
                </a:schemeClr>
              </a:solidFill>
              <a:ln w="19050">
                <a:solidFill>
                  <a:schemeClr val="lt1"/>
                </a:solidFill>
              </a:ln>
              <a:effectLst/>
            </c:spPr>
            <c:extLst xmlns:c16r2="http://schemas.microsoft.com/office/drawing/2015/06/chart">
              <c:ext xmlns:c16="http://schemas.microsoft.com/office/drawing/2014/chart" uri="{C3380CC4-5D6E-409C-BE32-E72D297353CC}">
                <c16:uniqueId val="{00000006-5294-4582-819B-964534BA79F0}"/>
              </c:ext>
            </c:extLst>
          </c:dPt>
          <c:dPt>
            <c:idx val="7"/>
            <c:bubble3D val="0"/>
            <c:spPr>
              <a:solidFill>
                <a:schemeClr val="accent2">
                  <a:lumMod val="60000"/>
                </a:schemeClr>
              </a:solidFill>
              <a:ln w="19050">
                <a:solidFill>
                  <a:schemeClr val="lt1"/>
                </a:solidFill>
              </a:ln>
              <a:effectLst/>
            </c:spPr>
            <c:extLst xmlns:c16r2="http://schemas.microsoft.com/office/drawing/2015/06/chart">
              <c:ext xmlns:c16="http://schemas.microsoft.com/office/drawing/2014/chart" uri="{C3380CC4-5D6E-409C-BE32-E72D297353CC}">
                <c16:uniqueId val="{0000000F-A3E4-4AF1-A49A-2690B83392D6}"/>
              </c:ext>
            </c:extLst>
          </c:dPt>
          <c:dPt>
            <c:idx val="8"/>
            <c:bubble3D val="0"/>
            <c:spPr>
              <a:solidFill>
                <a:schemeClr val="accent3">
                  <a:lumMod val="60000"/>
                </a:schemeClr>
              </a:solidFill>
              <a:ln w="19050">
                <a:solidFill>
                  <a:schemeClr val="lt1"/>
                </a:solidFill>
              </a:ln>
              <a:effectLst/>
            </c:spPr>
            <c:extLst xmlns:c16r2="http://schemas.microsoft.com/office/drawing/2015/06/chart">
              <c:ext xmlns:c16="http://schemas.microsoft.com/office/drawing/2014/chart" uri="{C3380CC4-5D6E-409C-BE32-E72D297353CC}">
                <c16:uniqueId val="{00000011-A3E4-4AF1-A49A-2690B83392D6}"/>
              </c:ext>
            </c:extLst>
          </c:dPt>
          <c:dPt>
            <c:idx val="9"/>
            <c:bubble3D val="0"/>
            <c:spPr>
              <a:solidFill>
                <a:schemeClr val="accent4">
                  <a:lumMod val="60000"/>
                </a:schemeClr>
              </a:solidFill>
              <a:ln w="19050">
                <a:solidFill>
                  <a:schemeClr val="lt1"/>
                </a:solidFill>
              </a:ln>
              <a:effectLst/>
            </c:spPr>
            <c:extLst xmlns:c16r2="http://schemas.microsoft.com/office/drawing/2015/06/chart">
              <c:ext xmlns:c16="http://schemas.microsoft.com/office/drawing/2014/chart" uri="{C3380CC4-5D6E-409C-BE32-E72D297353CC}">
                <c16:uniqueId val="{00000006-5294-4582-819B-964534BA79F0}"/>
              </c:ext>
            </c:extLst>
          </c:dPt>
          <c:dLbls>
            <c:dLbl>
              <c:idx val="0"/>
              <c:layout>
                <c:manualLayout>
                  <c:x val="0.22590118108015311"/>
                  <c:y val="8.6835359668773246E-2"/>
                </c:manualLayout>
              </c:layout>
              <c:showLegendKey val="0"/>
              <c:showVal val="0"/>
              <c:showCatName val="1"/>
              <c:showSerName val="0"/>
              <c:showPercent val="1"/>
              <c:showBubbleSize val="0"/>
              <c:extLst xmlns:c16r2="http://schemas.microsoft.com/office/drawing/2015/06/chart">
                <c:ext xmlns:c16="http://schemas.microsoft.com/office/drawing/2014/chart" uri="{C3380CC4-5D6E-409C-BE32-E72D297353CC}">
                  <c16:uniqueId val="{00000000-5294-4582-819B-964534BA79F0}"/>
                </c:ext>
                <c:ext xmlns:c15="http://schemas.microsoft.com/office/drawing/2012/chart" uri="{CE6537A1-D6FC-4f65-9D91-7224C49458BB}"/>
              </c:extLst>
            </c:dLbl>
            <c:dLbl>
              <c:idx val="1"/>
              <c:delete val="1"/>
              <c:extLst xmlns:c16r2="http://schemas.microsoft.com/office/drawing/2015/06/chart">
                <c:ext xmlns:c16="http://schemas.microsoft.com/office/drawing/2014/chart" uri="{C3380CC4-5D6E-409C-BE32-E72D297353CC}">
                  <c16:uniqueId val="{00000001-5294-4582-819B-964534BA79F0}"/>
                </c:ext>
                <c:ext xmlns:c15="http://schemas.microsoft.com/office/drawing/2012/chart" uri="{CE6537A1-D6FC-4f65-9D91-7224C49458BB}"/>
              </c:extLst>
            </c:dLbl>
            <c:dLbl>
              <c:idx val="2"/>
              <c:layout>
                <c:manualLayout>
                  <c:x val="0.10633923884514436"/>
                  <c:y val="-0.12348498104403616"/>
                </c:manualLayout>
              </c:layout>
              <c:showLegendKey val="0"/>
              <c:showVal val="0"/>
              <c:showCatName val="1"/>
              <c:showSerName val="0"/>
              <c:showPercent val="1"/>
              <c:showBubbleSize val="0"/>
              <c:extLst xmlns:c16r2="http://schemas.microsoft.com/office/drawing/2015/06/chart">
                <c:ext xmlns:c16="http://schemas.microsoft.com/office/drawing/2014/chart" uri="{C3380CC4-5D6E-409C-BE32-E72D297353CC}">
                  <c16:uniqueId val="{00000002-5294-4582-819B-964534BA79F0}"/>
                </c:ext>
                <c:ext xmlns:c15="http://schemas.microsoft.com/office/drawing/2012/chart" uri="{CE6537A1-D6FC-4f65-9D91-7224C49458BB}"/>
              </c:extLst>
            </c:dLbl>
            <c:dLbl>
              <c:idx val="3"/>
              <c:delete val="1"/>
              <c:extLst xmlns:c16r2="http://schemas.microsoft.com/office/drawing/2015/06/chart">
                <c:ext xmlns:c16="http://schemas.microsoft.com/office/drawing/2014/chart" uri="{C3380CC4-5D6E-409C-BE32-E72D297353CC}">
                  <c16:uniqueId val="{00000003-5294-4582-819B-964534BA79F0}"/>
                </c:ext>
                <c:ext xmlns:c15="http://schemas.microsoft.com/office/drawing/2012/chart" uri="{CE6537A1-D6FC-4f65-9D91-7224C49458BB}"/>
              </c:extLst>
            </c:dLbl>
            <c:dLbl>
              <c:idx val="4"/>
              <c:layout>
                <c:manualLayout>
                  <c:x val="-9.2502187226596672E-2"/>
                  <c:y val="6.9431660312168367E-2"/>
                </c:manualLayout>
              </c:layout>
              <c:showLegendKey val="0"/>
              <c:showVal val="0"/>
              <c:showCatName val="1"/>
              <c:showSerName val="0"/>
              <c:showPercent val="1"/>
              <c:showBubbleSize val="0"/>
              <c:extLst xmlns:c16r2="http://schemas.microsoft.com/office/drawing/2015/06/chart">
                <c:ext xmlns:c16="http://schemas.microsoft.com/office/drawing/2014/chart" uri="{C3380CC4-5D6E-409C-BE32-E72D297353CC}">
                  <c16:uniqueId val="{00000004-5294-4582-819B-964534BA79F0}"/>
                </c:ext>
                <c:ext xmlns:c15="http://schemas.microsoft.com/office/drawing/2012/chart" uri="{CE6537A1-D6FC-4f65-9D91-7224C49458BB}"/>
              </c:extLst>
            </c:dLbl>
            <c:dLbl>
              <c:idx val="5"/>
              <c:delete val="1"/>
              <c:extLst xmlns:c16r2="http://schemas.microsoft.com/office/drawing/2015/06/chart">
                <c:ext xmlns:c16="http://schemas.microsoft.com/office/drawing/2014/chart" uri="{C3380CC4-5D6E-409C-BE32-E72D297353CC}">
                  <c16:uniqueId val="{00000005-5294-4582-819B-964534BA79F0}"/>
                </c:ext>
                <c:ext xmlns:c15="http://schemas.microsoft.com/office/drawing/2012/chart" uri="{CE6537A1-D6FC-4f65-9D91-7224C49458BB}"/>
              </c:extLst>
            </c:dLbl>
            <c:dLbl>
              <c:idx val="9"/>
              <c:layout>
                <c:manualLayout>
                  <c:x val="-0.38159820647419085"/>
                  <c:y val="2.8935174637221259E-2"/>
                </c:manualLayout>
              </c:layout>
              <c:showLegendKey val="0"/>
              <c:showVal val="0"/>
              <c:showCatName val="1"/>
              <c:showSerName val="0"/>
              <c:showPercent val="1"/>
              <c:showBubbleSize val="0"/>
              <c:extLst xmlns:c16r2="http://schemas.microsoft.com/office/drawing/2015/06/chart">
                <c:ext xmlns:c16="http://schemas.microsoft.com/office/drawing/2014/chart" uri="{C3380CC4-5D6E-409C-BE32-E72D297353CC}">
                  <c16:uniqueId val="{00000006-5294-4582-819B-964534BA79F0}"/>
                </c:ext>
                <c:ext xmlns:c15="http://schemas.microsoft.com/office/drawing/2012/chart" uri="{CE6537A1-D6FC-4f65-9D91-7224C49458BB}"/>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u-RU"/>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xmlns:c16r2="http://schemas.microsoft.com/office/drawing/2015/06/chart">
              <c:ext xmlns:c15="http://schemas.microsoft.com/office/drawing/2012/chart" uri="{CE6537A1-D6FC-4f65-9D91-7224C49458BB}"/>
            </c:extLst>
          </c:dLbls>
          <c:cat>
            <c:strRef>
              <c:f>'Расчет после реализации'!$A$102:$A$111</c:f>
              <c:strCache>
                <c:ptCount val="10"/>
                <c:pt idx="0">
                  <c:v>освещение мест общего пользования</c:v>
                </c:pt>
                <c:pt idx="1">
                  <c:v>то же</c:v>
                </c:pt>
                <c:pt idx="2">
                  <c:v>лифтовое оборудование</c:v>
                </c:pt>
                <c:pt idx="3">
                  <c:v>то же</c:v>
                </c:pt>
                <c:pt idx="4">
                  <c:v>насосное оборудование </c:v>
                </c:pt>
                <c:pt idx="5">
                  <c:v>то же</c:v>
                </c:pt>
                <c:pt idx="6">
                  <c:v>Отопление</c:v>
                </c:pt>
                <c:pt idx="7">
                  <c:v>ГВС</c:v>
                </c:pt>
                <c:pt idx="8">
                  <c:v>ХВС</c:v>
                </c:pt>
                <c:pt idx="9">
                  <c:v>прочее энергетическое оборудование </c:v>
                </c:pt>
              </c:strCache>
            </c:strRef>
          </c:cat>
          <c:val>
            <c:numRef>
              <c:f>'Расчет после реализации'!$D$102:$D$111</c:f>
              <c:numCache>
                <c:formatCode>0%</c:formatCode>
                <c:ptCount val="10"/>
                <c:pt idx="0" formatCode="0">
                  <c:v>0</c:v>
                </c:pt>
                <c:pt idx="1">
                  <c:v>0</c:v>
                </c:pt>
                <c:pt idx="2" formatCode="0">
                  <c:v>0</c:v>
                </c:pt>
                <c:pt idx="3">
                  <c:v>0</c:v>
                </c:pt>
                <c:pt idx="4" formatCode="0">
                  <c:v>#N/A</c:v>
                </c:pt>
                <c:pt idx="5">
                  <c:v>0</c:v>
                </c:pt>
                <c:pt idx="6" formatCode="0.0">
                  <c:v>#N/A</c:v>
                </c:pt>
                <c:pt idx="7" formatCode="0.0">
                  <c:v>0</c:v>
                </c:pt>
                <c:pt idx="8" formatCode="0.0">
                  <c:v>0</c:v>
                </c:pt>
                <c:pt idx="9" formatCode="0">
                  <c:v>0</c:v>
                </c:pt>
              </c:numCache>
            </c:numRef>
          </c:val>
          <c:extLst xmlns:c16r2="http://schemas.microsoft.com/office/drawing/2015/06/chart">
            <c:ext xmlns:c16="http://schemas.microsoft.com/office/drawing/2014/chart" uri="{C3380CC4-5D6E-409C-BE32-E72D297353CC}">
              <c16:uniqueId val="{00000007-5294-4582-819B-964534BA79F0}"/>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ru-RU"/>
    </a:p>
  </c:txPr>
  <c:printSettings>
    <c:headerFooter/>
    <c:pageMargins b="0.75000000000000167" l="0.70000000000000062" r="0.70000000000000062" t="0.75000000000000167"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ru-RU"/>
              <a:t>Потребление тепловой энергии на отопление и вентиляцию</a:t>
            </a:r>
          </a:p>
        </c:rich>
      </c:tx>
      <c:layout>
        <c:manualLayout>
          <c:xMode val="edge"/>
          <c:yMode val="edge"/>
          <c:x val="0.37993150300987877"/>
          <c:y val="2.8518515191774257E-2"/>
        </c:manualLayout>
      </c:layout>
      <c:overlay val="0"/>
      <c:spPr>
        <a:noFill/>
        <a:ln>
          <a:noFill/>
        </a:ln>
        <a:effectLst/>
      </c:spPr>
    </c:title>
    <c:autoTitleDeleted val="0"/>
    <c:plotArea>
      <c:layout>
        <c:manualLayout>
          <c:layoutTarget val="inner"/>
          <c:xMode val="edge"/>
          <c:yMode val="edge"/>
          <c:x val="5.7745273754437512E-2"/>
          <c:y val="3.1300754587255245E-2"/>
          <c:w val="0.93912951849289084"/>
          <c:h val="0.41512100616582331"/>
        </c:manualLayout>
      </c:layout>
      <c:barChart>
        <c:barDir val="col"/>
        <c:grouping val="stacked"/>
        <c:varyColors val="0"/>
        <c:ser>
          <c:idx val="0"/>
          <c:order val="0"/>
          <c:tx>
            <c:strRef>
              <c:f>'Расчет базового уровня'!$G$38</c:f>
              <c:strCache>
                <c:ptCount val="1"/>
                <c:pt idx="0">
                  <c:v>Трансмиссионные тепловые потери через наружные ограждающие конструкции</c:v>
                </c:pt>
              </c:strCache>
            </c:strRef>
          </c:tx>
          <c:spPr>
            <a:solidFill>
              <a:schemeClr val="accent1"/>
            </a:solidFill>
            <a:ln>
              <a:noFill/>
            </a:ln>
            <a:effectLst/>
          </c:spPr>
          <c:invertIfNegative val="0"/>
          <c:cat>
            <c:multiLvlStrRef>
              <c:f>'Расчет базового уровня'!$I$33:$AR$34</c:f>
              <c:multiLvlStrCache>
                <c:ptCount val="36"/>
                <c:lvl>
                  <c:pt idx="0">
                    <c:v>Расчетно-нормативное потребление</c:v>
                  </c:pt>
                  <c:pt idx="1">
                    <c:v>Фактическое потребление</c:v>
                  </c:pt>
                  <c:pt idx="2">
                    <c:v>Фактическое потребление (приведенное к нормативным климатическим условиям)</c:v>
                  </c:pt>
                  <c:pt idx="3">
                    <c:v>Расчетно-нормативное потребление</c:v>
                  </c:pt>
                  <c:pt idx="4">
                    <c:v>Фактическое потребление</c:v>
                  </c:pt>
                  <c:pt idx="5">
                    <c:v>Фактическое потребление (приведенное к нормативным климатическим условиям)</c:v>
                  </c:pt>
                  <c:pt idx="6">
                    <c:v>Расчетно-нормативное потребление</c:v>
                  </c:pt>
                  <c:pt idx="7">
                    <c:v>Фактическое потребление</c:v>
                  </c:pt>
                  <c:pt idx="8">
                    <c:v>Фактическое потребление (приведенное к нормативным климатическим условиям)</c:v>
                  </c:pt>
                  <c:pt idx="9">
                    <c:v>Расчетно-нормативное потребление</c:v>
                  </c:pt>
                  <c:pt idx="10">
                    <c:v>Фактическое потребление</c:v>
                  </c:pt>
                  <c:pt idx="11">
                    <c:v>Фактическое потребление (приведенное к нормативным климатическим условиям)</c:v>
                  </c:pt>
                  <c:pt idx="12">
                    <c:v>Расчетно-нормативное потребление</c:v>
                  </c:pt>
                  <c:pt idx="13">
                    <c:v>Фактическое потребление</c:v>
                  </c:pt>
                  <c:pt idx="14">
                    <c:v>Фактическое потребление (приведенное к нормативным климатическим условиям)</c:v>
                  </c:pt>
                  <c:pt idx="15">
                    <c:v>Расчетно-нормативное потребление</c:v>
                  </c:pt>
                  <c:pt idx="16">
                    <c:v>Фактическое потребление</c:v>
                  </c:pt>
                  <c:pt idx="17">
                    <c:v>Фактическое потребление (приведенное к нормативным климатическим условиям)</c:v>
                  </c:pt>
                  <c:pt idx="18">
                    <c:v>Расчетно-нормативное потребление</c:v>
                  </c:pt>
                  <c:pt idx="19">
                    <c:v>Фактическое потребление</c:v>
                  </c:pt>
                  <c:pt idx="20">
                    <c:v>Фактическое потребление (приведенное к нормативным климатическим условиям)</c:v>
                  </c:pt>
                  <c:pt idx="21">
                    <c:v>Расчетно-нормативное потребление</c:v>
                  </c:pt>
                  <c:pt idx="22">
                    <c:v>Фактическое потребление</c:v>
                  </c:pt>
                  <c:pt idx="23">
                    <c:v>Фактическое потребление (приведенное к нормативным климатическим условиям)</c:v>
                  </c:pt>
                  <c:pt idx="24">
                    <c:v>Расчетно-нормативное потребление</c:v>
                  </c:pt>
                  <c:pt idx="25">
                    <c:v>Фактическое потребление</c:v>
                  </c:pt>
                  <c:pt idx="26">
                    <c:v>Фактическое потребление (приведенное к нормативным климатическим условиям)</c:v>
                  </c:pt>
                  <c:pt idx="27">
                    <c:v>Расчетно-нормативное потребление</c:v>
                  </c:pt>
                  <c:pt idx="28">
                    <c:v>Фактическое потребление</c:v>
                  </c:pt>
                  <c:pt idx="29">
                    <c:v>Фактическое потребление (приведенное к нормативным климатическим условиям)</c:v>
                  </c:pt>
                  <c:pt idx="30">
                    <c:v>Расчетно-нормативное потребление</c:v>
                  </c:pt>
                  <c:pt idx="31">
                    <c:v>Фактическое потребление</c:v>
                  </c:pt>
                  <c:pt idx="32">
                    <c:v>Фактическое потребление (приведенное к нормативным климатическим условиям)</c:v>
                  </c:pt>
                  <c:pt idx="33">
                    <c:v>Расчетно-нормативное потребление</c:v>
                  </c:pt>
                  <c:pt idx="34">
                    <c:v>Фактическое потребление</c:v>
                  </c:pt>
                  <c:pt idx="35">
                    <c:v>Фактическое потребление (приведенное к нормативным климатическим условиям)</c:v>
                  </c:pt>
                </c:lvl>
                <c:lvl>
                  <c:pt idx="0">
                    <c:v>Январь</c:v>
                  </c:pt>
                  <c:pt idx="3">
                    <c:v>Февраль</c:v>
                  </c:pt>
                  <c:pt idx="6">
                    <c:v>Март</c:v>
                  </c:pt>
                  <c:pt idx="9">
                    <c:v>Апрель</c:v>
                  </c:pt>
                  <c:pt idx="12">
                    <c:v>Май</c:v>
                  </c:pt>
                  <c:pt idx="15">
                    <c:v>Июнь</c:v>
                  </c:pt>
                  <c:pt idx="18">
                    <c:v>Июль</c:v>
                  </c:pt>
                  <c:pt idx="21">
                    <c:v>Август</c:v>
                  </c:pt>
                  <c:pt idx="24">
                    <c:v>Сентябрь</c:v>
                  </c:pt>
                  <c:pt idx="27">
                    <c:v>Октябрь</c:v>
                  </c:pt>
                  <c:pt idx="30">
                    <c:v>Ноябрь</c:v>
                  </c:pt>
                  <c:pt idx="33">
                    <c:v>Декабрь</c:v>
                  </c:pt>
                </c:lvl>
              </c:multiLvlStrCache>
            </c:multiLvlStrRef>
          </c:cat>
          <c:val>
            <c:numRef>
              <c:f>'Расчет базового уровня'!$I$38:$AR$38</c:f>
              <c:numCache>
                <c:formatCode>0.0</c:formatCode>
                <c:ptCount val="36"/>
                <c:pt idx="0" formatCode="0">
                  <c:v>#N/A</c:v>
                </c:pt>
                <c:pt idx="1">
                  <c:v>#N/A</c:v>
                </c:pt>
                <c:pt idx="2">
                  <c:v>0</c:v>
                </c:pt>
                <c:pt idx="3" formatCode="0">
                  <c:v>#N/A</c:v>
                </c:pt>
                <c:pt idx="4">
                  <c:v>#N/A</c:v>
                </c:pt>
                <c:pt idx="5">
                  <c:v>0</c:v>
                </c:pt>
                <c:pt idx="6" formatCode="0">
                  <c:v>#N/A</c:v>
                </c:pt>
                <c:pt idx="7">
                  <c:v>#N/A</c:v>
                </c:pt>
                <c:pt idx="8">
                  <c:v>0</c:v>
                </c:pt>
                <c:pt idx="9" formatCode="0">
                  <c:v>#N/A</c:v>
                </c:pt>
                <c:pt idx="10">
                  <c:v>#N/A</c:v>
                </c:pt>
                <c:pt idx="11">
                  <c:v>0</c:v>
                </c:pt>
                <c:pt idx="12" formatCode="0">
                  <c:v>#N/A</c:v>
                </c:pt>
                <c:pt idx="13">
                  <c:v>0</c:v>
                </c:pt>
                <c:pt idx="14">
                  <c:v>0</c:v>
                </c:pt>
                <c:pt idx="15" formatCode="0">
                  <c:v>#N/A</c:v>
                </c:pt>
                <c:pt idx="16">
                  <c:v>0</c:v>
                </c:pt>
                <c:pt idx="17">
                  <c:v>0</c:v>
                </c:pt>
                <c:pt idx="18" formatCode="0">
                  <c:v>#N/A</c:v>
                </c:pt>
                <c:pt idx="19">
                  <c:v>0</c:v>
                </c:pt>
                <c:pt idx="20">
                  <c:v>0</c:v>
                </c:pt>
                <c:pt idx="21" formatCode="0">
                  <c:v>#N/A</c:v>
                </c:pt>
                <c:pt idx="22">
                  <c:v>0</c:v>
                </c:pt>
                <c:pt idx="23">
                  <c:v>0</c:v>
                </c:pt>
                <c:pt idx="24" formatCode="0">
                  <c:v>#N/A</c:v>
                </c:pt>
                <c:pt idx="25">
                  <c:v>0</c:v>
                </c:pt>
                <c:pt idx="26">
                  <c:v>0</c:v>
                </c:pt>
                <c:pt idx="27" formatCode="0">
                  <c:v>#N/A</c:v>
                </c:pt>
                <c:pt idx="28">
                  <c:v>0</c:v>
                </c:pt>
                <c:pt idx="29">
                  <c:v>0</c:v>
                </c:pt>
                <c:pt idx="30" formatCode="0">
                  <c:v>#N/A</c:v>
                </c:pt>
                <c:pt idx="31">
                  <c:v>0</c:v>
                </c:pt>
                <c:pt idx="32">
                  <c:v>0</c:v>
                </c:pt>
                <c:pt idx="33" formatCode="0">
                  <c:v>#N/A</c:v>
                </c:pt>
                <c:pt idx="34">
                  <c:v>0</c:v>
                </c:pt>
                <c:pt idx="35">
                  <c:v>0</c:v>
                </c:pt>
              </c:numCache>
            </c:numRef>
          </c:val>
          <c:extLst xmlns:c16r2="http://schemas.microsoft.com/office/drawing/2015/06/chart">
            <c:ext xmlns:c16="http://schemas.microsoft.com/office/drawing/2014/chart" uri="{C3380CC4-5D6E-409C-BE32-E72D297353CC}">
              <c16:uniqueId val="{00000000-E09F-4AC3-A69C-FFB8BBD22576}"/>
            </c:ext>
          </c:extLst>
        </c:ser>
        <c:ser>
          <c:idx val="1"/>
          <c:order val="1"/>
          <c:tx>
            <c:strRef>
              <c:f>'Расчет базового уровня'!$G$62</c:f>
              <c:strCache>
                <c:ptCount val="1"/>
                <c:pt idx="0">
                  <c:v>Инфильтрационные тепловые потери на нагрев наружного воздуха</c:v>
                </c:pt>
              </c:strCache>
            </c:strRef>
          </c:tx>
          <c:spPr>
            <a:solidFill>
              <a:schemeClr val="accent2"/>
            </a:solidFill>
            <a:ln>
              <a:noFill/>
            </a:ln>
            <a:effectLst/>
          </c:spPr>
          <c:invertIfNegative val="0"/>
          <c:val>
            <c:numRef>
              <c:f>'Расчет базового уровня'!$I$62:$AR$62</c:f>
              <c:numCache>
                <c:formatCode>0.0</c:formatCode>
                <c:ptCount val="36"/>
                <c:pt idx="0" formatCode="0">
                  <c:v>#N/A</c:v>
                </c:pt>
                <c:pt idx="1">
                  <c:v>#N/A</c:v>
                </c:pt>
                <c:pt idx="2">
                  <c:v>0</c:v>
                </c:pt>
                <c:pt idx="3" formatCode="0">
                  <c:v>#N/A</c:v>
                </c:pt>
                <c:pt idx="4">
                  <c:v>#N/A</c:v>
                </c:pt>
                <c:pt idx="5">
                  <c:v>0</c:v>
                </c:pt>
                <c:pt idx="6" formatCode="0">
                  <c:v>#N/A</c:v>
                </c:pt>
                <c:pt idx="7">
                  <c:v>#N/A</c:v>
                </c:pt>
                <c:pt idx="8">
                  <c:v>0</c:v>
                </c:pt>
                <c:pt idx="9" formatCode="0">
                  <c:v>#N/A</c:v>
                </c:pt>
                <c:pt idx="10">
                  <c:v>#N/A</c:v>
                </c:pt>
                <c:pt idx="11">
                  <c:v>0</c:v>
                </c:pt>
                <c:pt idx="12" formatCode="0">
                  <c:v>#N/A</c:v>
                </c:pt>
                <c:pt idx="13">
                  <c:v>0</c:v>
                </c:pt>
                <c:pt idx="14">
                  <c:v>0</c:v>
                </c:pt>
                <c:pt idx="15" formatCode="0">
                  <c:v>#N/A</c:v>
                </c:pt>
                <c:pt idx="16">
                  <c:v>0</c:v>
                </c:pt>
                <c:pt idx="17">
                  <c:v>0</c:v>
                </c:pt>
                <c:pt idx="18" formatCode="0">
                  <c:v>#N/A</c:v>
                </c:pt>
                <c:pt idx="19">
                  <c:v>0</c:v>
                </c:pt>
                <c:pt idx="20">
                  <c:v>0</c:v>
                </c:pt>
                <c:pt idx="21" formatCode="0">
                  <c:v>#N/A</c:v>
                </c:pt>
                <c:pt idx="22">
                  <c:v>0</c:v>
                </c:pt>
                <c:pt idx="23">
                  <c:v>0</c:v>
                </c:pt>
                <c:pt idx="24" formatCode="0">
                  <c:v>#N/A</c:v>
                </c:pt>
                <c:pt idx="25">
                  <c:v>0</c:v>
                </c:pt>
                <c:pt idx="26">
                  <c:v>0</c:v>
                </c:pt>
                <c:pt idx="27" formatCode="0">
                  <c:v>#N/A</c:v>
                </c:pt>
                <c:pt idx="28">
                  <c:v>0</c:v>
                </c:pt>
                <c:pt idx="29">
                  <c:v>0</c:v>
                </c:pt>
                <c:pt idx="30" formatCode="0">
                  <c:v>#N/A</c:v>
                </c:pt>
                <c:pt idx="31">
                  <c:v>0</c:v>
                </c:pt>
                <c:pt idx="32">
                  <c:v>0</c:v>
                </c:pt>
                <c:pt idx="33" formatCode="0">
                  <c:v>#N/A</c:v>
                </c:pt>
                <c:pt idx="34">
                  <c:v>0</c:v>
                </c:pt>
                <c:pt idx="35">
                  <c:v>0</c:v>
                </c:pt>
              </c:numCache>
            </c:numRef>
          </c:val>
          <c:extLst xmlns:c16r2="http://schemas.microsoft.com/office/drawing/2015/06/chart">
            <c:ext xmlns:c16="http://schemas.microsoft.com/office/drawing/2014/chart" uri="{C3380CC4-5D6E-409C-BE32-E72D297353CC}">
              <c16:uniqueId val="{00000001-E09F-4AC3-A69C-FFB8BBD22576}"/>
            </c:ext>
          </c:extLst>
        </c:ser>
        <c:ser>
          <c:idx val="3"/>
          <c:order val="2"/>
          <c:tx>
            <c:strRef>
              <c:f>'Расчет базового уровня'!$G$65</c:f>
              <c:strCache>
                <c:ptCount val="1"/>
                <c:pt idx="0">
                  <c:v>Дополнительные тепловые потери трубопроводами системы отопления, проходящими через неотапливаемые помещения (подвалы; чердаки)</c:v>
                </c:pt>
              </c:strCache>
            </c:strRef>
          </c:tx>
          <c:spPr>
            <a:solidFill>
              <a:schemeClr val="accent3"/>
            </a:solidFill>
            <a:ln>
              <a:noFill/>
            </a:ln>
            <a:effectLst/>
          </c:spPr>
          <c:invertIfNegative val="0"/>
          <c:val>
            <c:numRef>
              <c:f>'Расчет базового уровня'!$I$65:$AR$65</c:f>
              <c:numCache>
                <c:formatCode>0.0</c:formatCode>
                <c:ptCount val="36"/>
                <c:pt idx="0">
                  <c:v>#N/A</c:v>
                </c:pt>
                <c:pt idx="1">
                  <c:v>#N/A</c:v>
                </c:pt>
                <c:pt idx="2">
                  <c:v>0</c:v>
                </c:pt>
                <c:pt idx="3">
                  <c:v>#N/A</c:v>
                </c:pt>
                <c:pt idx="4">
                  <c:v>#N/A</c:v>
                </c:pt>
                <c:pt idx="5">
                  <c:v>0</c:v>
                </c:pt>
                <c:pt idx="6">
                  <c:v>#N/A</c:v>
                </c:pt>
                <c:pt idx="7">
                  <c:v>#N/A</c:v>
                </c:pt>
                <c:pt idx="8">
                  <c:v>0</c:v>
                </c:pt>
                <c:pt idx="9">
                  <c:v>#N/A</c:v>
                </c:pt>
                <c:pt idx="10">
                  <c:v>#N/A</c:v>
                </c:pt>
                <c:pt idx="11">
                  <c:v>0</c:v>
                </c:pt>
                <c:pt idx="12" formatCode="General">
                  <c:v>#N/A</c:v>
                </c:pt>
                <c:pt idx="13">
                  <c:v>0</c:v>
                </c:pt>
                <c:pt idx="14">
                  <c:v>0</c:v>
                </c:pt>
                <c:pt idx="15" formatCode="General">
                  <c:v>#N/A</c:v>
                </c:pt>
                <c:pt idx="16">
                  <c:v>0</c:v>
                </c:pt>
                <c:pt idx="17">
                  <c:v>0</c:v>
                </c:pt>
                <c:pt idx="18" formatCode="General">
                  <c:v>#N/A</c:v>
                </c:pt>
                <c:pt idx="19">
                  <c:v>0</c:v>
                </c:pt>
                <c:pt idx="20">
                  <c:v>0</c:v>
                </c:pt>
                <c:pt idx="21" formatCode="General">
                  <c:v>#N/A</c:v>
                </c:pt>
                <c:pt idx="22">
                  <c:v>0</c:v>
                </c:pt>
                <c:pt idx="23">
                  <c:v>0</c:v>
                </c:pt>
                <c:pt idx="24" formatCode="General">
                  <c:v>#N/A</c:v>
                </c:pt>
                <c:pt idx="25">
                  <c:v>0</c:v>
                </c:pt>
                <c:pt idx="26">
                  <c:v>0</c:v>
                </c:pt>
                <c:pt idx="27">
                  <c:v>#N/A</c:v>
                </c:pt>
                <c:pt idx="28">
                  <c:v>0</c:v>
                </c:pt>
                <c:pt idx="29">
                  <c:v>0</c:v>
                </c:pt>
                <c:pt idx="30">
                  <c:v>#N/A</c:v>
                </c:pt>
                <c:pt idx="31">
                  <c:v>0</c:v>
                </c:pt>
                <c:pt idx="32">
                  <c:v>0</c:v>
                </c:pt>
                <c:pt idx="33" formatCode="0.00">
                  <c:v>#N/A</c:v>
                </c:pt>
                <c:pt idx="34">
                  <c:v>0</c:v>
                </c:pt>
                <c:pt idx="35">
                  <c:v>0</c:v>
                </c:pt>
              </c:numCache>
            </c:numRef>
          </c:val>
          <c:extLst xmlns:c16r2="http://schemas.microsoft.com/office/drawing/2015/06/chart">
            <c:ext xmlns:c16="http://schemas.microsoft.com/office/drawing/2014/chart" uri="{C3380CC4-5D6E-409C-BE32-E72D297353CC}">
              <c16:uniqueId val="{00000002-E09F-4AC3-A69C-FFB8BBD22576}"/>
            </c:ext>
          </c:extLst>
        </c:ser>
        <c:ser>
          <c:idx val="4"/>
          <c:order val="3"/>
          <c:tx>
            <c:strRef>
              <c:f>'Расчет базового уровня'!$G$68</c:f>
              <c:strCache>
                <c:ptCount val="1"/>
                <c:pt idx="0">
                  <c:v>Дополнительные тепловые потери, обусловленные неэффективным регулированием подачи тепловой энергии в систему отопления </c:v>
                </c:pt>
              </c:strCache>
            </c:strRef>
          </c:tx>
          <c:spPr>
            <a:solidFill>
              <a:srgbClr val="FFC000"/>
            </a:solidFill>
            <a:ln>
              <a:noFill/>
            </a:ln>
            <a:effectLst/>
          </c:spPr>
          <c:invertIfNegative val="0"/>
          <c:val>
            <c:numRef>
              <c:f>'Расчет базового уровня'!$I$68:$AR$68</c:f>
              <c:numCache>
                <c:formatCode>0.0</c:formatCode>
                <c:ptCount val="36"/>
                <c:pt idx="0" formatCode="0">
                  <c:v>0</c:v>
                </c:pt>
                <c:pt idx="1">
                  <c:v>0</c:v>
                </c:pt>
                <c:pt idx="2">
                  <c:v>0</c:v>
                </c:pt>
                <c:pt idx="3">
                  <c:v>0</c:v>
                </c:pt>
                <c:pt idx="4">
                  <c:v>0</c:v>
                </c:pt>
                <c:pt idx="5">
                  <c:v>0</c:v>
                </c:pt>
                <c:pt idx="6">
                  <c:v>0</c:v>
                </c:pt>
                <c:pt idx="7">
                  <c:v>0</c:v>
                </c:pt>
                <c:pt idx="8">
                  <c:v>0</c:v>
                </c:pt>
                <c:pt idx="9">
                  <c:v>0</c:v>
                </c:pt>
                <c:pt idx="10">
                  <c:v>0</c:v>
                </c:pt>
                <c:pt idx="11">
                  <c:v>0</c:v>
                </c:pt>
                <c:pt idx="12">
                  <c:v>#N/A</c:v>
                </c:pt>
                <c:pt idx="13">
                  <c:v>0</c:v>
                </c:pt>
                <c:pt idx="14">
                  <c:v>0</c:v>
                </c:pt>
                <c:pt idx="15" formatCode="General">
                  <c:v>#N/A</c:v>
                </c:pt>
                <c:pt idx="16">
                  <c:v>0</c:v>
                </c:pt>
                <c:pt idx="17">
                  <c:v>0</c:v>
                </c:pt>
                <c:pt idx="18" formatCode="General">
                  <c:v>#N/A</c:v>
                </c:pt>
                <c:pt idx="19">
                  <c:v>0</c:v>
                </c:pt>
                <c:pt idx="20">
                  <c:v>0</c:v>
                </c:pt>
                <c:pt idx="21" formatCode="General">
                  <c:v>#N/A</c:v>
                </c:pt>
                <c:pt idx="22">
                  <c:v>0</c:v>
                </c:pt>
                <c:pt idx="23">
                  <c:v>0</c:v>
                </c:pt>
                <c:pt idx="24" formatCode="General">
                  <c:v>#N/A</c:v>
                </c:pt>
                <c:pt idx="25">
                  <c:v>0</c:v>
                </c:pt>
                <c:pt idx="26">
                  <c:v>0</c:v>
                </c:pt>
                <c:pt idx="27" formatCode="0">
                  <c:v>0</c:v>
                </c:pt>
                <c:pt idx="28">
                  <c:v>0</c:v>
                </c:pt>
                <c:pt idx="29">
                  <c:v>0</c:v>
                </c:pt>
                <c:pt idx="30" formatCode="0">
                  <c:v>0</c:v>
                </c:pt>
                <c:pt idx="31">
                  <c:v>0</c:v>
                </c:pt>
                <c:pt idx="32">
                  <c:v>0</c:v>
                </c:pt>
                <c:pt idx="33">
                  <c:v>0</c:v>
                </c:pt>
                <c:pt idx="34">
                  <c:v>0</c:v>
                </c:pt>
                <c:pt idx="35">
                  <c:v>0</c:v>
                </c:pt>
              </c:numCache>
            </c:numRef>
          </c:val>
          <c:extLst xmlns:c16r2="http://schemas.microsoft.com/office/drawing/2015/06/chart">
            <c:ext xmlns:c16="http://schemas.microsoft.com/office/drawing/2014/chart" uri="{C3380CC4-5D6E-409C-BE32-E72D297353CC}">
              <c16:uniqueId val="{00000003-E09F-4AC3-A69C-FFB8BBD22576}"/>
            </c:ext>
          </c:extLst>
        </c:ser>
        <c:dLbls>
          <c:showLegendKey val="0"/>
          <c:showVal val="0"/>
          <c:showCatName val="0"/>
          <c:showSerName val="0"/>
          <c:showPercent val="0"/>
          <c:showBubbleSize val="0"/>
        </c:dLbls>
        <c:gapWidth val="59"/>
        <c:overlap val="100"/>
        <c:axId val="858075056"/>
        <c:axId val="858075616"/>
      </c:barChart>
      <c:catAx>
        <c:axId val="858075056"/>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Times New Roman" pitchFamily="18" charset="0"/>
                <a:ea typeface="+mn-ea"/>
                <a:cs typeface="Times New Roman" pitchFamily="18" charset="0"/>
              </a:defRPr>
            </a:pPr>
            <a:endParaRPr lang="ru-RU"/>
          </a:p>
        </c:txPr>
        <c:crossAx val="858075616"/>
        <c:crosses val="autoZero"/>
        <c:auto val="1"/>
        <c:lblAlgn val="ctr"/>
        <c:lblOffset val="100"/>
        <c:noMultiLvlLbl val="0"/>
      </c:catAx>
      <c:valAx>
        <c:axId val="85807561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ru-RU"/>
                  <a:t>кВтч</a:t>
                </a:r>
              </a:p>
            </c:rich>
          </c:tx>
          <c:layout>
            <c:manualLayout>
              <c:xMode val="edge"/>
              <c:yMode val="edge"/>
              <c:x val="2.4443772189052099E-2"/>
              <c:y val="0.20692050662927888"/>
            </c:manualLayout>
          </c:layout>
          <c:overlay val="0"/>
          <c:spPr>
            <a:noFill/>
            <a:ln>
              <a:noFill/>
            </a:ln>
            <a:effectLst/>
          </c:sp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Times New Roman" pitchFamily="18" charset="0"/>
                <a:ea typeface="+mn-ea"/>
                <a:cs typeface="Times New Roman" pitchFamily="18" charset="0"/>
              </a:defRPr>
            </a:pPr>
            <a:endParaRPr lang="ru-RU"/>
          </a:p>
        </c:txPr>
        <c:crossAx val="858075056"/>
        <c:crosses val="autoZero"/>
        <c:crossBetween val="between"/>
      </c:valAx>
      <c:spPr>
        <a:noFill/>
        <a:ln>
          <a:noFill/>
        </a:ln>
        <a:effectLst/>
      </c:spPr>
    </c:plotArea>
    <c:legend>
      <c:legendPos val="t"/>
      <c:layout>
        <c:manualLayout>
          <c:xMode val="edge"/>
          <c:yMode val="edge"/>
          <c:x val="0.32102799271816357"/>
          <c:y val="8.9312762984804547E-2"/>
          <c:w val="0.42583760194031267"/>
          <c:h val="0.20167285486464218"/>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Times New Roman" pitchFamily="18" charset="0"/>
              <a:ea typeface="+mn-ea"/>
              <a:cs typeface="Times New Roman" pitchFamily="18" charset="0"/>
            </a:defRPr>
          </a:pPr>
          <a:endParaRPr lang="ru-RU"/>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ru-RU"/>
    </a:p>
  </c:txPr>
  <c:printSettings>
    <c:headerFooter/>
    <c:pageMargins b="0.75000000000000167" l="0.70000000000000062" r="0.70000000000000062" t="0.75000000000000167" header="0.30000000000000032" footer="0.30000000000000032"/>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ru-RU"/>
        </a:p>
      </c:txPr>
    </c:title>
    <c:autoTitleDeleted val="0"/>
    <c:plotArea>
      <c:layout/>
      <c:scatterChart>
        <c:scatterStyle val="lineMarker"/>
        <c:varyColors val="0"/>
        <c:ser>
          <c:idx val="0"/>
          <c:order val="0"/>
          <c:spPr>
            <a:ln w="19050" cap="rnd">
              <a:noFill/>
              <a:round/>
            </a:ln>
            <a:effectLst/>
          </c:spPr>
          <c:marker>
            <c:symbol val="circle"/>
            <c:size val="5"/>
            <c:spPr>
              <a:solidFill>
                <a:schemeClr val="accent1"/>
              </a:solidFill>
              <a:ln w="9525">
                <a:solidFill>
                  <a:schemeClr val="accent1"/>
                </a:solidFill>
              </a:ln>
              <a:effectLst/>
            </c:spPr>
          </c:marker>
          <c:trendline>
            <c:spPr>
              <a:ln w="19050" cap="rnd">
                <a:solidFill>
                  <a:schemeClr val="accent1"/>
                </a:solidFill>
                <a:prstDash val="sysDot"/>
              </a:ln>
              <a:effectLst/>
            </c:spPr>
            <c:trendlineType val="power"/>
            <c:dispRSqr val="1"/>
            <c:dispEq val="1"/>
            <c:trendlineLbl>
              <c:layout>
                <c:manualLayout>
                  <c:x val="-0.11437445319335084"/>
                  <c:y val="-0.31251786235054041"/>
                </c:manualLayout>
              </c:layout>
              <c:numFmt formatCode="General" sourceLinked="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ru-RU"/>
                </a:p>
              </c:txPr>
            </c:trendlineLbl>
          </c:trendline>
          <c:xVal>
            <c:numRef>
              <c:f>'Система ГВС'!$A$59:$A$70</c:f>
              <c:numCache>
                <c:formatCode>General</c:formatCode>
                <c:ptCount val="12"/>
                <c:pt idx="0">
                  <c:v>150</c:v>
                </c:pt>
                <c:pt idx="1">
                  <c:v>250</c:v>
                </c:pt>
                <c:pt idx="2">
                  <c:v>350</c:v>
                </c:pt>
                <c:pt idx="3">
                  <c:v>500</c:v>
                </c:pt>
                <c:pt idx="4">
                  <c:v>700</c:v>
                </c:pt>
                <c:pt idx="5">
                  <c:v>1000</c:v>
                </c:pt>
                <c:pt idx="6">
                  <c:v>1500</c:v>
                </c:pt>
                <c:pt idx="7">
                  <c:v>2000</c:v>
                </c:pt>
                <c:pt idx="8">
                  <c:v>2500</c:v>
                </c:pt>
                <c:pt idx="9">
                  <c:v>3000</c:v>
                </c:pt>
                <c:pt idx="10">
                  <c:v>4000</c:v>
                </c:pt>
                <c:pt idx="11">
                  <c:v>5000</c:v>
                </c:pt>
              </c:numCache>
            </c:numRef>
          </c:xVal>
          <c:yVal>
            <c:numRef>
              <c:f>'Система ГВС'!$B$59:$B$70</c:f>
              <c:numCache>
                <c:formatCode>General</c:formatCode>
                <c:ptCount val="12"/>
                <c:pt idx="0" formatCode="0.00">
                  <c:v>5.15</c:v>
                </c:pt>
                <c:pt idx="1">
                  <c:v>4.5</c:v>
                </c:pt>
                <c:pt idx="2">
                  <c:v>4.0999999999999996</c:v>
                </c:pt>
                <c:pt idx="3">
                  <c:v>3.75</c:v>
                </c:pt>
                <c:pt idx="4">
                  <c:v>3.5</c:v>
                </c:pt>
                <c:pt idx="5">
                  <c:v>3.27</c:v>
                </c:pt>
                <c:pt idx="6">
                  <c:v>3.09</c:v>
                </c:pt>
                <c:pt idx="7">
                  <c:v>2.97</c:v>
                </c:pt>
                <c:pt idx="8">
                  <c:v>2.9</c:v>
                </c:pt>
                <c:pt idx="9">
                  <c:v>2.85</c:v>
                </c:pt>
                <c:pt idx="10">
                  <c:v>2.78</c:v>
                </c:pt>
                <c:pt idx="11">
                  <c:v>2.74</c:v>
                </c:pt>
              </c:numCache>
            </c:numRef>
          </c:yVal>
          <c:smooth val="0"/>
          <c:extLst xmlns:c16r2="http://schemas.microsoft.com/office/drawing/2015/06/chart">
            <c:ext xmlns:c16="http://schemas.microsoft.com/office/drawing/2014/chart" uri="{C3380CC4-5D6E-409C-BE32-E72D297353CC}">
              <c16:uniqueId val="{00000001-1E31-4865-9DEE-6C806F2BA952}"/>
            </c:ext>
          </c:extLst>
        </c:ser>
        <c:dLbls>
          <c:showLegendKey val="0"/>
          <c:showVal val="0"/>
          <c:showCatName val="0"/>
          <c:showSerName val="0"/>
          <c:showPercent val="0"/>
          <c:showBubbleSize val="0"/>
        </c:dLbls>
        <c:axId val="840654096"/>
        <c:axId val="840654656"/>
      </c:scatterChart>
      <c:valAx>
        <c:axId val="840654096"/>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crossAx val="840654656"/>
        <c:crosses val="autoZero"/>
        <c:crossBetween val="midCat"/>
      </c:valAx>
      <c:valAx>
        <c:axId val="840654656"/>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crossAx val="840654096"/>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ru-RU"/>
    </a:p>
  </c:txPr>
  <c:printSettings>
    <c:headerFooter/>
    <c:pageMargins b="0.75000000000000122" l="0.70000000000000062" r="0.70000000000000062" t="0.75000000000000122" header="0.30000000000000032" footer="0.30000000000000032"/>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ru-RU"/>
        </a:p>
      </c:txPr>
    </c:title>
    <c:autoTitleDeleted val="0"/>
    <c:plotArea>
      <c:layout/>
      <c:scatterChart>
        <c:scatterStyle val="lineMarker"/>
        <c:varyColors val="0"/>
        <c:ser>
          <c:idx val="0"/>
          <c:order val="0"/>
          <c:spPr>
            <a:ln w="19050" cap="rnd">
              <a:noFill/>
              <a:round/>
            </a:ln>
            <a:effectLst/>
          </c:spPr>
          <c:marker>
            <c:symbol val="circle"/>
            <c:size val="5"/>
            <c:spPr>
              <a:solidFill>
                <a:schemeClr val="accent1"/>
              </a:solidFill>
              <a:ln w="9525">
                <a:solidFill>
                  <a:schemeClr val="accent1"/>
                </a:solidFill>
              </a:ln>
              <a:effectLst/>
            </c:spPr>
          </c:marker>
          <c:trendline>
            <c:spPr>
              <a:ln w="19050" cap="rnd">
                <a:solidFill>
                  <a:schemeClr val="accent1"/>
                </a:solidFill>
                <a:prstDash val="sysDot"/>
              </a:ln>
              <a:effectLst/>
            </c:spPr>
            <c:trendlineType val="power"/>
            <c:dispRSqr val="1"/>
            <c:dispEq val="1"/>
            <c:trendlineLbl>
              <c:layout>
                <c:manualLayout>
                  <c:x val="-0.11437445319335084"/>
                  <c:y val="-0.31251786235054041"/>
                </c:manualLayout>
              </c:layout>
              <c:numFmt formatCode="General" sourceLinked="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ru-RU"/>
                </a:p>
              </c:txPr>
            </c:trendlineLbl>
          </c:trendline>
          <c:xVal>
            <c:numRef>
              <c:f>'Система ГВС'!$A$45:$A$54</c:f>
              <c:numCache>
                <c:formatCode>General</c:formatCode>
                <c:ptCount val="10"/>
                <c:pt idx="0">
                  <c:v>150</c:v>
                </c:pt>
                <c:pt idx="1">
                  <c:v>250</c:v>
                </c:pt>
                <c:pt idx="2">
                  <c:v>350</c:v>
                </c:pt>
                <c:pt idx="3">
                  <c:v>500</c:v>
                </c:pt>
                <c:pt idx="4">
                  <c:v>700</c:v>
                </c:pt>
                <c:pt idx="5" formatCode="#,##0">
                  <c:v>1000</c:v>
                </c:pt>
                <c:pt idx="6" formatCode="#,##0">
                  <c:v>1500</c:v>
                </c:pt>
                <c:pt idx="7" formatCode="#,##0">
                  <c:v>2000</c:v>
                </c:pt>
                <c:pt idx="8" formatCode="#,##0">
                  <c:v>3000</c:v>
                </c:pt>
                <c:pt idx="9" formatCode="#,##0">
                  <c:v>5000</c:v>
                </c:pt>
              </c:numCache>
            </c:numRef>
          </c:xVal>
          <c:yVal>
            <c:numRef>
              <c:f>'Система ГВС'!$B$45:$B$54</c:f>
              <c:numCache>
                <c:formatCode>General</c:formatCode>
                <c:ptCount val="10"/>
                <c:pt idx="0">
                  <c:v>5.15</c:v>
                </c:pt>
                <c:pt idx="1">
                  <c:v>4.5</c:v>
                </c:pt>
                <c:pt idx="2">
                  <c:v>4.0999999999999996</c:v>
                </c:pt>
                <c:pt idx="3">
                  <c:v>3.75</c:v>
                </c:pt>
                <c:pt idx="4">
                  <c:v>3.5</c:v>
                </c:pt>
                <c:pt idx="5">
                  <c:v>3.27</c:v>
                </c:pt>
                <c:pt idx="6">
                  <c:v>3.09</c:v>
                </c:pt>
                <c:pt idx="7">
                  <c:v>2.97</c:v>
                </c:pt>
                <c:pt idx="8">
                  <c:v>2.85</c:v>
                </c:pt>
                <c:pt idx="9">
                  <c:v>2.74</c:v>
                </c:pt>
              </c:numCache>
            </c:numRef>
          </c:yVal>
          <c:smooth val="0"/>
          <c:extLst xmlns:c16r2="http://schemas.microsoft.com/office/drawing/2015/06/chart">
            <c:ext xmlns:c16="http://schemas.microsoft.com/office/drawing/2014/chart" uri="{C3380CC4-5D6E-409C-BE32-E72D297353CC}">
              <c16:uniqueId val="{00000001-5A50-44A2-8445-DE3A78CD9C6D}"/>
            </c:ext>
          </c:extLst>
        </c:ser>
        <c:dLbls>
          <c:showLegendKey val="0"/>
          <c:showVal val="0"/>
          <c:showCatName val="0"/>
          <c:showSerName val="0"/>
          <c:showPercent val="0"/>
          <c:showBubbleSize val="0"/>
        </c:dLbls>
        <c:axId val="840656896"/>
        <c:axId val="840657456"/>
      </c:scatterChart>
      <c:valAx>
        <c:axId val="840656896"/>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crossAx val="840657456"/>
        <c:crosses val="autoZero"/>
        <c:crossBetween val="midCat"/>
      </c:valAx>
      <c:valAx>
        <c:axId val="84065745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crossAx val="840656896"/>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ru-RU"/>
    </a:p>
  </c:txPr>
  <c:printSettings>
    <c:headerFooter/>
    <c:pageMargins b="0.75000000000000122" l="0.70000000000000062" r="0.70000000000000062" t="0.75000000000000122"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ru-RU"/>
              <a:t>Суммарное</a:t>
            </a:r>
            <a:r>
              <a:rPr lang="ru-RU" baseline="0"/>
              <a:t> потребление энергоресурсов</a:t>
            </a:r>
          </a:p>
        </c:rich>
      </c:tx>
      <c:overlay val="0"/>
      <c:spPr>
        <a:noFill/>
        <a:ln>
          <a:noFill/>
        </a:ln>
        <a:effectLst/>
      </c:spPr>
    </c:title>
    <c:autoTitleDeleted val="0"/>
    <c:plotArea>
      <c:layout>
        <c:manualLayout>
          <c:layoutTarget val="inner"/>
          <c:xMode val="edge"/>
          <c:yMode val="edge"/>
          <c:x val="6.3970628011428929E-2"/>
          <c:y val="7.1913618172718033E-2"/>
          <c:w val="0.92059537243112965"/>
          <c:h val="0.36658951917648147"/>
        </c:manualLayout>
      </c:layout>
      <c:barChart>
        <c:barDir val="col"/>
        <c:grouping val="stacked"/>
        <c:varyColors val="0"/>
        <c:ser>
          <c:idx val="0"/>
          <c:order val="0"/>
          <c:tx>
            <c:strRef>
              <c:f>'Расчет базового уровня'!$G$12</c:f>
              <c:strCache>
                <c:ptCount val="1"/>
                <c:pt idx="0">
                  <c:v>Отопление и вентиляция</c:v>
                </c:pt>
              </c:strCache>
            </c:strRef>
          </c:tx>
          <c:spPr>
            <a:solidFill>
              <a:srgbClr val="FFC000"/>
            </a:solidFill>
            <a:ln>
              <a:noFill/>
            </a:ln>
            <a:effectLst/>
          </c:spPr>
          <c:invertIfNegative val="0"/>
          <c:cat>
            <c:multiLvlStrRef>
              <c:f>'Расчет базового уровня'!$I$33:$AR$34</c:f>
              <c:multiLvlStrCache>
                <c:ptCount val="36"/>
                <c:lvl>
                  <c:pt idx="0">
                    <c:v>Расчетно-нормативное потребление</c:v>
                  </c:pt>
                  <c:pt idx="1">
                    <c:v>Фактическое потребление</c:v>
                  </c:pt>
                  <c:pt idx="2">
                    <c:v>Фактическое потребление (приведенное к нормативным климатическим условиям)</c:v>
                  </c:pt>
                  <c:pt idx="3">
                    <c:v>Расчетно-нормативное потребление</c:v>
                  </c:pt>
                  <c:pt idx="4">
                    <c:v>Фактическое потребление</c:v>
                  </c:pt>
                  <c:pt idx="5">
                    <c:v>Фактическое потребление (приведенное к нормативным климатическим условиям)</c:v>
                  </c:pt>
                  <c:pt idx="6">
                    <c:v>Расчетно-нормативное потребление</c:v>
                  </c:pt>
                  <c:pt idx="7">
                    <c:v>Фактическое потребление</c:v>
                  </c:pt>
                  <c:pt idx="8">
                    <c:v>Фактическое потребление (приведенное к нормативным климатическим условиям)</c:v>
                  </c:pt>
                  <c:pt idx="9">
                    <c:v>Расчетно-нормативное потребление</c:v>
                  </c:pt>
                  <c:pt idx="10">
                    <c:v>Фактическое потребление</c:v>
                  </c:pt>
                  <c:pt idx="11">
                    <c:v>Фактическое потребление (приведенное к нормативным климатическим условиям)</c:v>
                  </c:pt>
                  <c:pt idx="12">
                    <c:v>Расчетно-нормативное потребление</c:v>
                  </c:pt>
                  <c:pt idx="13">
                    <c:v>Фактическое потребление</c:v>
                  </c:pt>
                  <c:pt idx="14">
                    <c:v>Фактическое потребление (приведенное к нормативным климатическим условиям)</c:v>
                  </c:pt>
                  <c:pt idx="15">
                    <c:v>Расчетно-нормативное потребление</c:v>
                  </c:pt>
                  <c:pt idx="16">
                    <c:v>Фактическое потребление</c:v>
                  </c:pt>
                  <c:pt idx="17">
                    <c:v>Фактическое потребление (приведенное к нормативным климатическим условиям)</c:v>
                  </c:pt>
                  <c:pt idx="18">
                    <c:v>Расчетно-нормативное потребление</c:v>
                  </c:pt>
                  <c:pt idx="19">
                    <c:v>Фактическое потребление</c:v>
                  </c:pt>
                  <c:pt idx="20">
                    <c:v>Фактическое потребление (приведенное к нормативным климатическим условиям)</c:v>
                  </c:pt>
                  <c:pt idx="21">
                    <c:v>Расчетно-нормативное потребление</c:v>
                  </c:pt>
                  <c:pt idx="22">
                    <c:v>Фактическое потребление</c:v>
                  </c:pt>
                  <c:pt idx="23">
                    <c:v>Фактическое потребление (приведенное к нормативным климатическим условиям)</c:v>
                  </c:pt>
                  <c:pt idx="24">
                    <c:v>Расчетно-нормативное потребление</c:v>
                  </c:pt>
                  <c:pt idx="25">
                    <c:v>Фактическое потребление</c:v>
                  </c:pt>
                  <c:pt idx="26">
                    <c:v>Фактическое потребление (приведенное к нормативным климатическим условиям)</c:v>
                  </c:pt>
                  <c:pt idx="27">
                    <c:v>Расчетно-нормативное потребление</c:v>
                  </c:pt>
                  <c:pt idx="28">
                    <c:v>Фактическое потребление</c:v>
                  </c:pt>
                  <c:pt idx="29">
                    <c:v>Фактическое потребление (приведенное к нормативным климатическим условиям)</c:v>
                  </c:pt>
                  <c:pt idx="30">
                    <c:v>Расчетно-нормативное потребление</c:v>
                  </c:pt>
                  <c:pt idx="31">
                    <c:v>Фактическое потребление</c:v>
                  </c:pt>
                  <c:pt idx="32">
                    <c:v>Фактическое потребление (приведенное к нормативным климатическим условиям)</c:v>
                  </c:pt>
                  <c:pt idx="33">
                    <c:v>Расчетно-нормативное потребление</c:v>
                  </c:pt>
                  <c:pt idx="34">
                    <c:v>Фактическое потребление</c:v>
                  </c:pt>
                  <c:pt idx="35">
                    <c:v>Фактическое потребление (приведенное к нормативным климатическим условиям)</c:v>
                  </c:pt>
                </c:lvl>
                <c:lvl>
                  <c:pt idx="0">
                    <c:v>Январь</c:v>
                  </c:pt>
                  <c:pt idx="3">
                    <c:v>Февраль</c:v>
                  </c:pt>
                  <c:pt idx="6">
                    <c:v>Март</c:v>
                  </c:pt>
                  <c:pt idx="9">
                    <c:v>Апрель</c:v>
                  </c:pt>
                  <c:pt idx="12">
                    <c:v>Май</c:v>
                  </c:pt>
                  <c:pt idx="15">
                    <c:v>Июнь</c:v>
                  </c:pt>
                  <c:pt idx="18">
                    <c:v>Июль</c:v>
                  </c:pt>
                  <c:pt idx="21">
                    <c:v>Август</c:v>
                  </c:pt>
                  <c:pt idx="24">
                    <c:v>Сентябрь</c:v>
                  </c:pt>
                  <c:pt idx="27">
                    <c:v>Октябрь</c:v>
                  </c:pt>
                  <c:pt idx="30">
                    <c:v>Ноябрь</c:v>
                  </c:pt>
                  <c:pt idx="33">
                    <c:v>Декабрь</c:v>
                  </c:pt>
                </c:lvl>
              </c:multiLvlStrCache>
            </c:multiLvlStrRef>
          </c:cat>
          <c:val>
            <c:numRef>
              <c:f>'Расчет базового уровня'!$I$12:$AR$12</c:f>
              <c:numCache>
                <c:formatCode>0</c:formatCode>
                <c:ptCount val="36"/>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numCache>
            </c:numRef>
          </c:val>
          <c:extLst xmlns:c16r2="http://schemas.microsoft.com/office/drawing/2015/06/chart">
            <c:ext xmlns:c16="http://schemas.microsoft.com/office/drawing/2014/chart" uri="{C3380CC4-5D6E-409C-BE32-E72D297353CC}">
              <c16:uniqueId val="{00000000-7813-4656-B7A2-7200DA9B7FB1}"/>
            </c:ext>
          </c:extLst>
        </c:ser>
        <c:ser>
          <c:idx val="1"/>
          <c:order val="1"/>
          <c:tx>
            <c:strRef>
              <c:f>'Расчет базового уровня'!$G$15</c:f>
              <c:strCache>
                <c:ptCount val="1"/>
                <c:pt idx="0">
                  <c:v>Горячее водоснабжение</c:v>
                </c:pt>
              </c:strCache>
            </c:strRef>
          </c:tx>
          <c:spPr>
            <a:solidFill>
              <a:schemeClr val="accent2"/>
            </a:solidFill>
            <a:ln>
              <a:noFill/>
            </a:ln>
            <a:effectLst/>
          </c:spPr>
          <c:invertIfNegative val="0"/>
          <c:val>
            <c:numRef>
              <c:f>'Расчет базового уровня'!$I$15:$AR$15</c:f>
              <c:numCache>
                <c:formatCode>0</c:formatCode>
                <c:ptCount val="36"/>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numCache>
            </c:numRef>
          </c:val>
          <c:extLst xmlns:c16r2="http://schemas.microsoft.com/office/drawing/2015/06/chart">
            <c:ext xmlns:c16="http://schemas.microsoft.com/office/drawing/2014/chart" uri="{C3380CC4-5D6E-409C-BE32-E72D297353CC}">
              <c16:uniqueId val="{00000001-7813-4656-B7A2-7200DA9B7FB1}"/>
            </c:ext>
          </c:extLst>
        </c:ser>
        <c:ser>
          <c:idx val="2"/>
          <c:order val="2"/>
          <c:tx>
            <c:strRef>
              <c:f>'Расчет базового уровня'!$G$18</c:f>
              <c:strCache>
                <c:ptCount val="1"/>
                <c:pt idx="0">
                  <c:v>Потребление электроэнергии на общедомовые нужды</c:v>
                </c:pt>
              </c:strCache>
            </c:strRef>
          </c:tx>
          <c:spPr>
            <a:solidFill>
              <a:schemeClr val="tx1"/>
            </a:solidFill>
            <a:ln>
              <a:noFill/>
            </a:ln>
            <a:effectLst/>
          </c:spPr>
          <c:invertIfNegative val="0"/>
          <c:val>
            <c:numRef>
              <c:f>'Расчет базового уровня'!$I$18:$AR$18</c:f>
              <c:numCache>
                <c:formatCode>General</c:formatCode>
                <c:ptCount val="36"/>
                <c:pt idx="0" formatCode="0">
                  <c:v>#N/A</c:v>
                </c:pt>
                <c:pt idx="1">
                  <c:v>0</c:v>
                </c:pt>
                <c:pt idx="2">
                  <c:v>0</c:v>
                </c:pt>
                <c:pt idx="3" formatCode="0">
                  <c:v>#N/A</c:v>
                </c:pt>
                <c:pt idx="4">
                  <c:v>0</c:v>
                </c:pt>
                <c:pt idx="5">
                  <c:v>0</c:v>
                </c:pt>
                <c:pt idx="6" formatCode="0">
                  <c:v>#N/A</c:v>
                </c:pt>
                <c:pt idx="7">
                  <c:v>0</c:v>
                </c:pt>
                <c:pt idx="8">
                  <c:v>0</c:v>
                </c:pt>
                <c:pt idx="9" formatCode="0">
                  <c:v>#N/A</c:v>
                </c:pt>
                <c:pt idx="10">
                  <c:v>0</c:v>
                </c:pt>
                <c:pt idx="11">
                  <c:v>0</c:v>
                </c:pt>
                <c:pt idx="12" formatCode="0">
                  <c:v>#N/A</c:v>
                </c:pt>
                <c:pt idx="13">
                  <c:v>0</c:v>
                </c:pt>
                <c:pt idx="14">
                  <c:v>0</c:v>
                </c:pt>
                <c:pt idx="15" formatCode="0">
                  <c:v>#N/A</c:v>
                </c:pt>
                <c:pt idx="16">
                  <c:v>0</c:v>
                </c:pt>
                <c:pt idx="17">
                  <c:v>0</c:v>
                </c:pt>
                <c:pt idx="18" formatCode="0">
                  <c:v>#N/A</c:v>
                </c:pt>
                <c:pt idx="19">
                  <c:v>0</c:v>
                </c:pt>
                <c:pt idx="20">
                  <c:v>0</c:v>
                </c:pt>
                <c:pt idx="21" formatCode="0">
                  <c:v>#N/A</c:v>
                </c:pt>
                <c:pt idx="22">
                  <c:v>0</c:v>
                </c:pt>
                <c:pt idx="23">
                  <c:v>0</c:v>
                </c:pt>
                <c:pt idx="24" formatCode="0">
                  <c:v>#N/A</c:v>
                </c:pt>
                <c:pt idx="25">
                  <c:v>0</c:v>
                </c:pt>
                <c:pt idx="26">
                  <c:v>0</c:v>
                </c:pt>
                <c:pt idx="27" formatCode="0">
                  <c:v>#N/A</c:v>
                </c:pt>
                <c:pt idx="28">
                  <c:v>0</c:v>
                </c:pt>
                <c:pt idx="29">
                  <c:v>0</c:v>
                </c:pt>
                <c:pt idx="30" formatCode="0">
                  <c:v>#N/A</c:v>
                </c:pt>
                <c:pt idx="31">
                  <c:v>0</c:v>
                </c:pt>
                <c:pt idx="32">
                  <c:v>0</c:v>
                </c:pt>
                <c:pt idx="33" formatCode="0">
                  <c:v>#N/A</c:v>
                </c:pt>
                <c:pt idx="34">
                  <c:v>0</c:v>
                </c:pt>
                <c:pt idx="35">
                  <c:v>0</c:v>
                </c:pt>
              </c:numCache>
            </c:numRef>
          </c:val>
          <c:extLst xmlns:c16r2="http://schemas.microsoft.com/office/drawing/2015/06/chart">
            <c:ext xmlns:c16="http://schemas.microsoft.com/office/drawing/2014/chart" uri="{C3380CC4-5D6E-409C-BE32-E72D297353CC}">
              <c16:uniqueId val="{00000002-7813-4656-B7A2-7200DA9B7FB1}"/>
            </c:ext>
          </c:extLst>
        </c:ser>
        <c:dLbls>
          <c:showLegendKey val="0"/>
          <c:showVal val="0"/>
          <c:showCatName val="0"/>
          <c:showSerName val="0"/>
          <c:showPercent val="0"/>
          <c:showBubbleSize val="0"/>
        </c:dLbls>
        <c:gapWidth val="59"/>
        <c:overlap val="100"/>
        <c:axId val="1354425520"/>
        <c:axId val="1354426080"/>
      </c:barChart>
      <c:catAx>
        <c:axId val="1354425520"/>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Times New Roman" pitchFamily="18" charset="0"/>
                <a:ea typeface="+mn-ea"/>
                <a:cs typeface="Times New Roman" pitchFamily="18" charset="0"/>
              </a:defRPr>
            </a:pPr>
            <a:endParaRPr lang="ru-RU"/>
          </a:p>
        </c:txPr>
        <c:crossAx val="1354426080"/>
        <c:crosses val="autoZero"/>
        <c:auto val="1"/>
        <c:lblAlgn val="ctr"/>
        <c:lblOffset val="100"/>
        <c:noMultiLvlLbl val="0"/>
      </c:catAx>
      <c:valAx>
        <c:axId val="135442608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ru-RU"/>
                  <a:t>кВтч</a:t>
                </a:r>
              </a:p>
            </c:rich>
          </c:tx>
          <c:layout>
            <c:manualLayout>
              <c:xMode val="edge"/>
              <c:yMode val="edge"/>
              <c:x val="2.8890803038883351E-2"/>
              <c:y val="0.22721031279877554"/>
            </c:manualLayout>
          </c:layout>
          <c:overlay val="0"/>
          <c:spPr>
            <a:noFill/>
            <a:ln>
              <a:noFill/>
            </a:ln>
            <a:effectLst/>
          </c:sp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crossAx val="1354425520"/>
        <c:crosses val="autoZero"/>
        <c:crossBetween val="between"/>
      </c:valAx>
      <c:spPr>
        <a:noFill/>
        <a:ln>
          <a:noFill/>
        </a:ln>
        <a:effectLst/>
      </c:spPr>
    </c:plotArea>
    <c:legend>
      <c:legendPos val="r"/>
      <c:layout>
        <c:manualLayout>
          <c:xMode val="edge"/>
          <c:yMode val="edge"/>
          <c:x val="0.3872104138838684"/>
          <c:y val="0.11479239606285375"/>
          <c:w val="0.19110779693198668"/>
          <c:h val="0.11788458530386975"/>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Times New Roman" pitchFamily="18" charset="0"/>
              <a:ea typeface="+mn-ea"/>
              <a:cs typeface="Times New Roman" pitchFamily="18" charset="0"/>
            </a:defRPr>
          </a:pPr>
          <a:endParaRPr lang="ru-RU"/>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ru-RU"/>
    </a:p>
  </c:txPr>
  <c:printSettings>
    <c:headerFooter/>
    <c:pageMargins b="0.75000000000000167" l="0.70000000000000062" r="0.70000000000000062" t="0.75000000000000167"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ru-RU"/>
              <a:t>Потребление тепловой энергии на нужды ГВС</a:t>
            </a:r>
          </a:p>
        </c:rich>
      </c:tx>
      <c:overlay val="0"/>
      <c:spPr>
        <a:noFill/>
        <a:ln>
          <a:noFill/>
        </a:ln>
        <a:effectLst/>
      </c:spPr>
    </c:title>
    <c:autoTitleDeleted val="0"/>
    <c:plotArea>
      <c:layout>
        <c:manualLayout>
          <c:layoutTarget val="inner"/>
          <c:xMode val="edge"/>
          <c:yMode val="edge"/>
          <c:x val="4.7081656989007084E-2"/>
          <c:y val="0.12098445806716797"/>
          <c:w val="0.94411865730528055"/>
          <c:h val="0.41433585047023774"/>
        </c:manualLayout>
      </c:layout>
      <c:barChart>
        <c:barDir val="col"/>
        <c:grouping val="clustered"/>
        <c:varyColors val="0"/>
        <c:ser>
          <c:idx val="4"/>
          <c:order val="0"/>
          <c:tx>
            <c:strRef>
              <c:f>'Расчет базового уровня'!$G$85</c:f>
              <c:strCache>
                <c:ptCount val="1"/>
                <c:pt idx="0">
                  <c:v>Потребление тепловой энергии на горячее водоснабжение </c:v>
                </c:pt>
              </c:strCache>
            </c:strRef>
          </c:tx>
          <c:spPr>
            <a:solidFill>
              <a:srgbClr val="FFC000"/>
            </a:solidFill>
            <a:ln>
              <a:noFill/>
            </a:ln>
            <a:effectLst/>
          </c:spPr>
          <c:invertIfNegative val="0"/>
          <c:cat>
            <c:multiLvlStrRef>
              <c:f>'Расчет базового уровня'!$I$83:$AF$84</c:f>
              <c:multiLvlStrCache>
                <c:ptCount val="24"/>
                <c:lvl>
                  <c:pt idx="0">
                    <c:v>Расчетно-нормативное потребление</c:v>
                  </c:pt>
                  <c:pt idx="1">
                    <c:v>Фактическое потребление</c:v>
                  </c:pt>
                  <c:pt idx="2">
                    <c:v>Расчетно-нормативное потребление</c:v>
                  </c:pt>
                  <c:pt idx="3">
                    <c:v>Фактическое потребление</c:v>
                  </c:pt>
                  <c:pt idx="4">
                    <c:v>Расчетно-нормативное потребление</c:v>
                  </c:pt>
                  <c:pt idx="5">
                    <c:v>Фактическое потребление</c:v>
                  </c:pt>
                  <c:pt idx="6">
                    <c:v>Расчетно-нормативное потребление</c:v>
                  </c:pt>
                  <c:pt idx="7">
                    <c:v>Фактическое потребление</c:v>
                  </c:pt>
                  <c:pt idx="8">
                    <c:v>Расчетно-нормативное потребление</c:v>
                  </c:pt>
                  <c:pt idx="9">
                    <c:v>Фактическое потребление</c:v>
                  </c:pt>
                  <c:pt idx="10">
                    <c:v>Расчетно-нормативное потребление</c:v>
                  </c:pt>
                  <c:pt idx="11">
                    <c:v>Фактическое потребление</c:v>
                  </c:pt>
                  <c:pt idx="12">
                    <c:v>Расчетно-нормативное потребление</c:v>
                  </c:pt>
                  <c:pt idx="13">
                    <c:v>Фактическое потребление</c:v>
                  </c:pt>
                  <c:pt idx="14">
                    <c:v>Расчетно-нормативное потребление</c:v>
                  </c:pt>
                  <c:pt idx="15">
                    <c:v>Фактическое потребление</c:v>
                  </c:pt>
                  <c:pt idx="16">
                    <c:v>Расчетно-нормативное потребление</c:v>
                  </c:pt>
                  <c:pt idx="17">
                    <c:v>Фактическое потребление</c:v>
                  </c:pt>
                  <c:pt idx="18">
                    <c:v>Расчетно-нормативное потребление</c:v>
                  </c:pt>
                  <c:pt idx="19">
                    <c:v>Фактическое потребление</c:v>
                  </c:pt>
                  <c:pt idx="20">
                    <c:v>Расчетно-нормативное потребление</c:v>
                  </c:pt>
                  <c:pt idx="21">
                    <c:v>Фактическое потребление</c:v>
                  </c:pt>
                  <c:pt idx="22">
                    <c:v>Расчетно-нормативное потребление</c:v>
                  </c:pt>
                  <c:pt idx="23">
                    <c:v>Фактическое потребление</c:v>
                  </c:pt>
                </c:lvl>
                <c:lvl>
                  <c:pt idx="0">
                    <c:v>Январь</c:v>
                  </c:pt>
                  <c:pt idx="2">
                    <c:v>Февраль</c:v>
                  </c:pt>
                  <c:pt idx="4">
                    <c:v>Март</c:v>
                  </c:pt>
                  <c:pt idx="6">
                    <c:v>Апрель</c:v>
                  </c:pt>
                  <c:pt idx="8">
                    <c:v>Май</c:v>
                  </c:pt>
                  <c:pt idx="10">
                    <c:v>Июнь</c:v>
                  </c:pt>
                  <c:pt idx="12">
                    <c:v>Июль</c:v>
                  </c:pt>
                  <c:pt idx="14">
                    <c:v>Август</c:v>
                  </c:pt>
                  <c:pt idx="16">
                    <c:v>Сентябрь</c:v>
                  </c:pt>
                  <c:pt idx="18">
                    <c:v>Октябрь</c:v>
                  </c:pt>
                  <c:pt idx="20">
                    <c:v>Ноябрь</c:v>
                  </c:pt>
                  <c:pt idx="22">
                    <c:v>Декабрь</c:v>
                  </c:pt>
                </c:lvl>
              </c:multiLvlStrCache>
            </c:multiLvlStrRef>
          </c:cat>
          <c:val>
            <c:numRef>
              <c:f>'Расчет базового уровня'!$I$85:$AG$85</c:f>
              <c:numCache>
                <c:formatCode>0</c:formatCode>
                <c:ptCount val="25"/>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numCache>
            </c:numRef>
          </c:val>
          <c:extLst xmlns:c16r2="http://schemas.microsoft.com/office/drawing/2015/06/chart">
            <c:ext xmlns:c16="http://schemas.microsoft.com/office/drawing/2014/chart" uri="{C3380CC4-5D6E-409C-BE32-E72D297353CC}">
              <c16:uniqueId val="{00000000-51C6-459C-B238-B72CABB81AD4}"/>
            </c:ext>
          </c:extLst>
        </c:ser>
        <c:dLbls>
          <c:showLegendKey val="0"/>
          <c:showVal val="0"/>
          <c:showCatName val="0"/>
          <c:showSerName val="0"/>
          <c:showPercent val="0"/>
          <c:showBubbleSize val="0"/>
        </c:dLbls>
        <c:gapWidth val="59"/>
        <c:axId val="1354428880"/>
        <c:axId val="1354429440"/>
      </c:barChart>
      <c:catAx>
        <c:axId val="1354428880"/>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Times New Roman" pitchFamily="18" charset="0"/>
                <a:ea typeface="+mn-ea"/>
                <a:cs typeface="Times New Roman" pitchFamily="18" charset="0"/>
              </a:defRPr>
            </a:pPr>
            <a:endParaRPr lang="ru-RU"/>
          </a:p>
        </c:txPr>
        <c:crossAx val="1354429440"/>
        <c:crosses val="autoZero"/>
        <c:auto val="1"/>
        <c:lblAlgn val="ctr"/>
        <c:lblOffset val="100"/>
        <c:noMultiLvlLbl val="0"/>
      </c:catAx>
      <c:valAx>
        <c:axId val="135442944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ru-RU"/>
                  <a:t>кВтч</a:t>
                </a:r>
              </a:p>
            </c:rich>
          </c:tx>
          <c:overlay val="0"/>
          <c:spPr>
            <a:noFill/>
            <a:ln>
              <a:noFill/>
            </a:ln>
            <a:effectLst/>
          </c:sp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crossAx val="135442888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ru-RU"/>
    </a:p>
  </c:txPr>
  <c:printSettings>
    <c:headerFooter/>
    <c:pageMargins b="0.75000000000000167" l="0.70000000000000062" r="0.70000000000000062" t="0.75000000000000167"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ru-RU"/>
              <a:t>Потребление </a:t>
            </a:r>
            <a:r>
              <a:rPr lang="ru-RU" baseline="0"/>
              <a:t> горячей воды</a:t>
            </a:r>
            <a:endParaRPr lang="ru-RU"/>
          </a:p>
        </c:rich>
      </c:tx>
      <c:overlay val="0"/>
      <c:spPr>
        <a:noFill/>
        <a:ln>
          <a:noFill/>
        </a:ln>
        <a:effectLst/>
      </c:spPr>
    </c:title>
    <c:autoTitleDeleted val="0"/>
    <c:plotArea>
      <c:layout>
        <c:manualLayout>
          <c:layoutTarget val="inner"/>
          <c:xMode val="edge"/>
          <c:yMode val="edge"/>
          <c:x val="4.5463131483810426E-2"/>
          <c:y val="0.1350481642150447"/>
          <c:w val="0.94635191121389728"/>
          <c:h val="0.38491635375719385"/>
        </c:manualLayout>
      </c:layout>
      <c:barChart>
        <c:barDir val="col"/>
        <c:grouping val="clustered"/>
        <c:varyColors val="0"/>
        <c:ser>
          <c:idx val="0"/>
          <c:order val="0"/>
          <c:tx>
            <c:strRef>
              <c:f>'Расчет базового уровня'!$G$90</c:f>
              <c:strCache>
                <c:ptCount val="1"/>
                <c:pt idx="0">
                  <c:v>Потребление горячей воды</c:v>
                </c:pt>
              </c:strCache>
            </c:strRef>
          </c:tx>
          <c:spPr>
            <a:solidFill>
              <a:schemeClr val="accent2"/>
            </a:solidFill>
            <a:ln>
              <a:noFill/>
            </a:ln>
            <a:effectLst/>
          </c:spPr>
          <c:invertIfNegative val="0"/>
          <c:cat>
            <c:multiLvlStrRef>
              <c:f>'Расчет базового уровня'!$I$83:$AF$84</c:f>
              <c:multiLvlStrCache>
                <c:ptCount val="24"/>
                <c:lvl>
                  <c:pt idx="0">
                    <c:v>Расчетно-нормативное потребление</c:v>
                  </c:pt>
                  <c:pt idx="1">
                    <c:v>Фактическое потребление</c:v>
                  </c:pt>
                  <c:pt idx="2">
                    <c:v>Расчетно-нормативное потребление</c:v>
                  </c:pt>
                  <c:pt idx="3">
                    <c:v>Фактическое потребление</c:v>
                  </c:pt>
                  <c:pt idx="4">
                    <c:v>Расчетно-нормативное потребление</c:v>
                  </c:pt>
                  <c:pt idx="5">
                    <c:v>Фактическое потребление</c:v>
                  </c:pt>
                  <c:pt idx="6">
                    <c:v>Расчетно-нормативное потребление</c:v>
                  </c:pt>
                  <c:pt idx="7">
                    <c:v>Фактическое потребление</c:v>
                  </c:pt>
                  <c:pt idx="8">
                    <c:v>Расчетно-нормативное потребление</c:v>
                  </c:pt>
                  <c:pt idx="9">
                    <c:v>Фактическое потребление</c:v>
                  </c:pt>
                  <c:pt idx="10">
                    <c:v>Расчетно-нормативное потребление</c:v>
                  </c:pt>
                  <c:pt idx="11">
                    <c:v>Фактическое потребление</c:v>
                  </c:pt>
                  <c:pt idx="12">
                    <c:v>Расчетно-нормативное потребление</c:v>
                  </c:pt>
                  <c:pt idx="13">
                    <c:v>Фактическое потребление</c:v>
                  </c:pt>
                  <c:pt idx="14">
                    <c:v>Расчетно-нормативное потребление</c:v>
                  </c:pt>
                  <c:pt idx="15">
                    <c:v>Фактическое потребление</c:v>
                  </c:pt>
                  <c:pt idx="16">
                    <c:v>Расчетно-нормативное потребление</c:v>
                  </c:pt>
                  <c:pt idx="17">
                    <c:v>Фактическое потребление</c:v>
                  </c:pt>
                  <c:pt idx="18">
                    <c:v>Расчетно-нормативное потребление</c:v>
                  </c:pt>
                  <c:pt idx="19">
                    <c:v>Фактическое потребление</c:v>
                  </c:pt>
                  <c:pt idx="20">
                    <c:v>Расчетно-нормативное потребление</c:v>
                  </c:pt>
                  <c:pt idx="21">
                    <c:v>Фактическое потребление</c:v>
                  </c:pt>
                  <c:pt idx="22">
                    <c:v>Расчетно-нормативное потребление</c:v>
                  </c:pt>
                  <c:pt idx="23">
                    <c:v>Фактическое потребление</c:v>
                  </c:pt>
                </c:lvl>
                <c:lvl>
                  <c:pt idx="0">
                    <c:v>Январь</c:v>
                  </c:pt>
                  <c:pt idx="2">
                    <c:v>Февраль</c:v>
                  </c:pt>
                  <c:pt idx="4">
                    <c:v>Март</c:v>
                  </c:pt>
                  <c:pt idx="6">
                    <c:v>Апрель</c:v>
                  </c:pt>
                  <c:pt idx="8">
                    <c:v>Май</c:v>
                  </c:pt>
                  <c:pt idx="10">
                    <c:v>Июнь</c:v>
                  </c:pt>
                  <c:pt idx="12">
                    <c:v>Июль</c:v>
                  </c:pt>
                  <c:pt idx="14">
                    <c:v>Август</c:v>
                  </c:pt>
                  <c:pt idx="16">
                    <c:v>Сентябрь</c:v>
                  </c:pt>
                  <c:pt idx="18">
                    <c:v>Октябрь</c:v>
                  </c:pt>
                  <c:pt idx="20">
                    <c:v>Ноябрь</c:v>
                  </c:pt>
                  <c:pt idx="22">
                    <c:v>Декабрь</c:v>
                  </c:pt>
                </c:lvl>
              </c:multiLvlStrCache>
            </c:multiLvlStrRef>
          </c:cat>
          <c:val>
            <c:numRef>
              <c:f>'Расчет базового уровня'!$I$90:$AF$90</c:f>
              <c:numCache>
                <c:formatCode>0.0</c:formatCode>
                <c:ptCount val="24"/>
                <c:pt idx="0">
                  <c:v>#N/A</c:v>
                </c:pt>
                <c:pt idx="1">
                  <c:v>0</c:v>
                </c:pt>
                <c:pt idx="2">
                  <c:v>#N/A</c:v>
                </c:pt>
                <c:pt idx="3">
                  <c:v>0</c:v>
                </c:pt>
                <c:pt idx="4">
                  <c:v>#N/A</c:v>
                </c:pt>
                <c:pt idx="5">
                  <c:v>0</c:v>
                </c:pt>
                <c:pt idx="6">
                  <c:v>#N/A</c:v>
                </c:pt>
                <c:pt idx="7">
                  <c:v>0</c:v>
                </c:pt>
                <c:pt idx="8">
                  <c:v>#N/A</c:v>
                </c:pt>
                <c:pt idx="9">
                  <c:v>0</c:v>
                </c:pt>
                <c:pt idx="10">
                  <c:v>#N/A</c:v>
                </c:pt>
                <c:pt idx="11">
                  <c:v>0</c:v>
                </c:pt>
                <c:pt idx="12">
                  <c:v>#N/A</c:v>
                </c:pt>
                <c:pt idx="13">
                  <c:v>0</c:v>
                </c:pt>
                <c:pt idx="14">
                  <c:v>#N/A</c:v>
                </c:pt>
                <c:pt idx="15">
                  <c:v>0</c:v>
                </c:pt>
                <c:pt idx="16">
                  <c:v>#N/A</c:v>
                </c:pt>
                <c:pt idx="17">
                  <c:v>0</c:v>
                </c:pt>
                <c:pt idx="18">
                  <c:v>#N/A</c:v>
                </c:pt>
                <c:pt idx="19">
                  <c:v>0</c:v>
                </c:pt>
                <c:pt idx="20">
                  <c:v>#N/A</c:v>
                </c:pt>
                <c:pt idx="21">
                  <c:v>0</c:v>
                </c:pt>
                <c:pt idx="22">
                  <c:v>#N/A</c:v>
                </c:pt>
                <c:pt idx="23">
                  <c:v>0</c:v>
                </c:pt>
              </c:numCache>
            </c:numRef>
          </c:val>
          <c:extLst xmlns:c16r2="http://schemas.microsoft.com/office/drawing/2015/06/chart">
            <c:ext xmlns:c16="http://schemas.microsoft.com/office/drawing/2014/chart" uri="{C3380CC4-5D6E-409C-BE32-E72D297353CC}">
              <c16:uniqueId val="{00000000-E3DD-4399-B931-A37FC3CE6258}"/>
            </c:ext>
          </c:extLst>
        </c:ser>
        <c:dLbls>
          <c:showLegendKey val="0"/>
          <c:showVal val="0"/>
          <c:showCatName val="0"/>
          <c:showSerName val="0"/>
          <c:showPercent val="0"/>
          <c:showBubbleSize val="0"/>
        </c:dLbls>
        <c:gapWidth val="59"/>
        <c:axId val="903324464"/>
        <c:axId val="903325024"/>
      </c:barChart>
      <c:catAx>
        <c:axId val="903324464"/>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Times New Roman" pitchFamily="18" charset="0"/>
                <a:ea typeface="+mn-ea"/>
                <a:cs typeface="Times New Roman" pitchFamily="18" charset="0"/>
              </a:defRPr>
            </a:pPr>
            <a:endParaRPr lang="ru-RU"/>
          </a:p>
        </c:txPr>
        <c:crossAx val="903325024"/>
        <c:crosses val="autoZero"/>
        <c:auto val="1"/>
        <c:lblAlgn val="ctr"/>
        <c:lblOffset val="100"/>
        <c:noMultiLvlLbl val="0"/>
      </c:catAx>
      <c:valAx>
        <c:axId val="90332502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ru-RU"/>
                  <a:t>куб.м</a:t>
                </a:r>
              </a:p>
            </c:rich>
          </c:tx>
          <c:overlay val="0"/>
          <c:spPr>
            <a:noFill/>
            <a:ln>
              <a:noFill/>
            </a:ln>
            <a:effectLst/>
          </c:sp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crossAx val="90332446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ru-RU"/>
    </a:p>
  </c:txPr>
  <c:printSettings>
    <c:headerFooter/>
    <c:pageMargins b="0.75000000000000167" l="0.70000000000000062" r="0.70000000000000062" t="0.75000000000000167"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r>
              <a:rPr lang="ru-RU" sz="1100"/>
              <a:t>Структура годового</a:t>
            </a:r>
          </a:p>
          <a:p>
            <a:pPr>
              <a:defRPr sz="1100"/>
            </a:pPr>
            <a:r>
              <a:rPr lang="ru-RU" sz="1100"/>
              <a:t> потребления</a:t>
            </a:r>
          </a:p>
          <a:p>
            <a:pPr>
              <a:defRPr sz="1100"/>
            </a:pPr>
            <a:r>
              <a:rPr lang="ru-RU" sz="1100"/>
              <a:t> энергоресурсов</a:t>
            </a:r>
          </a:p>
          <a:p>
            <a:pPr>
              <a:defRPr sz="1100"/>
            </a:pPr>
            <a:r>
              <a:rPr lang="ru-RU" sz="1100"/>
              <a:t> (расчетно-нормативный)</a:t>
            </a:r>
          </a:p>
        </c:rich>
      </c:tx>
      <c:layout>
        <c:manualLayout>
          <c:xMode val="edge"/>
          <c:yMode val="edge"/>
          <c:x val="0"/>
          <c:y val="3.7037037037037056E-2"/>
        </c:manualLayout>
      </c:layout>
      <c:overlay val="0"/>
      <c:spPr>
        <a:noFill/>
        <a:ln>
          <a:noFill/>
        </a:ln>
        <a:effectLst/>
      </c:spPr>
      <c:txPr>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endParaRPr lang="ru-RU"/>
        </a:p>
      </c:txPr>
    </c:title>
    <c:autoTitleDeleted val="0"/>
    <c:plotArea>
      <c:layout>
        <c:manualLayout>
          <c:layoutTarget val="inner"/>
          <c:xMode val="edge"/>
          <c:yMode val="edge"/>
          <c:x val="0.4115352143482065"/>
          <c:y val="7.407407407407407E-2"/>
          <c:w val="0.49915179352581024"/>
          <c:h val="0.83191965587634853"/>
        </c:manualLayout>
      </c:layout>
      <c:pieChart>
        <c:varyColors val="1"/>
        <c:ser>
          <c:idx val="0"/>
          <c:order val="0"/>
          <c:dPt>
            <c:idx val="0"/>
            <c:bubble3D val="0"/>
            <c:spPr>
              <a:solidFill>
                <a:schemeClr val="accent1"/>
              </a:solidFill>
              <a:ln w="19050">
                <a:solidFill>
                  <a:schemeClr val="lt1"/>
                </a:solidFill>
              </a:ln>
              <a:effectLst/>
            </c:spPr>
            <c:extLst xmlns:c16r2="http://schemas.microsoft.com/office/drawing/2015/06/chart">
              <c:ext xmlns:c16="http://schemas.microsoft.com/office/drawing/2014/chart" uri="{C3380CC4-5D6E-409C-BE32-E72D297353CC}">
                <c16:uniqueId val="{00000000-0F4A-4FC2-B1BD-DB4C1BEAC3B4}"/>
              </c:ext>
            </c:extLst>
          </c:dPt>
          <c:dPt>
            <c:idx val="1"/>
            <c:bubble3D val="0"/>
            <c:spPr>
              <a:solidFill>
                <a:schemeClr val="accent2"/>
              </a:solidFill>
              <a:ln w="19050">
                <a:solidFill>
                  <a:schemeClr val="lt1"/>
                </a:solidFill>
              </a:ln>
              <a:effectLst/>
            </c:spPr>
            <c:extLst xmlns:c16r2="http://schemas.microsoft.com/office/drawing/2015/06/chart">
              <c:ext xmlns:c16="http://schemas.microsoft.com/office/drawing/2014/chart" uri="{C3380CC4-5D6E-409C-BE32-E72D297353CC}">
                <c16:uniqueId val="{00000001-0F4A-4FC2-B1BD-DB4C1BEAC3B4}"/>
              </c:ext>
            </c:extLst>
          </c:dPt>
          <c:dPt>
            <c:idx val="2"/>
            <c:bubble3D val="0"/>
            <c:spPr>
              <a:solidFill>
                <a:schemeClr val="accent3"/>
              </a:solidFill>
              <a:ln w="19050">
                <a:solidFill>
                  <a:schemeClr val="lt1"/>
                </a:solidFill>
              </a:ln>
              <a:effectLst/>
            </c:spPr>
            <c:extLst xmlns:c16r2="http://schemas.microsoft.com/office/drawing/2015/06/chart">
              <c:ext xmlns:c16="http://schemas.microsoft.com/office/drawing/2014/chart" uri="{C3380CC4-5D6E-409C-BE32-E72D297353CC}">
                <c16:uniqueId val="{00000002-0F4A-4FC2-B1BD-DB4C1BEAC3B4}"/>
              </c:ext>
            </c:extLst>
          </c:dPt>
          <c:dLbls>
            <c:dLbl>
              <c:idx val="0"/>
              <c:layout>
                <c:manualLayout>
                  <c:x val="-0.10463188976377966"/>
                  <c:y val="-1.6105278506853241E-2"/>
                </c:manualLayout>
              </c:layout>
              <c:showLegendKey val="0"/>
              <c:showVal val="1"/>
              <c:showCatName val="0"/>
              <c:showSerName val="0"/>
              <c:showPercent val="1"/>
              <c:showBubbleSize val="0"/>
              <c:extLst xmlns:c16r2="http://schemas.microsoft.com/office/drawing/2015/06/chart">
                <c:ext xmlns:c16="http://schemas.microsoft.com/office/drawing/2014/chart" uri="{C3380CC4-5D6E-409C-BE32-E72D297353CC}">
                  <c16:uniqueId val="{00000000-0F4A-4FC2-B1BD-DB4C1BEAC3B4}"/>
                </c:ext>
                <c:ext xmlns:c15="http://schemas.microsoft.com/office/drawing/2012/chart" uri="{CE6537A1-D6FC-4f65-9D91-7224C49458BB}"/>
              </c:extLst>
            </c:dLbl>
            <c:dLbl>
              <c:idx val="2"/>
              <c:layout>
                <c:manualLayout>
                  <c:x val="-1.565509740964759E-2"/>
                  <c:y val="5.6409154741510079E-2"/>
                </c:manualLayout>
              </c:layout>
              <c:showLegendKey val="0"/>
              <c:showVal val="1"/>
              <c:showCatName val="0"/>
              <c:showSerName val="0"/>
              <c:showPercent val="1"/>
              <c:showBubbleSize val="0"/>
              <c:extLst xmlns:c16r2="http://schemas.microsoft.com/office/drawing/2015/06/chart">
                <c:ext xmlns:c16="http://schemas.microsoft.com/office/drawing/2014/chart" uri="{C3380CC4-5D6E-409C-BE32-E72D297353CC}">
                  <c16:uniqueId val="{00000002-0F4A-4FC2-B1BD-DB4C1BEAC3B4}"/>
                </c:ext>
                <c:ext xmlns:c15="http://schemas.microsoft.com/office/drawing/2012/chart" uri="{CE6537A1-D6FC-4f65-9D91-7224C49458BB}"/>
              </c:extLst>
            </c:dLbl>
            <c:spPr>
              <a:solidFill>
                <a:sysClr val="window" lastClr="FFFFFF"/>
              </a:solid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ru-RU"/>
              </a:p>
            </c:txPr>
            <c:showLegendKey val="0"/>
            <c:showVal val="1"/>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6r2="http://schemas.microsoft.com/office/drawing/2015/06/chart">
              <c:ext xmlns:c15="http://schemas.microsoft.com/office/drawing/2012/chart" uri="{CE6537A1-D6FC-4f65-9D91-7224C49458BB}"/>
            </c:extLst>
          </c:dLbls>
          <c:cat>
            <c:strRef>
              <c:f>'Расчет базового уровня'!$B$26:$D$26</c:f>
              <c:strCache>
                <c:ptCount val="3"/>
                <c:pt idx="0">
                  <c:v>Отопление и вентиляция</c:v>
                </c:pt>
                <c:pt idx="1">
                  <c:v>Горячее водоснабжение</c:v>
                </c:pt>
                <c:pt idx="2">
                  <c:v>Электроэнергия на общедомовые нужды</c:v>
                </c:pt>
              </c:strCache>
            </c:strRef>
          </c:cat>
          <c:val>
            <c:numRef>
              <c:f>'Расчет базового уровня'!$B$27:$D$27</c:f>
              <c:numCache>
                <c:formatCode>0</c:formatCode>
                <c:ptCount val="3"/>
                <c:pt idx="0">
                  <c:v>#N/A</c:v>
                </c:pt>
                <c:pt idx="1">
                  <c:v>#N/A</c:v>
                </c:pt>
                <c:pt idx="2">
                  <c:v>0</c:v>
                </c:pt>
              </c:numCache>
            </c:numRef>
          </c:val>
          <c:extLst xmlns:c16r2="http://schemas.microsoft.com/office/drawing/2015/06/chart">
            <c:ext xmlns:c16="http://schemas.microsoft.com/office/drawing/2014/chart" uri="{C3380CC4-5D6E-409C-BE32-E72D297353CC}">
              <c16:uniqueId val="{00000003-0F4A-4FC2-B1BD-DB4C1BEAC3B4}"/>
            </c:ext>
          </c:extLst>
        </c:ser>
        <c:dLbls>
          <c:showLegendKey val="0"/>
          <c:showVal val="0"/>
          <c:showCatName val="0"/>
          <c:showSerName val="0"/>
          <c:showPercent val="0"/>
          <c:showBubbleSize val="0"/>
          <c:showLeaderLines val="1"/>
        </c:dLbls>
        <c:firstSliceAng val="332"/>
      </c:pieChart>
      <c:spPr>
        <a:noFill/>
        <a:ln>
          <a:noFill/>
        </a:ln>
        <a:effectLst/>
      </c:spPr>
    </c:plotArea>
    <c:legend>
      <c:legendPos val="b"/>
      <c:layout>
        <c:manualLayout>
          <c:xMode val="edge"/>
          <c:yMode val="edge"/>
          <c:x val="1.3674233401356071E-2"/>
          <c:y val="0.50010218967493525"/>
          <c:w val="0.43867187958983822"/>
          <c:h val="0.45375349488688277"/>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ru-RU"/>
        </a:p>
      </c:txPr>
    </c:legend>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ru-RU"/>
    </a:p>
  </c:txPr>
  <c:printSettings>
    <c:headerFooter/>
    <c:pageMargins b="0.75000000000000167" l="0.70000000000000062" r="0.70000000000000062" t="0.75000000000000167"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r>
              <a:rPr lang="ru-RU" sz="1100"/>
              <a:t>Структура годового</a:t>
            </a:r>
          </a:p>
          <a:p>
            <a:pPr>
              <a:defRPr sz="1100" b="0" i="0" u="none" strike="noStrike" kern="1200" spc="0" baseline="0">
                <a:solidFill>
                  <a:schemeClr val="tx1">
                    <a:lumMod val="65000"/>
                    <a:lumOff val="35000"/>
                  </a:schemeClr>
                </a:solidFill>
                <a:latin typeface="+mn-lt"/>
                <a:ea typeface="+mn-ea"/>
                <a:cs typeface="+mn-cs"/>
              </a:defRPr>
            </a:pPr>
            <a:r>
              <a:rPr lang="ru-RU" sz="1100"/>
              <a:t> потребления</a:t>
            </a:r>
          </a:p>
          <a:p>
            <a:pPr>
              <a:defRPr sz="1100" b="0" i="0" u="none" strike="noStrike" kern="1200" spc="0" baseline="0">
                <a:solidFill>
                  <a:schemeClr val="tx1">
                    <a:lumMod val="65000"/>
                    <a:lumOff val="35000"/>
                  </a:schemeClr>
                </a:solidFill>
                <a:latin typeface="+mn-lt"/>
                <a:ea typeface="+mn-ea"/>
                <a:cs typeface="+mn-cs"/>
              </a:defRPr>
            </a:pPr>
            <a:r>
              <a:rPr lang="ru-RU" sz="1100"/>
              <a:t> энергоресурсов</a:t>
            </a:r>
          </a:p>
          <a:p>
            <a:pPr>
              <a:defRPr sz="1100" b="0" i="0" u="none" strike="noStrike" kern="1200" spc="0" baseline="0">
                <a:solidFill>
                  <a:schemeClr val="tx1">
                    <a:lumMod val="65000"/>
                    <a:lumOff val="35000"/>
                  </a:schemeClr>
                </a:solidFill>
                <a:latin typeface="+mn-lt"/>
                <a:ea typeface="+mn-ea"/>
                <a:cs typeface="+mn-cs"/>
              </a:defRPr>
            </a:pPr>
            <a:r>
              <a:rPr lang="ru-RU" sz="1100"/>
              <a:t> (фактический)</a:t>
            </a:r>
          </a:p>
        </c:rich>
      </c:tx>
      <c:layout>
        <c:manualLayout>
          <c:xMode val="edge"/>
          <c:yMode val="edge"/>
          <c:x val="0"/>
          <c:y val="3.7037037037037056E-2"/>
        </c:manualLayout>
      </c:layout>
      <c:overlay val="0"/>
      <c:spPr>
        <a:noFill/>
        <a:ln>
          <a:noFill/>
        </a:ln>
        <a:effectLst/>
      </c:spPr>
    </c:title>
    <c:autoTitleDeleted val="0"/>
    <c:plotArea>
      <c:layout>
        <c:manualLayout>
          <c:layoutTarget val="inner"/>
          <c:xMode val="edge"/>
          <c:yMode val="edge"/>
          <c:x val="0.4115352143482065"/>
          <c:y val="7.407407407407407E-2"/>
          <c:w val="0.49915179352581024"/>
          <c:h val="0.83191965587634853"/>
        </c:manualLayout>
      </c:layout>
      <c:pieChart>
        <c:varyColors val="1"/>
        <c:ser>
          <c:idx val="0"/>
          <c:order val="0"/>
          <c:dPt>
            <c:idx val="0"/>
            <c:bubble3D val="0"/>
            <c:spPr>
              <a:solidFill>
                <a:schemeClr val="accent1"/>
              </a:solidFill>
              <a:ln w="19050">
                <a:solidFill>
                  <a:schemeClr val="lt1"/>
                </a:solidFill>
              </a:ln>
              <a:effectLst/>
            </c:spPr>
            <c:extLst xmlns:c16r2="http://schemas.microsoft.com/office/drawing/2015/06/chart">
              <c:ext xmlns:c16="http://schemas.microsoft.com/office/drawing/2014/chart" uri="{C3380CC4-5D6E-409C-BE32-E72D297353CC}">
                <c16:uniqueId val="{00000000-459B-45A6-9A37-CD153786688A}"/>
              </c:ext>
            </c:extLst>
          </c:dPt>
          <c:dPt>
            <c:idx val="1"/>
            <c:bubble3D val="0"/>
            <c:spPr>
              <a:solidFill>
                <a:schemeClr val="accent2"/>
              </a:solidFill>
              <a:ln w="19050">
                <a:solidFill>
                  <a:schemeClr val="lt1"/>
                </a:solidFill>
              </a:ln>
              <a:effectLst/>
            </c:spPr>
            <c:extLst xmlns:c16r2="http://schemas.microsoft.com/office/drawing/2015/06/chart">
              <c:ext xmlns:c16="http://schemas.microsoft.com/office/drawing/2014/chart" uri="{C3380CC4-5D6E-409C-BE32-E72D297353CC}">
                <c16:uniqueId val="{00000001-459B-45A6-9A37-CD153786688A}"/>
              </c:ext>
            </c:extLst>
          </c:dPt>
          <c:dPt>
            <c:idx val="2"/>
            <c:bubble3D val="0"/>
            <c:spPr>
              <a:solidFill>
                <a:schemeClr val="accent3"/>
              </a:solidFill>
              <a:ln w="19050">
                <a:solidFill>
                  <a:schemeClr val="lt1"/>
                </a:solidFill>
              </a:ln>
              <a:effectLst/>
            </c:spPr>
            <c:extLst xmlns:c16r2="http://schemas.microsoft.com/office/drawing/2015/06/chart">
              <c:ext xmlns:c16="http://schemas.microsoft.com/office/drawing/2014/chart" uri="{C3380CC4-5D6E-409C-BE32-E72D297353CC}">
                <c16:uniqueId val="{00000002-459B-45A6-9A37-CD153786688A}"/>
              </c:ext>
            </c:extLst>
          </c:dPt>
          <c:cat>
            <c:strRef>
              <c:f>'Расчет базового уровня'!$B$26:$D$26</c:f>
              <c:strCache>
                <c:ptCount val="3"/>
                <c:pt idx="0">
                  <c:v>Отопление и вентиляция</c:v>
                </c:pt>
                <c:pt idx="1">
                  <c:v>Горячее водоснабжение</c:v>
                </c:pt>
                <c:pt idx="2">
                  <c:v>Электроэнергия на общедомовые нужды</c:v>
                </c:pt>
              </c:strCache>
            </c:strRef>
          </c:cat>
          <c:val>
            <c:numRef>
              <c:f>'Расчет базового уровня'!$B$28:$D$28</c:f>
              <c:numCache>
                <c:formatCode>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3-459B-45A6-9A37-CD153786688A}"/>
            </c:ext>
          </c:extLst>
        </c:ser>
        <c:dLbls>
          <c:showLegendKey val="0"/>
          <c:showVal val="0"/>
          <c:showCatName val="0"/>
          <c:showSerName val="0"/>
          <c:showPercent val="0"/>
          <c:showBubbleSize val="0"/>
          <c:showLeaderLines val="1"/>
        </c:dLbls>
        <c:firstSliceAng val="332"/>
      </c:pieChart>
      <c:spPr>
        <a:noFill/>
        <a:ln>
          <a:noFill/>
        </a:ln>
        <a:effectLst/>
      </c:spPr>
    </c:plotArea>
    <c:legend>
      <c:legendPos val="b"/>
      <c:layout>
        <c:manualLayout>
          <c:xMode val="edge"/>
          <c:yMode val="edge"/>
          <c:x val="2.3276039581090251E-2"/>
          <c:y val="0.46482090337572257"/>
          <c:w val="0.42866141421171766"/>
          <c:h val="0.46610472938759634"/>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ru-RU"/>
        </a:p>
      </c:txPr>
    </c:legend>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ru-RU"/>
    </a:p>
  </c:txPr>
  <c:printSettings>
    <c:headerFooter/>
    <c:pageMargins b="0.75000000000000167" l="0.70000000000000062" r="0.70000000000000062" t="0.75000000000000167"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r>
              <a:rPr lang="ru-RU" sz="1200"/>
              <a:t>Потери тепла</a:t>
            </a:r>
          </a:p>
          <a:p>
            <a:pPr>
              <a:defRPr sz="1200"/>
            </a:pPr>
            <a:r>
              <a:rPr lang="ru-RU" sz="1200"/>
              <a:t> (расчетно-нормативные)</a:t>
            </a:r>
          </a:p>
        </c:rich>
      </c:tx>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endParaRPr lang="ru-RU"/>
        </a:p>
      </c:txPr>
    </c:title>
    <c:autoTitleDeleted val="0"/>
    <c:plotArea>
      <c:layout>
        <c:manualLayout>
          <c:layoutTarget val="inner"/>
          <c:xMode val="edge"/>
          <c:yMode val="edge"/>
          <c:x val="0.30313475680404894"/>
          <c:y val="0.15498349361806843"/>
          <c:w val="0.43216873566479963"/>
          <c:h val="0.56474098390643213"/>
        </c:manualLayout>
      </c:layout>
      <c:pieChart>
        <c:varyColors val="1"/>
        <c:ser>
          <c:idx val="0"/>
          <c:order val="0"/>
          <c:dPt>
            <c:idx val="0"/>
            <c:bubble3D val="0"/>
            <c:spPr>
              <a:solidFill>
                <a:schemeClr val="accent1"/>
              </a:solidFill>
              <a:ln w="19050">
                <a:solidFill>
                  <a:schemeClr val="lt1"/>
                </a:solidFill>
              </a:ln>
              <a:effectLst/>
            </c:spPr>
            <c:extLst xmlns:c16r2="http://schemas.microsoft.com/office/drawing/2015/06/chart">
              <c:ext xmlns:c16="http://schemas.microsoft.com/office/drawing/2014/chart" uri="{C3380CC4-5D6E-409C-BE32-E72D297353CC}">
                <c16:uniqueId val="{00000000-C569-42AE-AE84-665D126B1E8B}"/>
              </c:ext>
            </c:extLst>
          </c:dPt>
          <c:dPt>
            <c:idx val="1"/>
            <c:bubble3D val="0"/>
            <c:spPr>
              <a:solidFill>
                <a:schemeClr val="accent2"/>
              </a:solidFill>
              <a:ln w="19050">
                <a:solidFill>
                  <a:schemeClr val="lt1"/>
                </a:solidFill>
              </a:ln>
              <a:effectLst/>
            </c:spPr>
            <c:extLst xmlns:c16r2="http://schemas.microsoft.com/office/drawing/2015/06/chart">
              <c:ext xmlns:c16="http://schemas.microsoft.com/office/drawing/2014/chart" uri="{C3380CC4-5D6E-409C-BE32-E72D297353CC}">
                <c16:uniqueId val="{00000001-C569-42AE-AE84-665D126B1E8B}"/>
              </c:ext>
            </c:extLst>
          </c:dPt>
          <c:dPt>
            <c:idx val="2"/>
            <c:bubble3D val="0"/>
            <c:spPr>
              <a:solidFill>
                <a:schemeClr val="accent3"/>
              </a:solidFill>
              <a:ln w="19050">
                <a:solidFill>
                  <a:schemeClr val="lt1"/>
                </a:solidFill>
              </a:ln>
              <a:effectLst/>
            </c:spPr>
            <c:extLst xmlns:c16r2="http://schemas.microsoft.com/office/drawing/2015/06/chart">
              <c:ext xmlns:c16="http://schemas.microsoft.com/office/drawing/2014/chart" uri="{C3380CC4-5D6E-409C-BE32-E72D297353CC}">
                <c16:uniqueId val="{00000002-C569-42AE-AE84-665D126B1E8B}"/>
              </c:ext>
            </c:extLst>
          </c:dPt>
          <c:dPt>
            <c:idx val="3"/>
            <c:bubble3D val="0"/>
            <c:spPr>
              <a:solidFill>
                <a:schemeClr val="accent4"/>
              </a:solidFill>
              <a:ln w="19050">
                <a:solidFill>
                  <a:schemeClr val="lt1"/>
                </a:solidFill>
              </a:ln>
              <a:effectLst/>
            </c:spPr>
            <c:extLst xmlns:c16r2="http://schemas.microsoft.com/office/drawing/2015/06/chart">
              <c:ext xmlns:c16="http://schemas.microsoft.com/office/drawing/2014/chart" uri="{C3380CC4-5D6E-409C-BE32-E72D297353CC}">
                <c16:uniqueId val="{00000003-C569-42AE-AE84-665D126B1E8B}"/>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u-RU"/>
              </a:p>
            </c:txPr>
            <c:showLegendKey val="0"/>
            <c:showVal val="0"/>
            <c:showCatName val="1"/>
            <c:showSerName val="0"/>
            <c:showPercent val="1"/>
            <c:showBubbleSize val="0"/>
            <c:showLeaderLines val="1"/>
            <c:leaderLines>
              <c:spPr>
                <a:ln w="9525" cap="flat" cmpd="sng" algn="ctr">
                  <a:solidFill>
                    <a:srgbClr val="C9C9C9"/>
                  </a:solidFill>
                  <a:round/>
                </a:ln>
                <a:effectLst/>
              </c:spPr>
            </c:leaderLines>
            <c:extLst xmlns:c16r2="http://schemas.microsoft.com/office/drawing/2015/06/chart">
              <c:ext xmlns:c15="http://schemas.microsoft.com/office/drawing/2012/chart" uri="{CE6537A1-D6FC-4f65-9D91-7224C49458BB}"/>
            </c:extLst>
          </c:dLbls>
          <c:cat>
            <c:strRef>
              <c:f>'Расчет базового уровня'!$A$79:$D$79</c:f>
              <c:strCache>
                <c:ptCount val="4"/>
                <c:pt idx="0">
                  <c:v>Трансмиссионные тепловые потери через наружные ограждающие конструкции</c:v>
                </c:pt>
                <c:pt idx="1">
                  <c:v>Инфильтрационные тепловые потери на нагрев наружного воздуха</c:v>
                </c:pt>
                <c:pt idx="2">
                  <c:v>Дополнительные тепловые потери трубопроводами системы отопления, проходящими через неотапливаемые помещения </c:v>
                </c:pt>
                <c:pt idx="3">
                  <c:v>Дополнительные тепловые потери, обусловленные неэффективным регулированием подачи тепловой энергии в систему отопления </c:v>
                </c:pt>
              </c:strCache>
            </c:strRef>
          </c:cat>
          <c:val>
            <c:numRef>
              <c:f>'Расчет базового уровня'!$A$80:$D$80</c:f>
              <c:numCache>
                <c:formatCode>0</c:formatCode>
                <c:ptCount val="4"/>
                <c:pt idx="0">
                  <c:v>#N/A</c:v>
                </c:pt>
                <c:pt idx="1">
                  <c:v>#N/A</c:v>
                </c:pt>
                <c:pt idx="2">
                  <c:v>#N/A</c:v>
                </c:pt>
                <c:pt idx="3" formatCode="0.0">
                  <c:v>0</c:v>
                </c:pt>
              </c:numCache>
            </c:numRef>
          </c:val>
          <c:extLst xmlns:c16r2="http://schemas.microsoft.com/office/drawing/2015/06/chart">
            <c:ext xmlns:c16="http://schemas.microsoft.com/office/drawing/2014/chart" uri="{C3380CC4-5D6E-409C-BE32-E72D297353CC}">
              <c16:uniqueId val="{00000004-C569-42AE-AE84-665D126B1E8B}"/>
            </c:ext>
          </c:extLst>
        </c:ser>
        <c:dLbls>
          <c:showLegendKey val="0"/>
          <c:showVal val="0"/>
          <c:showCatName val="0"/>
          <c:showSerName val="0"/>
          <c:showPercent val="0"/>
          <c:showBubbleSize val="0"/>
          <c:showLeaderLines val="1"/>
        </c:dLbls>
        <c:firstSliceAng val="15"/>
      </c:pieChart>
      <c:spPr>
        <a:noFill/>
        <a:ln>
          <a:noFill/>
        </a:ln>
        <a:effectLst/>
      </c:spPr>
    </c:plotArea>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ru-RU"/>
    </a:p>
  </c:txPr>
  <c:printSettings>
    <c:headerFooter/>
    <c:pageMargins b="0.75000000000000167" l="0.70000000000000062" r="0.70000000000000062" t="0.75000000000000167"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ru-RU"/>
              <a:t>Потребление электроэнергии на общедомовые нужды</a:t>
            </a:r>
          </a:p>
        </c:rich>
      </c:tx>
      <c:layout>
        <c:manualLayout>
          <c:xMode val="edge"/>
          <c:yMode val="edge"/>
          <c:x val="0.31133601060473398"/>
          <c:y val="0"/>
        </c:manualLayout>
      </c:layout>
      <c:overlay val="0"/>
      <c:spPr>
        <a:noFill/>
        <a:ln>
          <a:noFill/>
        </a:ln>
        <a:effectLst/>
      </c:spPr>
    </c:title>
    <c:autoTitleDeleted val="0"/>
    <c:plotArea>
      <c:layout>
        <c:manualLayout>
          <c:layoutTarget val="inner"/>
          <c:xMode val="edge"/>
          <c:yMode val="edge"/>
          <c:x val="6.1324628433209162E-2"/>
          <c:y val="0.14292541185405799"/>
          <c:w val="0.9262510299905683"/>
          <c:h val="0.37350276424702089"/>
        </c:manualLayout>
      </c:layout>
      <c:barChart>
        <c:barDir val="col"/>
        <c:grouping val="stacked"/>
        <c:varyColors val="0"/>
        <c:ser>
          <c:idx val="4"/>
          <c:order val="0"/>
          <c:tx>
            <c:strRef>
              <c:f>'Расчет базового уровня'!$G$102</c:f>
              <c:strCache>
                <c:ptCount val="1"/>
                <c:pt idx="0">
                  <c:v>освещение мест общего пользования</c:v>
                </c:pt>
              </c:strCache>
            </c:strRef>
          </c:tx>
          <c:spPr>
            <a:solidFill>
              <a:srgbClr val="FFFF00"/>
            </a:solidFill>
            <a:ln>
              <a:noFill/>
            </a:ln>
            <a:effectLst/>
          </c:spPr>
          <c:invertIfNegative val="0"/>
          <c:cat>
            <c:multiLvlStrRef>
              <c:f>'Расчет базового уровня'!$I$83:$AF$84</c:f>
              <c:multiLvlStrCache>
                <c:ptCount val="24"/>
                <c:lvl>
                  <c:pt idx="0">
                    <c:v>Расчетно-нормативное потребление</c:v>
                  </c:pt>
                  <c:pt idx="1">
                    <c:v>Фактическое потребление</c:v>
                  </c:pt>
                  <c:pt idx="2">
                    <c:v>Расчетно-нормативное потребление</c:v>
                  </c:pt>
                  <c:pt idx="3">
                    <c:v>Фактическое потребление</c:v>
                  </c:pt>
                  <c:pt idx="4">
                    <c:v>Расчетно-нормативное потребление</c:v>
                  </c:pt>
                  <c:pt idx="5">
                    <c:v>Фактическое потребление</c:v>
                  </c:pt>
                  <c:pt idx="6">
                    <c:v>Расчетно-нормативное потребление</c:v>
                  </c:pt>
                  <c:pt idx="7">
                    <c:v>Фактическое потребление</c:v>
                  </c:pt>
                  <c:pt idx="8">
                    <c:v>Расчетно-нормативное потребление</c:v>
                  </c:pt>
                  <c:pt idx="9">
                    <c:v>Фактическое потребление</c:v>
                  </c:pt>
                  <c:pt idx="10">
                    <c:v>Расчетно-нормативное потребление</c:v>
                  </c:pt>
                  <c:pt idx="11">
                    <c:v>Фактическое потребление</c:v>
                  </c:pt>
                  <c:pt idx="12">
                    <c:v>Расчетно-нормативное потребление</c:v>
                  </c:pt>
                  <c:pt idx="13">
                    <c:v>Фактическое потребление</c:v>
                  </c:pt>
                  <c:pt idx="14">
                    <c:v>Расчетно-нормативное потребление</c:v>
                  </c:pt>
                  <c:pt idx="15">
                    <c:v>Фактическое потребление</c:v>
                  </c:pt>
                  <c:pt idx="16">
                    <c:v>Расчетно-нормативное потребление</c:v>
                  </c:pt>
                  <c:pt idx="17">
                    <c:v>Фактическое потребление</c:v>
                  </c:pt>
                  <c:pt idx="18">
                    <c:v>Расчетно-нормативное потребление</c:v>
                  </c:pt>
                  <c:pt idx="19">
                    <c:v>Фактическое потребление</c:v>
                  </c:pt>
                  <c:pt idx="20">
                    <c:v>Расчетно-нормативное потребление</c:v>
                  </c:pt>
                  <c:pt idx="21">
                    <c:v>Фактическое потребление</c:v>
                  </c:pt>
                  <c:pt idx="22">
                    <c:v>Расчетно-нормативное потребление</c:v>
                  </c:pt>
                  <c:pt idx="23">
                    <c:v>Фактическое потребление</c:v>
                  </c:pt>
                </c:lvl>
                <c:lvl>
                  <c:pt idx="0">
                    <c:v>Январь</c:v>
                  </c:pt>
                  <c:pt idx="2">
                    <c:v>Февраль</c:v>
                  </c:pt>
                  <c:pt idx="4">
                    <c:v>Март</c:v>
                  </c:pt>
                  <c:pt idx="6">
                    <c:v>Апрель</c:v>
                  </c:pt>
                  <c:pt idx="8">
                    <c:v>Май</c:v>
                  </c:pt>
                  <c:pt idx="10">
                    <c:v>Июнь</c:v>
                  </c:pt>
                  <c:pt idx="12">
                    <c:v>Июль</c:v>
                  </c:pt>
                  <c:pt idx="14">
                    <c:v>Август</c:v>
                  </c:pt>
                  <c:pt idx="16">
                    <c:v>Сентябрь</c:v>
                  </c:pt>
                  <c:pt idx="18">
                    <c:v>Октябрь</c:v>
                  </c:pt>
                  <c:pt idx="20">
                    <c:v>Ноябрь</c:v>
                  </c:pt>
                  <c:pt idx="22">
                    <c:v>Декабрь</c:v>
                  </c:pt>
                </c:lvl>
              </c:multiLvlStrCache>
            </c:multiLvlStrRef>
          </c:cat>
          <c:val>
            <c:numRef>
              <c:f>'Расчет базового уровня'!$I$102:$AF$102</c:f>
              <c:numCache>
                <c:formatCode>General</c:formatCode>
                <c:ptCount val="24"/>
                <c:pt idx="0" formatCode="0">
                  <c:v>0</c:v>
                </c:pt>
                <c:pt idx="1">
                  <c:v>0</c:v>
                </c:pt>
                <c:pt idx="2" formatCode="0">
                  <c:v>0</c:v>
                </c:pt>
                <c:pt idx="3">
                  <c:v>0</c:v>
                </c:pt>
                <c:pt idx="4" formatCode="0">
                  <c:v>0</c:v>
                </c:pt>
                <c:pt idx="5">
                  <c:v>0</c:v>
                </c:pt>
                <c:pt idx="6" formatCode="0">
                  <c:v>0</c:v>
                </c:pt>
                <c:pt idx="7">
                  <c:v>0</c:v>
                </c:pt>
                <c:pt idx="8" formatCode="0">
                  <c:v>0</c:v>
                </c:pt>
                <c:pt idx="9">
                  <c:v>0</c:v>
                </c:pt>
                <c:pt idx="10" formatCode="0">
                  <c:v>0</c:v>
                </c:pt>
                <c:pt idx="11">
                  <c:v>0</c:v>
                </c:pt>
                <c:pt idx="12" formatCode="0">
                  <c:v>0</c:v>
                </c:pt>
                <c:pt idx="13">
                  <c:v>0</c:v>
                </c:pt>
                <c:pt idx="14" formatCode="0">
                  <c:v>0</c:v>
                </c:pt>
                <c:pt idx="15">
                  <c:v>0</c:v>
                </c:pt>
                <c:pt idx="16" formatCode="0">
                  <c:v>0</c:v>
                </c:pt>
                <c:pt idx="17">
                  <c:v>0</c:v>
                </c:pt>
                <c:pt idx="18" formatCode="0">
                  <c:v>0</c:v>
                </c:pt>
                <c:pt idx="19">
                  <c:v>0</c:v>
                </c:pt>
                <c:pt idx="20" formatCode="0">
                  <c:v>0</c:v>
                </c:pt>
                <c:pt idx="21">
                  <c:v>0</c:v>
                </c:pt>
                <c:pt idx="22" formatCode="0">
                  <c:v>0</c:v>
                </c:pt>
                <c:pt idx="23">
                  <c:v>0</c:v>
                </c:pt>
              </c:numCache>
            </c:numRef>
          </c:val>
          <c:extLst xmlns:c16r2="http://schemas.microsoft.com/office/drawing/2015/06/chart">
            <c:ext xmlns:c16="http://schemas.microsoft.com/office/drawing/2014/chart" uri="{C3380CC4-5D6E-409C-BE32-E72D297353CC}">
              <c16:uniqueId val="{00000000-025A-4751-AC9B-EAC4A36C1010}"/>
            </c:ext>
          </c:extLst>
        </c:ser>
        <c:ser>
          <c:idx val="0"/>
          <c:order val="1"/>
          <c:tx>
            <c:strRef>
              <c:f>'Расчет базового уровня'!$G$104</c:f>
              <c:strCache>
                <c:ptCount val="1"/>
                <c:pt idx="0">
                  <c:v>лифтовое оборудование</c:v>
                </c:pt>
              </c:strCache>
            </c:strRef>
          </c:tx>
          <c:spPr>
            <a:solidFill>
              <a:srgbClr val="FFC000"/>
            </a:solidFill>
            <a:ln>
              <a:noFill/>
            </a:ln>
            <a:effectLst/>
          </c:spPr>
          <c:invertIfNegative val="0"/>
          <c:val>
            <c:numRef>
              <c:f>'Расчет базового уровня'!$I$104:$AF$104</c:f>
              <c:numCache>
                <c:formatCode>0.0</c:formatCode>
                <c:ptCount val="2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numCache>
            </c:numRef>
          </c:val>
          <c:extLst xmlns:c16r2="http://schemas.microsoft.com/office/drawing/2015/06/chart">
            <c:ext xmlns:c16="http://schemas.microsoft.com/office/drawing/2014/chart" uri="{C3380CC4-5D6E-409C-BE32-E72D297353CC}">
              <c16:uniqueId val="{00000001-025A-4751-AC9B-EAC4A36C1010}"/>
            </c:ext>
          </c:extLst>
        </c:ser>
        <c:ser>
          <c:idx val="1"/>
          <c:order val="2"/>
          <c:tx>
            <c:strRef>
              <c:f>'Расчет базового уровня'!$G$106</c:f>
              <c:strCache>
                <c:ptCount val="1"/>
                <c:pt idx="0">
                  <c:v>насосное оборудование</c:v>
                </c:pt>
              </c:strCache>
            </c:strRef>
          </c:tx>
          <c:spPr>
            <a:solidFill>
              <a:srgbClr val="0070C0"/>
            </a:solidFill>
            <a:ln>
              <a:noFill/>
            </a:ln>
            <a:effectLst/>
          </c:spPr>
          <c:invertIfNegative val="0"/>
          <c:val>
            <c:numRef>
              <c:f>'Расчет базового уровня'!$I$106:$AF$106</c:f>
              <c:numCache>
                <c:formatCode>General</c:formatCode>
                <c:ptCount val="24"/>
                <c:pt idx="0" formatCode="0">
                  <c:v>#N/A</c:v>
                </c:pt>
                <c:pt idx="1">
                  <c:v>0</c:v>
                </c:pt>
                <c:pt idx="2" formatCode="0">
                  <c:v>#N/A</c:v>
                </c:pt>
                <c:pt idx="3">
                  <c:v>0</c:v>
                </c:pt>
                <c:pt idx="4" formatCode="0">
                  <c:v>#N/A</c:v>
                </c:pt>
                <c:pt idx="5">
                  <c:v>0</c:v>
                </c:pt>
                <c:pt idx="6" formatCode="0">
                  <c:v>#N/A</c:v>
                </c:pt>
                <c:pt idx="7">
                  <c:v>0</c:v>
                </c:pt>
                <c:pt idx="8" formatCode="0">
                  <c:v>#N/A</c:v>
                </c:pt>
                <c:pt idx="9">
                  <c:v>0</c:v>
                </c:pt>
                <c:pt idx="10" formatCode="0">
                  <c:v>#N/A</c:v>
                </c:pt>
                <c:pt idx="11">
                  <c:v>0</c:v>
                </c:pt>
                <c:pt idx="12" formatCode="0">
                  <c:v>#N/A</c:v>
                </c:pt>
                <c:pt idx="13">
                  <c:v>0</c:v>
                </c:pt>
                <c:pt idx="14" formatCode="0">
                  <c:v>#N/A</c:v>
                </c:pt>
                <c:pt idx="15">
                  <c:v>0</c:v>
                </c:pt>
                <c:pt idx="16" formatCode="0">
                  <c:v>#N/A</c:v>
                </c:pt>
                <c:pt idx="17">
                  <c:v>0</c:v>
                </c:pt>
                <c:pt idx="18" formatCode="0">
                  <c:v>#N/A</c:v>
                </c:pt>
                <c:pt idx="19">
                  <c:v>0</c:v>
                </c:pt>
                <c:pt idx="20" formatCode="0">
                  <c:v>#N/A</c:v>
                </c:pt>
                <c:pt idx="21">
                  <c:v>0</c:v>
                </c:pt>
                <c:pt idx="22" formatCode="0.0">
                  <c:v>#N/A</c:v>
                </c:pt>
                <c:pt idx="23">
                  <c:v>0</c:v>
                </c:pt>
              </c:numCache>
            </c:numRef>
          </c:val>
          <c:extLst xmlns:c16r2="http://schemas.microsoft.com/office/drawing/2015/06/chart">
            <c:ext xmlns:c16="http://schemas.microsoft.com/office/drawing/2014/chart" uri="{C3380CC4-5D6E-409C-BE32-E72D297353CC}">
              <c16:uniqueId val="{00000002-025A-4751-AC9B-EAC4A36C1010}"/>
            </c:ext>
          </c:extLst>
        </c:ser>
        <c:ser>
          <c:idx val="2"/>
          <c:order val="3"/>
          <c:tx>
            <c:strRef>
              <c:f>'Расчет базового уровня'!$G$111</c:f>
              <c:strCache>
                <c:ptCount val="1"/>
                <c:pt idx="0">
                  <c:v>прочее энергетическое оборудование </c:v>
                </c:pt>
              </c:strCache>
            </c:strRef>
          </c:tx>
          <c:spPr>
            <a:solidFill>
              <a:schemeClr val="accent3"/>
            </a:solidFill>
            <a:ln>
              <a:noFill/>
            </a:ln>
            <a:effectLst/>
          </c:spPr>
          <c:invertIfNegative val="0"/>
          <c:val>
            <c:numRef>
              <c:f>'Расчет базового уровня'!$I$111:$AF$111</c:f>
              <c:numCache>
                <c:formatCode>General</c:formatCode>
                <c:ptCount val="2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numCache>
            </c:numRef>
          </c:val>
          <c:extLst xmlns:c16r2="http://schemas.microsoft.com/office/drawing/2015/06/chart">
            <c:ext xmlns:c16="http://schemas.microsoft.com/office/drawing/2014/chart" uri="{C3380CC4-5D6E-409C-BE32-E72D297353CC}">
              <c16:uniqueId val="{00000003-025A-4751-AC9B-EAC4A36C1010}"/>
            </c:ext>
          </c:extLst>
        </c:ser>
        <c:dLbls>
          <c:showLegendKey val="0"/>
          <c:showVal val="0"/>
          <c:showCatName val="0"/>
          <c:showSerName val="0"/>
          <c:showPercent val="0"/>
          <c:showBubbleSize val="0"/>
        </c:dLbls>
        <c:gapWidth val="59"/>
        <c:overlap val="100"/>
        <c:axId val="1353183328"/>
        <c:axId val="1353183888"/>
      </c:barChart>
      <c:catAx>
        <c:axId val="1353183328"/>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Times New Roman" pitchFamily="18" charset="0"/>
                <a:ea typeface="+mn-ea"/>
                <a:cs typeface="Times New Roman" pitchFamily="18" charset="0"/>
              </a:defRPr>
            </a:pPr>
            <a:endParaRPr lang="ru-RU"/>
          </a:p>
        </c:txPr>
        <c:crossAx val="1353183888"/>
        <c:crosses val="autoZero"/>
        <c:auto val="1"/>
        <c:lblAlgn val="ctr"/>
        <c:lblOffset val="100"/>
        <c:noMultiLvlLbl val="0"/>
      </c:catAx>
      <c:valAx>
        <c:axId val="135318388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ru-RU"/>
                  <a:t>кВтч</a:t>
                </a:r>
              </a:p>
            </c:rich>
          </c:tx>
          <c:layout>
            <c:manualLayout>
              <c:xMode val="edge"/>
              <c:yMode val="edge"/>
              <c:x val="1.7072508775902381E-2"/>
              <c:y val="0.26922554487873679"/>
            </c:manualLayout>
          </c:layout>
          <c:overlay val="0"/>
          <c:spPr>
            <a:noFill/>
            <a:ln>
              <a:noFill/>
            </a:ln>
            <a:effectLst/>
          </c:sp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crossAx val="1353183328"/>
        <c:crosses val="autoZero"/>
        <c:crossBetween val="between"/>
      </c:valAx>
      <c:spPr>
        <a:noFill/>
        <a:ln>
          <a:noFill/>
        </a:ln>
        <a:effectLst/>
      </c:spPr>
    </c:plotArea>
    <c:legend>
      <c:legendPos val="t"/>
      <c:layout>
        <c:manualLayout>
          <c:xMode val="edge"/>
          <c:yMode val="edge"/>
          <c:x val="0.27250911260948585"/>
          <c:y val="6.5911857167845769E-2"/>
          <c:w val="0.45272279924422287"/>
          <c:h val="8.1937730141188811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ru-RU"/>
    </a:p>
  </c:txPr>
  <c:printSettings>
    <c:headerFooter/>
    <c:pageMargins b="0.75000000000000167" l="0.70000000000000062" r="0.70000000000000062" t="0.75000000000000167" header="0.30000000000000032" footer="0.30000000000000032"/>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trlProps/ctrlProp1.xml><?xml version="1.0" encoding="utf-8"?>
<formControlPr xmlns="http://schemas.microsoft.com/office/spreadsheetml/2009/9/main" objectType="CheckBox" fmlaLink="списки!$C$31" lockText="1" noThreeD="1"/>
</file>

<file path=xl/ctrlProps/ctrlProp10.xml><?xml version="1.0" encoding="utf-8"?>
<formControlPr xmlns="http://schemas.microsoft.com/office/spreadsheetml/2009/9/main" objectType="Radio" lockText="1" noThreeD="1"/>
</file>

<file path=xl/ctrlProps/ctrlProp11.xml><?xml version="1.0" encoding="utf-8"?>
<formControlPr xmlns="http://schemas.microsoft.com/office/spreadsheetml/2009/9/main" objectType="CheckBox" fmlaLink="списки!$C$33" lockText="1" noThreeD="1"/>
</file>

<file path=xl/ctrlProps/ctrlProp12.xml><?xml version="1.0" encoding="utf-8"?>
<formControlPr xmlns="http://schemas.microsoft.com/office/spreadsheetml/2009/9/main" objectType="CheckBox" fmlaLink="списки!$C$34" lockText="1" noThreeD="1"/>
</file>

<file path=xl/ctrlProps/ctrlProp13.xml><?xml version="1.0" encoding="utf-8"?>
<formControlPr xmlns="http://schemas.microsoft.com/office/spreadsheetml/2009/9/main" objectType="Radio" checked="Checked" firstButton="1" fmlaLink="'Система отопления'!$F$8" lockText="1" noThreeD="1"/>
</file>

<file path=xl/ctrlProps/ctrlProp14.xml><?xml version="1.0" encoding="utf-8"?>
<formControlPr xmlns="http://schemas.microsoft.com/office/spreadsheetml/2009/9/main" objectType="Radio" lockText="1" noThreeD="1"/>
</file>

<file path=xl/ctrlProps/ctrlProp15.xml><?xml version="1.0" encoding="utf-8"?>
<formControlPr xmlns="http://schemas.microsoft.com/office/spreadsheetml/2009/9/main" objectType="GBox" noThreeD="1"/>
</file>

<file path=xl/ctrlProps/ctrlProp16.xml><?xml version="1.0" encoding="utf-8"?>
<formControlPr xmlns="http://schemas.microsoft.com/office/spreadsheetml/2009/9/main" objectType="Radio" checked="Checked" firstButton="1" fmlaLink="'Система ГВС'!$F$3" lockText="1" noThreeD="1"/>
</file>

<file path=xl/ctrlProps/ctrlProp17.xml><?xml version="1.0" encoding="utf-8"?>
<formControlPr xmlns="http://schemas.microsoft.com/office/spreadsheetml/2009/9/main" objectType="Radio" lockText="1" noThreeD="1"/>
</file>

<file path=xl/ctrlProps/ctrlProp18.xml><?xml version="1.0" encoding="utf-8"?>
<formControlPr xmlns="http://schemas.microsoft.com/office/spreadsheetml/2009/9/main" objectType="GBox" noThreeD="1"/>
</file>

<file path=xl/ctrlProps/ctrlProp19.xml><?xml version="1.0" encoding="utf-8"?>
<formControlPr xmlns="http://schemas.microsoft.com/office/spreadsheetml/2009/9/main" objectType="Radio" firstButton="1" fmlaLink="'Система ГВС'!$G$18" lockText="1" noThreeD="1"/>
</file>

<file path=xl/ctrlProps/ctrlProp2.xml><?xml version="1.0" encoding="utf-8"?>
<formControlPr xmlns="http://schemas.microsoft.com/office/spreadsheetml/2009/9/main" objectType="CheckBox" fmlaLink="списки!$C$32" lockText="1" noThreeD="1"/>
</file>

<file path=xl/ctrlProps/ctrlProp20.xml><?xml version="1.0" encoding="utf-8"?>
<formControlPr xmlns="http://schemas.microsoft.com/office/spreadsheetml/2009/9/main" objectType="Radio" checked="Checked" lockText="1" noThreeD="1"/>
</file>

<file path=xl/ctrlProps/ctrlProp21.xml><?xml version="1.0" encoding="utf-8"?>
<formControlPr xmlns="http://schemas.microsoft.com/office/spreadsheetml/2009/9/main" objectType="GBox" noThreeD="1"/>
</file>

<file path=xl/ctrlProps/ctrlProp22.xml><?xml version="1.0" encoding="utf-8"?>
<formControlPr xmlns="http://schemas.microsoft.com/office/spreadsheetml/2009/9/main" objectType="Radio" firstButton="1" fmlaLink="'Система ГВС'!$E$4" lockText="1" noThreeD="1"/>
</file>

<file path=xl/ctrlProps/ctrlProp23.xml><?xml version="1.0" encoding="utf-8"?>
<formControlPr xmlns="http://schemas.microsoft.com/office/spreadsheetml/2009/9/main" objectType="Radio" checked="Checked" lockText="1" noThreeD="1"/>
</file>

<file path=xl/ctrlProps/ctrlProp24.xml><?xml version="1.0" encoding="utf-8"?>
<formControlPr xmlns="http://schemas.microsoft.com/office/spreadsheetml/2009/9/main" objectType="Radio" lockText="1" noThreeD="1"/>
</file>

<file path=xl/ctrlProps/ctrlProp25.xml><?xml version="1.0" encoding="utf-8"?>
<formControlPr xmlns="http://schemas.microsoft.com/office/spreadsheetml/2009/9/main" objectType="Radio" lockText="1" noThreeD="1"/>
</file>

<file path=xl/ctrlProps/ctrlProp26.xml><?xml version="1.0" encoding="utf-8"?>
<formControlPr xmlns="http://schemas.microsoft.com/office/spreadsheetml/2009/9/main" objectType="CheckBox" fmlaLink="'Система ГВС'!$G$17" lockText="1" noThreeD="1"/>
</file>

<file path=xl/ctrlProps/ctrlProp27.xml><?xml version="1.0" encoding="utf-8"?>
<formControlPr xmlns="http://schemas.microsoft.com/office/spreadsheetml/2009/9/main" objectType="Radio" lockText="1" noThreeD="1"/>
</file>

<file path=xl/ctrlProps/ctrlProp28.xml><?xml version="1.0" encoding="utf-8"?>
<formControlPr xmlns="http://schemas.microsoft.com/office/spreadsheetml/2009/9/main" objectType="CheckBox" fmlaLink="списки!$C$35" lockText="1" noThreeD="1"/>
</file>

<file path=xl/ctrlProps/ctrlProp29.xml><?xml version="1.0" encoding="utf-8"?>
<formControlPr xmlns="http://schemas.microsoft.com/office/spreadsheetml/2009/9/main" objectType="CheckBox" fmlaLink="списки!$C$36" lockText="1" noThreeD="1"/>
</file>

<file path=xl/ctrlProps/ctrlProp3.xml><?xml version="1.0" encoding="utf-8"?>
<formControlPr xmlns="http://schemas.microsoft.com/office/spreadsheetml/2009/9/main" objectType="CheckBox" fmlaLink="'Система ГВС'!$G$15" lockText="1" noThreeD="1"/>
</file>

<file path=xl/ctrlProps/ctrlProp30.xml><?xml version="1.0" encoding="utf-8"?>
<formControlPr xmlns="http://schemas.microsoft.com/office/spreadsheetml/2009/9/main" objectType="CheckBox" fmlaLink="списки!$C$37" lockText="1" noThreeD="1"/>
</file>

<file path=xl/ctrlProps/ctrlProp31.xml><?xml version="1.0" encoding="utf-8"?>
<formControlPr xmlns="http://schemas.microsoft.com/office/spreadsheetml/2009/9/main" objectType="CheckBox" fmlaLink="списки!$C$40" lockText="1" noThreeD="1"/>
</file>

<file path=xl/ctrlProps/ctrlProp32.xml><?xml version="1.0" encoding="utf-8"?>
<formControlPr xmlns="http://schemas.microsoft.com/office/spreadsheetml/2009/9/main" objectType="CheckBox" fmlaLink="списки!$C$41" lockText="1" noThreeD="1"/>
</file>

<file path=xl/ctrlProps/ctrlProp33.xml><?xml version="1.0" encoding="utf-8"?>
<formControlPr xmlns="http://schemas.microsoft.com/office/spreadsheetml/2009/9/main" objectType="CheckBox" fmlaLink="списки!$C$42" lockText="1" noThreeD="1"/>
</file>

<file path=xl/ctrlProps/ctrlProp34.xml><?xml version="1.0" encoding="utf-8"?>
<formControlPr xmlns="http://schemas.microsoft.com/office/spreadsheetml/2009/9/main" objectType="CheckBox" fmlaLink="списки!$C$43" lockText="1" noThreeD="1"/>
</file>

<file path=xl/ctrlProps/ctrlProp35.xml><?xml version="1.0" encoding="utf-8"?>
<formControlPr xmlns="http://schemas.microsoft.com/office/spreadsheetml/2009/9/main" objectType="CheckBox" fmlaLink="списки!$C$44" lockText="1" noThreeD="1"/>
</file>

<file path=xl/ctrlProps/ctrlProp36.xml><?xml version="1.0" encoding="utf-8"?>
<formControlPr xmlns="http://schemas.microsoft.com/office/spreadsheetml/2009/9/main" objectType="CheckBox" fmlaLink="списки!$C$45" lockText="1" noThreeD="1"/>
</file>

<file path=xl/ctrlProps/ctrlProp37.xml><?xml version="1.0" encoding="utf-8"?>
<formControlPr xmlns="http://schemas.microsoft.com/office/spreadsheetml/2009/9/main" objectType="Radio" lockText="1" noThreeD="1"/>
</file>

<file path=xl/ctrlProps/ctrlProp38.xml><?xml version="1.0" encoding="utf-8"?>
<formControlPr xmlns="http://schemas.microsoft.com/office/spreadsheetml/2009/9/main" objectType="CheckBox" fmlaLink="$AC$24" lockText="1" noThreeD="1"/>
</file>

<file path=xl/ctrlProps/ctrlProp39.xml><?xml version="1.0" encoding="utf-8"?>
<formControlPr xmlns="http://schemas.microsoft.com/office/spreadsheetml/2009/9/main" objectType="CheckBox" fmlaLink="$AC$14" lockText="1" noThreeD="1"/>
</file>

<file path=xl/ctrlProps/ctrlProp4.xml><?xml version="1.0" encoding="utf-8"?>
<formControlPr xmlns="http://schemas.microsoft.com/office/spreadsheetml/2009/9/main" objectType="CheckBox" fmlaLink="'Система ГВС'!$G$16" lockText="1" noThreeD="1"/>
</file>

<file path=xl/ctrlProps/ctrlProp40.xml><?xml version="1.0" encoding="utf-8"?>
<formControlPr xmlns="http://schemas.microsoft.com/office/spreadsheetml/2009/9/main" objectType="CheckBox" fmlaLink="$AC$12" lockText="1" noThreeD="1"/>
</file>

<file path=xl/ctrlProps/ctrlProp41.xml><?xml version="1.0" encoding="utf-8"?>
<formControlPr xmlns="http://schemas.microsoft.com/office/spreadsheetml/2009/9/main" objectType="CheckBox" fmlaLink="$AC$73" lockText="1" noThreeD="1"/>
</file>

<file path=xl/ctrlProps/ctrlProp42.xml><?xml version="1.0" encoding="utf-8"?>
<formControlPr xmlns="http://schemas.microsoft.com/office/spreadsheetml/2009/9/main" objectType="CheckBox" fmlaLink="$AC$32" lockText="1" noThreeD="1"/>
</file>

<file path=xl/ctrlProps/ctrlProp43.xml><?xml version="1.0" encoding="utf-8"?>
<formControlPr xmlns="http://schemas.microsoft.com/office/spreadsheetml/2009/9/main" objectType="CheckBox" fmlaLink="$AC$34" lockText="1" noThreeD="1"/>
</file>

<file path=xl/ctrlProps/ctrlProp44.xml><?xml version="1.0" encoding="utf-8"?>
<formControlPr xmlns="http://schemas.microsoft.com/office/spreadsheetml/2009/9/main" objectType="CheckBox" fmlaLink="$AC$37" lockText="1" noThreeD="1"/>
</file>

<file path=xl/ctrlProps/ctrlProp45.xml><?xml version="1.0" encoding="utf-8"?>
<formControlPr xmlns="http://schemas.microsoft.com/office/spreadsheetml/2009/9/main" objectType="CheckBox" fmlaLink="$AC$74" lockText="1" noThreeD="1"/>
</file>

<file path=xl/ctrlProps/ctrlProp46.xml><?xml version="1.0" encoding="utf-8"?>
<formControlPr xmlns="http://schemas.microsoft.com/office/spreadsheetml/2009/9/main" objectType="CheckBox" fmlaLink="$AC$76" lockText="1" noThreeD="1"/>
</file>

<file path=xl/ctrlProps/ctrlProp47.xml><?xml version="1.0" encoding="utf-8"?>
<formControlPr xmlns="http://schemas.microsoft.com/office/spreadsheetml/2009/9/main" objectType="CheckBox" fmlaLink="$AC$43" lockText="1" noThreeD="1"/>
</file>

<file path=xl/ctrlProps/ctrlProp48.xml><?xml version="1.0" encoding="utf-8"?>
<formControlPr xmlns="http://schemas.microsoft.com/office/spreadsheetml/2009/9/main" objectType="CheckBox" fmlaLink="$AC$35" lockText="1" noThreeD="1"/>
</file>

<file path=xl/ctrlProps/ctrlProp49.xml><?xml version="1.0" encoding="utf-8"?>
<formControlPr xmlns="http://schemas.microsoft.com/office/spreadsheetml/2009/9/main" objectType="CheckBox" fmlaLink="$AC$38" lockText="1" noThreeD="1"/>
</file>

<file path=xl/ctrlProps/ctrlProp5.xml><?xml version="1.0" encoding="utf-8"?>
<formControlPr xmlns="http://schemas.microsoft.com/office/spreadsheetml/2009/9/main" objectType="CheckBox" fmlaLink="'Система отопления'!$G$11" lockText="1" noThreeD="1"/>
</file>

<file path=xl/ctrlProps/ctrlProp50.xml><?xml version="1.0" encoding="utf-8"?>
<formControlPr xmlns="http://schemas.microsoft.com/office/spreadsheetml/2009/9/main" objectType="CheckBox" fmlaLink="$AC$39" lockText="1" noThreeD="1"/>
</file>

<file path=xl/ctrlProps/ctrlProp51.xml><?xml version="1.0" encoding="utf-8"?>
<formControlPr xmlns="http://schemas.microsoft.com/office/spreadsheetml/2009/9/main" objectType="CheckBox" fmlaLink="$AC$55" lockText="1" noThreeD="1"/>
</file>

<file path=xl/ctrlProps/ctrlProp52.xml><?xml version="1.0" encoding="utf-8"?>
<formControlPr xmlns="http://schemas.microsoft.com/office/spreadsheetml/2009/9/main" objectType="CheckBox" fmlaLink="$AC$56" lockText="1" noThreeD="1"/>
</file>

<file path=xl/ctrlProps/ctrlProp53.xml><?xml version="1.0" encoding="utf-8"?>
<formControlPr xmlns="http://schemas.microsoft.com/office/spreadsheetml/2009/9/main" objectType="CheckBox" fmlaLink="$AC$48" lockText="1" noThreeD="1"/>
</file>

<file path=xl/ctrlProps/ctrlProp54.xml><?xml version="1.0" encoding="utf-8"?>
<formControlPr xmlns="http://schemas.microsoft.com/office/spreadsheetml/2009/9/main" objectType="CheckBox" fmlaLink="$AC$52" lockText="1" noThreeD="1"/>
</file>

<file path=xl/ctrlProps/ctrlProp55.xml><?xml version="1.0" encoding="utf-8"?>
<formControlPr xmlns="http://schemas.microsoft.com/office/spreadsheetml/2009/9/main" objectType="CheckBox" fmlaLink="$AC$49" lockText="1" noThreeD="1"/>
</file>

<file path=xl/ctrlProps/ctrlProp56.xml><?xml version="1.0" encoding="utf-8"?>
<formControlPr xmlns="http://schemas.microsoft.com/office/spreadsheetml/2009/9/main" objectType="CheckBox" fmlaLink="$AC$50" lockText="1" noThreeD="1"/>
</file>

<file path=xl/ctrlProps/ctrlProp57.xml><?xml version="1.0" encoding="utf-8"?>
<formControlPr xmlns="http://schemas.microsoft.com/office/spreadsheetml/2009/9/main" objectType="CheckBox" fmlaLink="$AC$44" lockText="1" noThreeD="1"/>
</file>

<file path=xl/ctrlProps/ctrlProp58.xml><?xml version="1.0" encoding="utf-8"?>
<formControlPr xmlns="http://schemas.microsoft.com/office/spreadsheetml/2009/9/main" objectType="CheckBox" fmlaLink="$AC$45" lockText="1" noThreeD="1"/>
</file>

<file path=xl/ctrlProps/ctrlProp59.xml><?xml version="1.0" encoding="utf-8"?>
<formControlPr xmlns="http://schemas.microsoft.com/office/spreadsheetml/2009/9/main" objectType="CheckBox" fmlaLink="$AC$9" lockText="1" noThreeD="1"/>
</file>

<file path=xl/ctrlProps/ctrlProp6.xml><?xml version="1.0" encoding="utf-8"?>
<formControlPr xmlns="http://schemas.microsoft.com/office/spreadsheetml/2009/9/main" objectType="GBox" noThreeD="1"/>
</file>

<file path=xl/ctrlProps/ctrlProp60.xml><?xml version="1.0" encoding="utf-8"?>
<formControlPr xmlns="http://schemas.microsoft.com/office/spreadsheetml/2009/9/main" objectType="CheckBox" fmlaLink="$AC$20" lockText="1" noThreeD="1"/>
</file>

<file path=xl/ctrlProps/ctrlProp61.xml><?xml version="1.0" encoding="utf-8"?>
<formControlPr xmlns="http://schemas.microsoft.com/office/spreadsheetml/2009/9/main" objectType="CheckBox" fmlaLink="$AC$27" lockText="1" noThreeD="1"/>
</file>

<file path=xl/ctrlProps/ctrlProp62.xml><?xml version="1.0" encoding="utf-8"?>
<formControlPr xmlns="http://schemas.microsoft.com/office/spreadsheetml/2009/9/main" objectType="CheckBox" fmlaLink="$AC$62" lockText="1" noThreeD="1"/>
</file>

<file path=xl/ctrlProps/ctrlProp63.xml><?xml version="1.0" encoding="utf-8"?>
<formControlPr xmlns="http://schemas.microsoft.com/office/spreadsheetml/2009/9/main" objectType="CheckBox" fmlaLink="$AC$67" lockText="1" noThreeD="1"/>
</file>

<file path=xl/ctrlProps/ctrlProp64.xml><?xml version="1.0" encoding="utf-8"?>
<formControlPr xmlns="http://schemas.microsoft.com/office/spreadsheetml/2009/9/main" objectType="CheckBox" fmlaLink="$AC$58" lockText="1" noThreeD="1"/>
</file>

<file path=xl/ctrlProps/ctrlProp7.xml><?xml version="1.0" encoding="utf-8"?>
<formControlPr xmlns="http://schemas.microsoft.com/office/spreadsheetml/2009/9/main" objectType="GBox" noThreeD="1"/>
</file>

<file path=xl/ctrlProps/ctrlProp8.xml><?xml version="1.0" encoding="utf-8"?>
<formControlPr xmlns="http://schemas.microsoft.com/office/spreadsheetml/2009/9/main" objectType="Radio" checked="Checked" firstButton="1" fmlaLink="'Система отопления'!$F$3" lockText="1" noThreeD="1"/>
</file>

<file path=xl/ctrlProps/ctrlProp9.xml><?xml version="1.0" encoding="utf-8"?>
<formControlPr xmlns="http://schemas.microsoft.com/office/spreadsheetml/2009/9/main" objectType="Radio"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8" Type="http://schemas.openxmlformats.org/officeDocument/2006/relationships/chart" Target="../charts/chart9.xml"/><Relationship Id="rId3" Type="http://schemas.openxmlformats.org/officeDocument/2006/relationships/chart" Target="../charts/chart4.xml"/><Relationship Id="rId7" Type="http://schemas.openxmlformats.org/officeDocument/2006/relationships/chart" Target="../charts/chart8.xml"/><Relationship Id="rId2" Type="http://schemas.openxmlformats.org/officeDocument/2006/relationships/chart" Target="../charts/chart3.xml"/><Relationship Id="rId1" Type="http://schemas.openxmlformats.org/officeDocument/2006/relationships/chart" Target="../charts/chart2.xml"/><Relationship Id="rId6" Type="http://schemas.openxmlformats.org/officeDocument/2006/relationships/chart" Target="../charts/chart7.xml"/><Relationship Id="rId5" Type="http://schemas.openxmlformats.org/officeDocument/2006/relationships/chart" Target="../charts/chart6.xml"/><Relationship Id="rId4" Type="http://schemas.openxmlformats.org/officeDocument/2006/relationships/chart" Target="../charts/chart5.xml"/><Relationship Id="rId9" Type="http://schemas.openxmlformats.org/officeDocument/2006/relationships/chart" Target="../charts/chart10.xml"/></Relationships>
</file>

<file path=xl/drawings/_rels/drawing5.xml.rels><?xml version="1.0" encoding="UTF-8" standalone="yes"?>
<Relationships xmlns="http://schemas.openxmlformats.org/package/2006/relationships"><Relationship Id="rId8" Type="http://schemas.openxmlformats.org/officeDocument/2006/relationships/chart" Target="../charts/chart18.xml"/><Relationship Id="rId3" Type="http://schemas.openxmlformats.org/officeDocument/2006/relationships/chart" Target="../charts/chart13.xml"/><Relationship Id="rId7" Type="http://schemas.openxmlformats.org/officeDocument/2006/relationships/chart" Target="../charts/chart17.xml"/><Relationship Id="rId2" Type="http://schemas.openxmlformats.org/officeDocument/2006/relationships/chart" Target="../charts/chart12.xml"/><Relationship Id="rId1" Type="http://schemas.openxmlformats.org/officeDocument/2006/relationships/chart" Target="../charts/chart11.xml"/><Relationship Id="rId6" Type="http://schemas.openxmlformats.org/officeDocument/2006/relationships/chart" Target="../charts/chart16.xml"/><Relationship Id="rId5" Type="http://schemas.openxmlformats.org/officeDocument/2006/relationships/chart" Target="../charts/chart15.xml"/><Relationship Id="rId4" Type="http://schemas.openxmlformats.org/officeDocument/2006/relationships/chart" Target="../charts/chart14.xml"/><Relationship Id="rId9" Type="http://schemas.openxmlformats.org/officeDocument/2006/relationships/chart" Target="../charts/chart19.xml"/></Relationships>
</file>

<file path=xl/drawings/_rels/drawing6.xml.rels><?xml version="1.0" encoding="UTF-8" standalone="yes"?>
<Relationships xmlns="http://schemas.openxmlformats.org/package/2006/relationships"><Relationship Id="rId1" Type="http://schemas.openxmlformats.org/officeDocument/2006/relationships/hyperlink" Target="#BackgroundData"/></Relationships>
</file>

<file path=xl/drawings/_rels/drawing7.xml.rels><?xml version="1.0" encoding="UTF-8" standalone="yes"?>
<Relationships xmlns="http://schemas.openxmlformats.org/package/2006/relationships"><Relationship Id="rId2" Type="http://schemas.openxmlformats.org/officeDocument/2006/relationships/chart" Target="../charts/chart21.xml"/><Relationship Id="rId1" Type="http://schemas.openxmlformats.org/officeDocument/2006/relationships/chart" Target="../charts/chart20.xml"/></Relationships>
</file>

<file path=xl/drawings/drawing1.xml><?xml version="1.0" encoding="utf-8"?>
<xdr:wsDr xmlns:xdr="http://schemas.openxmlformats.org/drawingml/2006/spreadsheetDrawing" xmlns:a="http://schemas.openxmlformats.org/drawingml/2006/main">
  <xdr:twoCellAnchor editAs="oneCell">
    <xdr:from>
      <xdr:col>4</xdr:col>
      <xdr:colOff>1262063</xdr:colOff>
      <xdr:row>35</xdr:row>
      <xdr:rowOff>19050</xdr:rowOff>
    </xdr:from>
    <xdr:to>
      <xdr:col>4</xdr:col>
      <xdr:colOff>2697955</xdr:colOff>
      <xdr:row>35</xdr:row>
      <xdr:rowOff>576871</xdr:rowOff>
    </xdr:to>
    <xdr:pic>
      <xdr:nvPicPr>
        <xdr:cNvPr id="46" name="Рисунок 45"/>
        <xdr:cNvPicPr>
          <a:picLocks noChangeAspect="1" noChangeArrowheads="1"/>
        </xdr:cNvPicPr>
      </xdr:nvPicPr>
      <xdr:blipFill rotWithShape="1">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t="17507"/>
        <a:stretch/>
      </xdr:blipFill>
      <xdr:spPr bwMode="auto">
        <a:xfrm>
          <a:off x="8424863" y="8162925"/>
          <a:ext cx="1435892" cy="55782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3</xdr:col>
          <xdr:colOff>114300</xdr:colOff>
          <xdr:row>26</xdr:row>
          <xdr:rowOff>57150</xdr:rowOff>
        </xdr:from>
        <xdr:to>
          <xdr:col>3</xdr:col>
          <xdr:colOff>1047750</xdr:colOff>
          <xdr:row>26</xdr:row>
          <xdr:rowOff>352425</xdr:rowOff>
        </xdr:to>
        <xdr:sp macro="" textlink="">
          <xdr:nvSpPr>
            <xdr:cNvPr id="5136" name="Check Box 16" hidden="1">
              <a:extLst>
                <a:ext uri="{63B3BB69-23CF-44E3-9099-C40C66FF867C}">
                  <a14:compatExt spid="_x0000_s51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ru-RU" sz="800" b="0" i="0" u="none" strike="noStrike" baseline="0">
                  <a:solidFill>
                    <a:srgbClr val="000000"/>
                  </a:solidFill>
                  <a:latin typeface="Segoe UI"/>
                  <a:ea typeface="Segoe UI"/>
                  <a:cs typeface="Segoe UI"/>
                </a:rPr>
                <a:t>присутствует</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1019175</xdr:colOff>
          <xdr:row>26</xdr:row>
          <xdr:rowOff>66675</xdr:rowOff>
        </xdr:from>
        <xdr:to>
          <xdr:col>3</xdr:col>
          <xdr:colOff>2133600</xdr:colOff>
          <xdr:row>26</xdr:row>
          <xdr:rowOff>342900</xdr:rowOff>
        </xdr:to>
        <xdr:sp macro="" textlink="">
          <xdr:nvSpPr>
            <xdr:cNvPr id="5137" name="Check Box 17" hidden="1">
              <a:extLst>
                <a:ext uri="{63B3BB69-23CF-44E3-9099-C40C66FF867C}">
                  <a14:compatExt spid="_x0000_s51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ru-RU" sz="800" b="0" i="0" u="none" strike="noStrike" baseline="0">
                  <a:solidFill>
                    <a:srgbClr val="000000"/>
                  </a:solidFill>
                  <a:latin typeface="Segoe UI"/>
                  <a:ea typeface="Segoe UI"/>
                  <a:cs typeface="Segoe UI"/>
                </a:rPr>
                <a:t>теплый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123</xdr:row>
          <xdr:rowOff>9525</xdr:rowOff>
        </xdr:from>
        <xdr:to>
          <xdr:col>2</xdr:col>
          <xdr:colOff>1666875</xdr:colOff>
          <xdr:row>124</xdr:row>
          <xdr:rowOff>76200</xdr:rowOff>
        </xdr:to>
        <xdr:sp macro="" textlink="">
          <xdr:nvSpPr>
            <xdr:cNvPr id="5143" name="Check Box 23" hidden="1">
              <a:extLst>
                <a:ext uri="{63B3BB69-23CF-44E3-9099-C40C66FF867C}">
                  <a14:compatExt spid="_x0000_s51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ru-RU" sz="800" b="0" i="0" u="none" strike="noStrike" baseline="0">
                  <a:solidFill>
                    <a:srgbClr val="000000"/>
                  </a:solidFill>
                  <a:latin typeface="Segoe UI"/>
                  <a:ea typeface="Segoe UI"/>
                  <a:cs typeface="Segoe UI"/>
                </a:rPr>
                <a:t>Изолированные стояки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1981200</xdr:colOff>
          <xdr:row>123</xdr:row>
          <xdr:rowOff>19050</xdr:rowOff>
        </xdr:from>
        <xdr:to>
          <xdr:col>2</xdr:col>
          <xdr:colOff>3629025</xdr:colOff>
          <xdr:row>124</xdr:row>
          <xdr:rowOff>85725</xdr:rowOff>
        </xdr:to>
        <xdr:sp macro="" textlink="">
          <xdr:nvSpPr>
            <xdr:cNvPr id="5144" name="Check Box 24" hidden="1">
              <a:extLst>
                <a:ext uri="{63B3BB69-23CF-44E3-9099-C40C66FF867C}">
                  <a14:compatExt spid="_x0000_s51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ru-RU" sz="800" b="0" i="0" u="none" strike="noStrike" baseline="0">
                  <a:solidFill>
                    <a:srgbClr val="000000"/>
                  </a:solidFill>
                  <a:latin typeface="Segoe UI"/>
                  <a:ea typeface="Segoe UI"/>
                  <a:cs typeface="Segoe UI"/>
                </a:rPr>
                <a:t>Полотенцесушители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276225</xdr:colOff>
          <xdr:row>89</xdr:row>
          <xdr:rowOff>38100</xdr:rowOff>
        </xdr:from>
        <xdr:to>
          <xdr:col>2</xdr:col>
          <xdr:colOff>2981325</xdr:colOff>
          <xdr:row>91</xdr:row>
          <xdr:rowOff>28575</xdr:rowOff>
        </xdr:to>
        <xdr:sp macro="" textlink="">
          <xdr:nvSpPr>
            <xdr:cNvPr id="5159" name="Check Box 39" hidden="1">
              <a:extLst>
                <a:ext uri="{63B3BB69-23CF-44E3-9099-C40C66FF867C}">
                  <a14:compatExt spid="_x0000_s51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ru-RU" sz="800" b="0" i="0" u="none" strike="noStrike" baseline="0">
                  <a:solidFill>
                    <a:srgbClr val="000000"/>
                  </a:solidFill>
                  <a:latin typeface="Segoe UI"/>
                  <a:ea typeface="Segoe UI"/>
                  <a:cs typeface="Segoe UI"/>
                </a:rPr>
                <a:t>термостаты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87</xdr:row>
          <xdr:rowOff>38100</xdr:rowOff>
        </xdr:from>
        <xdr:to>
          <xdr:col>2</xdr:col>
          <xdr:colOff>3752850</xdr:colOff>
          <xdr:row>89</xdr:row>
          <xdr:rowOff>0</xdr:rowOff>
        </xdr:to>
        <xdr:sp macro="" textlink="">
          <xdr:nvSpPr>
            <xdr:cNvPr id="5170" name="Group Box 50" hidden="1">
              <a:extLst>
                <a:ext uri="{63B3BB69-23CF-44E3-9099-C40C66FF867C}">
                  <a14:compatExt spid="_x0000_s517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ru-RU" sz="800" b="0" i="0" u="none" strike="noStrike" baseline="0">
                  <a:solidFill>
                    <a:srgbClr val="000000"/>
                  </a:solidFill>
                  <a:latin typeface="Segoe UI"/>
                  <a:ea typeface="Segoe UI"/>
                  <a:cs typeface="Segoe UI"/>
                </a:rPr>
                <a:t>Система отопления</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87</xdr:row>
          <xdr:rowOff>47625</xdr:rowOff>
        </xdr:from>
        <xdr:to>
          <xdr:col>4</xdr:col>
          <xdr:colOff>4029075</xdr:colOff>
          <xdr:row>93</xdr:row>
          <xdr:rowOff>152400</xdr:rowOff>
        </xdr:to>
        <xdr:sp macro="" textlink="">
          <xdr:nvSpPr>
            <xdr:cNvPr id="5173" name="Group Box 53" hidden="1">
              <a:extLst>
                <a:ext uri="{63B3BB69-23CF-44E3-9099-C40C66FF867C}">
                  <a14:compatExt spid="_x0000_s517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ru-RU" sz="800" b="0" i="0" u="none" strike="noStrike" baseline="0">
                  <a:solidFill>
                    <a:srgbClr val="000000"/>
                  </a:solidFill>
                  <a:latin typeface="Segoe UI"/>
                  <a:ea typeface="Segoe UI"/>
                  <a:cs typeface="Segoe UI"/>
                </a:rPr>
                <a:t>Авторегулирование</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87</xdr:row>
          <xdr:rowOff>190500</xdr:rowOff>
        </xdr:from>
        <xdr:to>
          <xdr:col>4</xdr:col>
          <xdr:colOff>3895725</xdr:colOff>
          <xdr:row>89</xdr:row>
          <xdr:rowOff>47625</xdr:rowOff>
        </xdr:to>
        <xdr:sp macro="" textlink="">
          <xdr:nvSpPr>
            <xdr:cNvPr id="5174" name="Option Button 54" hidden="1">
              <a:extLst>
                <a:ext uri="{63B3BB69-23CF-44E3-9099-C40C66FF867C}">
                  <a14:compatExt spid="_x0000_s51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ru-RU" sz="800" b="0" i="0" u="none" strike="noStrike" baseline="0">
                  <a:solidFill>
                    <a:srgbClr val="000000"/>
                  </a:solidFill>
                  <a:latin typeface="Segoe UI"/>
                  <a:ea typeface="Segoe UI"/>
                  <a:cs typeface="Segoe UI"/>
                </a:rPr>
                <a:t>Элеваторный узел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89</xdr:row>
          <xdr:rowOff>57150</xdr:rowOff>
        </xdr:from>
        <xdr:to>
          <xdr:col>4</xdr:col>
          <xdr:colOff>3962400</xdr:colOff>
          <xdr:row>90</xdr:row>
          <xdr:rowOff>142875</xdr:rowOff>
        </xdr:to>
        <xdr:sp macro="" textlink="">
          <xdr:nvSpPr>
            <xdr:cNvPr id="5175" name="Option Button 55" hidden="1">
              <a:extLst>
                <a:ext uri="{63B3BB69-23CF-44E3-9099-C40C66FF867C}">
                  <a14:compatExt spid="_x0000_s51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ru-RU" sz="800" b="0" i="0" u="none" strike="noStrike" baseline="0">
                  <a:solidFill>
                    <a:srgbClr val="000000"/>
                  </a:solidFill>
                  <a:latin typeface="Segoe UI"/>
                  <a:ea typeface="Segoe UI"/>
                  <a:cs typeface="Segoe UI"/>
                </a:rPr>
                <a:t>Автоматизированный узел управления системой отопления (АУУ СО)</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90</xdr:row>
          <xdr:rowOff>142875</xdr:rowOff>
        </xdr:from>
        <xdr:to>
          <xdr:col>4</xdr:col>
          <xdr:colOff>3876675</xdr:colOff>
          <xdr:row>92</xdr:row>
          <xdr:rowOff>38100</xdr:rowOff>
        </xdr:to>
        <xdr:sp macro="" textlink="">
          <xdr:nvSpPr>
            <xdr:cNvPr id="5178" name="Option Button 58" hidden="1">
              <a:extLst>
                <a:ext uri="{63B3BB69-23CF-44E3-9099-C40C66FF867C}">
                  <a14:compatExt spid="_x0000_s51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ru-RU" sz="800" b="0" i="0" u="none" strike="noStrike" baseline="0">
                  <a:solidFill>
                    <a:srgbClr val="000000"/>
                  </a:solidFill>
                  <a:latin typeface="Segoe UI"/>
                  <a:ea typeface="Segoe UI"/>
                  <a:cs typeface="Segoe UI"/>
                </a:rPr>
                <a:t>Автоматизированный индивидуальный тепловой пункт (АИТП)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27</xdr:row>
          <xdr:rowOff>19050</xdr:rowOff>
        </xdr:from>
        <xdr:to>
          <xdr:col>3</xdr:col>
          <xdr:colOff>1047750</xdr:colOff>
          <xdr:row>27</xdr:row>
          <xdr:rowOff>323850</xdr:rowOff>
        </xdr:to>
        <xdr:sp macro="" textlink="">
          <xdr:nvSpPr>
            <xdr:cNvPr id="5191" name="Check Box 71" hidden="1">
              <a:extLst>
                <a:ext uri="{63B3BB69-23CF-44E3-9099-C40C66FF867C}">
                  <a14:compatExt spid="_x0000_s51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ru-RU" sz="800" b="0" i="0" u="none" strike="noStrike" baseline="0">
                  <a:solidFill>
                    <a:srgbClr val="000000"/>
                  </a:solidFill>
                  <a:latin typeface="Segoe UI"/>
                  <a:ea typeface="Segoe UI"/>
                  <a:cs typeface="Segoe UI"/>
                </a:rPr>
                <a:t>присутствует</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1019175</xdr:colOff>
          <xdr:row>27</xdr:row>
          <xdr:rowOff>28575</xdr:rowOff>
        </xdr:from>
        <xdr:to>
          <xdr:col>3</xdr:col>
          <xdr:colOff>2124075</xdr:colOff>
          <xdr:row>27</xdr:row>
          <xdr:rowOff>304800</xdr:rowOff>
        </xdr:to>
        <xdr:sp macro="" textlink="">
          <xdr:nvSpPr>
            <xdr:cNvPr id="5192" name="Check Box 72" hidden="1">
              <a:extLst>
                <a:ext uri="{63B3BB69-23CF-44E3-9099-C40C66FF867C}">
                  <a14:compatExt spid="_x0000_s51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ru-RU" sz="800" b="0" i="0" u="none" strike="noStrike" baseline="0">
                  <a:solidFill>
                    <a:srgbClr val="000000"/>
                  </a:solidFill>
                  <a:latin typeface="Segoe UI"/>
                  <a:ea typeface="Segoe UI"/>
                  <a:cs typeface="Segoe UI"/>
                </a:rPr>
                <a:t>отапливается</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276225</xdr:colOff>
          <xdr:row>87</xdr:row>
          <xdr:rowOff>180975</xdr:rowOff>
        </xdr:from>
        <xdr:to>
          <xdr:col>2</xdr:col>
          <xdr:colOff>2047875</xdr:colOff>
          <xdr:row>88</xdr:row>
          <xdr:rowOff>133350</xdr:rowOff>
        </xdr:to>
        <xdr:sp macro="" textlink="">
          <xdr:nvSpPr>
            <xdr:cNvPr id="5194" name="Option Button 74" hidden="1">
              <a:extLst>
                <a:ext uri="{63B3BB69-23CF-44E3-9099-C40C66FF867C}">
                  <a14:compatExt spid="_x0000_s51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ru-RU" sz="800" b="0" i="0" u="none" strike="noStrike" baseline="0">
                  <a:solidFill>
                    <a:srgbClr val="000000"/>
                  </a:solidFill>
                  <a:latin typeface="Segoe UI"/>
                  <a:ea typeface="Segoe UI"/>
                  <a:cs typeface="Segoe UI"/>
                </a:rPr>
                <a:t>однотрубная</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1428750</xdr:colOff>
          <xdr:row>88</xdr:row>
          <xdr:rowOff>0</xdr:rowOff>
        </xdr:from>
        <xdr:to>
          <xdr:col>2</xdr:col>
          <xdr:colOff>2790825</xdr:colOff>
          <xdr:row>88</xdr:row>
          <xdr:rowOff>133350</xdr:rowOff>
        </xdr:to>
        <xdr:sp macro="" textlink="">
          <xdr:nvSpPr>
            <xdr:cNvPr id="5195" name="Option Button 75" hidden="1">
              <a:extLst>
                <a:ext uri="{63B3BB69-23CF-44E3-9099-C40C66FF867C}">
                  <a14:compatExt spid="_x0000_s51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ru-RU" sz="800" b="0" i="0" u="none" strike="noStrike" baseline="0">
                  <a:solidFill>
                    <a:srgbClr val="000000"/>
                  </a:solidFill>
                  <a:latin typeface="Segoe UI"/>
                  <a:ea typeface="Segoe UI"/>
                  <a:cs typeface="Segoe UI"/>
                </a:rPr>
                <a:t>двухтрубная</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98</xdr:row>
          <xdr:rowOff>38100</xdr:rowOff>
        </xdr:from>
        <xdr:to>
          <xdr:col>2</xdr:col>
          <xdr:colOff>3571875</xdr:colOff>
          <xdr:row>101</xdr:row>
          <xdr:rowOff>76200</xdr:rowOff>
        </xdr:to>
        <xdr:sp macro="" textlink="">
          <xdr:nvSpPr>
            <xdr:cNvPr id="5204" name="Group Box 84" hidden="1">
              <a:extLst>
                <a:ext uri="{63B3BB69-23CF-44E3-9099-C40C66FF867C}">
                  <a14:compatExt spid="_x0000_s520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ru-RU" sz="800" b="0" i="0" u="none" strike="noStrike" baseline="0">
                  <a:solidFill>
                    <a:srgbClr val="000000"/>
                  </a:solidFill>
                  <a:latin typeface="Segoe UI"/>
                  <a:ea typeface="Segoe UI"/>
                  <a:cs typeface="Segoe UI"/>
                </a:rPr>
                <a:t>ГВС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266700</xdr:colOff>
          <xdr:row>98</xdr:row>
          <xdr:rowOff>152400</xdr:rowOff>
        </xdr:from>
        <xdr:to>
          <xdr:col>2</xdr:col>
          <xdr:colOff>3562350</xdr:colOff>
          <xdr:row>100</xdr:row>
          <xdr:rowOff>152400</xdr:rowOff>
        </xdr:to>
        <xdr:sp macro="" textlink="">
          <xdr:nvSpPr>
            <xdr:cNvPr id="5210" name="Option Button 90" hidden="1">
              <a:extLst>
                <a:ext uri="{63B3BB69-23CF-44E3-9099-C40C66FF867C}">
                  <a14:compatExt spid="_x0000_s52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ru-RU" sz="800" b="0" i="0" u="none" strike="noStrike" baseline="0">
                  <a:solidFill>
                    <a:srgbClr val="000000"/>
                  </a:solidFill>
                  <a:latin typeface="Segoe UI"/>
                  <a:ea typeface="Segoe UI"/>
                  <a:cs typeface="Segoe UI"/>
                </a:rPr>
                <a:t>централизованное, когда для приготовления горячей воды используется тепловая энергия от котельной или ТЭЦ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266700</xdr:colOff>
          <xdr:row>100</xdr:row>
          <xdr:rowOff>133350</xdr:rowOff>
        </xdr:from>
        <xdr:to>
          <xdr:col>2</xdr:col>
          <xdr:colOff>3086100</xdr:colOff>
          <xdr:row>101</xdr:row>
          <xdr:rowOff>38100</xdr:rowOff>
        </xdr:to>
        <xdr:sp macro="" textlink="">
          <xdr:nvSpPr>
            <xdr:cNvPr id="5211" name="Option Button 91" hidden="1">
              <a:extLst>
                <a:ext uri="{63B3BB69-23CF-44E3-9099-C40C66FF867C}">
                  <a14:compatExt spid="_x0000_s52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ru-RU" sz="800" b="0" i="0" u="none" strike="noStrike" baseline="0">
                  <a:solidFill>
                    <a:srgbClr val="000000"/>
                  </a:solidFill>
                  <a:latin typeface="Segoe UI"/>
                  <a:ea typeface="Segoe UI"/>
                  <a:cs typeface="Segoe UI"/>
                </a:rPr>
                <a:t>децентрализованное с приготовлением горячей воды в индивидуальных поквартирных газовых водонагревателях (газовых колонках)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98</xdr:row>
          <xdr:rowOff>76200</xdr:rowOff>
        </xdr:from>
        <xdr:to>
          <xdr:col>4</xdr:col>
          <xdr:colOff>3867150</xdr:colOff>
          <xdr:row>103</xdr:row>
          <xdr:rowOff>114300</xdr:rowOff>
        </xdr:to>
        <xdr:sp macro="" textlink="">
          <xdr:nvSpPr>
            <xdr:cNvPr id="5212" name="Group Box 92" hidden="1">
              <a:extLst>
                <a:ext uri="{63B3BB69-23CF-44E3-9099-C40C66FF867C}">
                  <a14:compatExt spid="_x0000_s521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ru-RU" sz="800" b="0" i="0" u="none" strike="noStrike" baseline="0">
                  <a:solidFill>
                    <a:srgbClr val="000000"/>
                  </a:solidFill>
                  <a:latin typeface="Segoe UI"/>
                  <a:ea typeface="Segoe UI"/>
                  <a:cs typeface="Segoe UI"/>
                </a:rPr>
                <a:t>Схема ЦГВС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99</xdr:row>
          <xdr:rowOff>57150</xdr:rowOff>
        </xdr:from>
        <xdr:to>
          <xdr:col>4</xdr:col>
          <xdr:colOff>3676650</xdr:colOff>
          <xdr:row>100</xdr:row>
          <xdr:rowOff>381000</xdr:rowOff>
        </xdr:to>
        <xdr:sp macro="" textlink="">
          <xdr:nvSpPr>
            <xdr:cNvPr id="5213" name="Option Button 93" hidden="1">
              <a:extLst>
                <a:ext uri="{63B3BB69-23CF-44E3-9099-C40C66FF867C}">
                  <a14:compatExt spid="_x0000_s52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ru-RU" sz="800" b="0" i="0" u="none" strike="noStrike" baseline="0">
                  <a:solidFill>
                    <a:srgbClr val="000000"/>
                  </a:solidFill>
                  <a:latin typeface="Segoe UI"/>
                  <a:ea typeface="Segoe UI"/>
                  <a:cs typeface="Segoe UI"/>
                </a:rPr>
                <a:t>открытая с отбором сетевой воды на горячее водоснабжение из тепловой сети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101</xdr:row>
          <xdr:rowOff>38100</xdr:rowOff>
        </xdr:from>
        <xdr:to>
          <xdr:col>4</xdr:col>
          <xdr:colOff>3733800</xdr:colOff>
          <xdr:row>101</xdr:row>
          <xdr:rowOff>438150</xdr:rowOff>
        </xdr:to>
        <xdr:sp macro="" textlink="">
          <xdr:nvSpPr>
            <xdr:cNvPr id="5214" name="Option Button 94" hidden="1">
              <a:extLst>
                <a:ext uri="{63B3BB69-23CF-44E3-9099-C40C66FF867C}">
                  <a14:compatExt spid="_x0000_s52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ru-RU" sz="800" b="0" i="0" u="none" strike="noStrike" baseline="0">
                  <a:solidFill>
                    <a:srgbClr val="000000"/>
                  </a:solidFill>
                  <a:latin typeface="Segoe UI"/>
                  <a:ea typeface="Segoe UI"/>
                  <a:cs typeface="Segoe UI"/>
                </a:rPr>
                <a:t>закрытая с приготовлением горячей воды в центральном тепловом пункте (ЦТП)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115</xdr:row>
          <xdr:rowOff>19050</xdr:rowOff>
        </xdr:from>
        <xdr:to>
          <xdr:col>3</xdr:col>
          <xdr:colOff>0</xdr:colOff>
          <xdr:row>120</xdr:row>
          <xdr:rowOff>171450</xdr:rowOff>
        </xdr:to>
        <xdr:sp macro="" textlink="">
          <xdr:nvSpPr>
            <xdr:cNvPr id="5221" name="Group Box 101" hidden="1">
              <a:extLst>
                <a:ext uri="{63B3BB69-23CF-44E3-9099-C40C66FF867C}">
                  <a14:compatExt spid="_x0000_s522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ru-RU" sz="800" b="0" i="0" u="none" strike="noStrike" baseline="0">
                  <a:solidFill>
                    <a:srgbClr val="000000"/>
                  </a:solidFill>
                  <a:latin typeface="Segoe UI"/>
                  <a:ea typeface="Segoe UI"/>
                  <a:cs typeface="Segoe UI"/>
                </a:rPr>
                <a:t>Степень комфортности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115</xdr:row>
          <xdr:rowOff>152400</xdr:rowOff>
        </xdr:from>
        <xdr:to>
          <xdr:col>2</xdr:col>
          <xdr:colOff>3743325</xdr:colOff>
          <xdr:row>117</xdr:row>
          <xdr:rowOff>57150</xdr:rowOff>
        </xdr:to>
        <xdr:sp macro="" textlink="">
          <xdr:nvSpPr>
            <xdr:cNvPr id="5230" name="Option Button 110" hidden="1">
              <a:extLst>
                <a:ext uri="{63B3BB69-23CF-44E3-9099-C40C66FF867C}">
                  <a14:compatExt spid="_x0000_s52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ru-RU" sz="800" b="0" i="0" u="none" strike="noStrike" baseline="0">
                  <a:solidFill>
                    <a:srgbClr val="000000"/>
                  </a:solidFill>
                  <a:latin typeface="Segoe UI"/>
                  <a:ea typeface="Segoe UI"/>
                  <a:cs typeface="Segoe UI"/>
                </a:rPr>
                <a:t>умывальники, мойки, души, сидячие ванны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117</xdr:row>
          <xdr:rowOff>47625</xdr:rowOff>
        </xdr:from>
        <xdr:to>
          <xdr:col>2</xdr:col>
          <xdr:colOff>3762375</xdr:colOff>
          <xdr:row>118</xdr:row>
          <xdr:rowOff>38100</xdr:rowOff>
        </xdr:to>
        <xdr:sp macro="" textlink="">
          <xdr:nvSpPr>
            <xdr:cNvPr id="5231" name="Option Button 111" hidden="1">
              <a:extLst>
                <a:ext uri="{63B3BB69-23CF-44E3-9099-C40C66FF867C}">
                  <a14:compatExt spid="_x0000_s52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ru-RU" sz="800" b="0" i="0" u="none" strike="noStrike" baseline="0">
                  <a:solidFill>
                    <a:srgbClr val="000000"/>
                  </a:solidFill>
                  <a:latin typeface="Segoe UI"/>
                  <a:ea typeface="Segoe UI"/>
                  <a:cs typeface="Segoe UI"/>
                </a:rPr>
                <a:t>умывальники, мойки, души, ванны от 1,5м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118</xdr:row>
          <xdr:rowOff>47625</xdr:rowOff>
        </xdr:from>
        <xdr:to>
          <xdr:col>2</xdr:col>
          <xdr:colOff>3714750</xdr:colOff>
          <xdr:row>119</xdr:row>
          <xdr:rowOff>57150</xdr:rowOff>
        </xdr:to>
        <xdr:sp macro="" textlink="">
          <xdr:nvSpPr>
            <xdr:cNvPr id="5232" name="Option Button 112" hidden="1">
              <a:extLst>
                <a:ext uri="{63B3BB69-23CF-44E3-9099-C40C66FF867C}">
                  <a14:compatExt spid="_x0000_s52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ru-RU" sz="800" b="0" i="0" u="none" strike="noStrike" baseline="0">
                  <a:solidFill>
                    <a:srgbClr val="000000"/>
                  </a:solidFill>
                  <a:latin typeface="Segoe UI"/>
                  <a:ea typeface="Segoe UI"/>
                  <a:cs typeface="Segoe UI"/>
                </a:rPr>
                <a:t>то же, с квартирными регуляторами давления</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119</xdr:row>
          <xdr:rowOff>57150</xdr:rowOff>
        </xdr:from>
        <xdr:to>
          <xdr:col>2</xdr:col>
          <xdr:colOff>3752850</xdr:colOff>
          <xdr:row>120</xdr:row>
          <xdr:rowOff>161925</xdr:rowOff>
        </xdr:to>
        <xdr:sp macro="" textlink="">
          <xdr:nvSpPr>
            <xdr:cNvPr id="5234" name="Option Button 114" hidden="1">
              <a:extLst>
                <a:ext uri="{63B3BB69-23CF-44E3-9099-C40C66FF867C}">
                  <a14:compatExt spid="_x0000_s52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ru-RU" sz="800" b="0" i="0" u="none" strike="noStrike" baseline="0">
                  <a:solidFill>
                    <a:srgbClr val="000000"/>
                  </a:solidFill>
                  <a:latin typeface="Segoe UI"/>
                  <a:ea typeface="Segoe UI"/>
                  <a:cs typeface="Segoe UI"/>
                </a:rPr>
                <a:t>с повышенными требованиями к благоустройству</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124</xdr:row>
          <xdr:rowOff>66675</xdr:rowOff>
        </xdr:from>
        <xdr:to>
          <xdr:col>2</xdr:col>
          <xdr:colOff>3762375</xdr:colOff>
          <xdr:row>124</xdr:row>
          <xdr:rowOff>304800</xdr:rowOff>
        </xdr:to>
        <xdr:sp macro="" textlink="">
          <xdr:nvSpPr>
            <xdr:cNvPr id="5237" name="Check Box 117" hidden="1">
              <a:extLst>
                <a:ext uri="{63B3BB69-23CF-44E3-9099-C40C66FF867C}">
                  <a14:compatExt spid="_x0000_s52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ru-RU" sz="800" b="0" i="0" u="none" strike="noStrike" baseline="0">
                  <a:solidFill>
                    <a:srgbClr val="000000"/>
                  </a:solidFill>
                  <a:latin typeface="Segoe UI"/>
                  <a:ea typeface="Segoe UI"/>
                  <a:cs typeface="Segoe UI"/>
                </a:rPr>
                <a:t>наличие циркуляционного трубопровода ГВС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92</xdr:row>
          <xdr:rowOff>19050</xdr:rowOff>
        </xdr:from>
        <xdr:to>
          <xdr:col>4</xdr:col>
          <xdr:colOff>3990975</xdr:colOff>
          <xdr:row>93</xdr:row>
          <xdr:rowOff>142875</xdr:rowOff>
        </xdr:to>
        <xdr:sp macro="" textlink="">
          <xdr:nvSpPr>
            <xdr:cNvPr id="5239" name="Option Button 119" descr="Без смешивающих устройств (непосредственное подключение)" hidden="1">
              <a:extLst>
                <a:ext uri="{63B3BB69-23CF-44E3-9099-C40C66FF867C}">
                  <a14:compatExt spid="_x0000_s52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ru-RU" sz="800" b="0" i="0" u="none" strike="noStrike" baseline="0">
                  <a:solidFill>
                    <a:srgbClr val="000000"/>
                  </a:solidFill>
                  <a:latin typeface="Segoe UI"/>
                  <a:ea typeface="Segoe UI"/>
                  <a:cs typeface="Segoe UI"/>
                </a:rPr>
                <a:t>Без смешивающих устройств (непосредственное подключение)</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28</xdr:row>
          <xdr:rowOff>0</xdr:rowOff>
        </xdr:from>
        <xdr:to>
          <xdr:col>4</xdr:col>
          <xdr:colOff>47625</xdr:colOff>
          <xdr:row>29</xdr:row>
          <xdr:rowOff>9525</xdr:rowOff>
        </xdr:to>
        <xdr:sp macro="" textlink="">
          <xdr:nvSpPr>
            <xdr:cNvPr id="5240" name="Check Box 120" hidden="1">
              <a:extLst>
                <a:ext uri="{63B3BB69-23CF-44E3-9099-C40C66FF867C}">
                  <a14:compatExt spid="_x0000_s52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ru-RU" sz="800" b="0" i="0" u="none" strike="noStrike" baseline="0">
                  <a:solidFill>
                    <a:srgbClr val="000000"/>
                  </a:solidFill>
                  <a:latin typeface="Segoe UI"/>
                  <a:ea typeface="Segoe UI"/>
                  <a:cs typeface="Segoe UI"/>
                </a:rPr>
                <a:t>входные двери утеплены/есть доводчики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29</xdr:row>
          <xdr:rowOff>0</xdr:rowOff>
        </xdr:from>
        <xdr:to>
          <xdr:col>3</xdr:col>
          <xdr:colOff>2371725</xdr:colOff>
          <xdr:row>30</xdr:row>
          <xdr:rowOff>0</xdr:rowOff>
        </xdr:to>
        <xdr:sp macro="" textlink="">
          <xdr:nvSpPr>
            <xdr:cNvPr id="5241" name="Check Box 121" hidden="1">
              <a:extLst>
                <a:ext uri="{63B3BB69-23CF-44E3-9099-C40C66FF867C}">
                  <a14:compatExt spid="_x0000_s52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ru-RU" sz="800" b="0" i="0" u="none" strike="noStrike" baseline="0">
                  <a:solidFill>
                    <a:srgbClr val="000000"/>
                  </a:solidFill>
                  <a:latin typeface="Segoe UI"/>
                  <a:ea typeface="Segoe UI"/>
                  <a:cs typeface="Segoe UI"/>
                </a:rPr>
                <a:t>утеплены чердачные перекрытия /крыша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29</xdr:row>
          <xdr:rowOff>209550</xdr:rowOff>
        </xdr:from>
        <xdr:to>
          <xdr:col>4</xdr:col>
          <xdr:colOff>133350</xdr:colOff>
          <xdr:row>31</xdr:row>
          <xdr:rowOff>28575</xdr:rowOff>
        </xdr:to>
        <xdr:sp macro="" textlink="">
          <xdr:nvSpPr>
            <xdr:cNvPr id="5242" name="Check Box 122" hidden="1">
              <a:extLst>
                <a:ext uri="{63B3BB69-23CF-44E3-9099-C40C66FF867C}">
                  <a14:compatExt spid="_x0000_s52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ru-RU" sz="800" b="0" i="0" u="none" strike="noStrike" baseline="0">
                  <a:solidFill>
                    <a:srgbClr val="000000"/>
                  </a:solidFill>
                  <a:latin typeface="Segoe UI"/>
                  <a:ea typeface="Segoe UI"/>
                  <a:cs typeface="Segoe UI"/>
                </a:rPr>
                <a:t>утеплены перекрытия над подвалом/пол по грунту</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17</xdr:row>
          <xdr:rowOff>0</xdr:rowOff>
        </xdr:from>
        <xdr:to>
          <xdr:col>3</xdr:col>
          <xdr:colOff>2933700</xdr:colOff>
          <xdr:row>18</xdr:row>
          <xdr:rowOff>9525</xdr:rowOff>
        </xdr:to>
        <xdr:sp macro="" textlink="">
          <xdr:nvSpPr>
            <xdr:cNvPr id="5247" name="Check Box 127" hidden="1">
              <a:extLst>
                <a:ext uri="{63B3BB69-23CF-44E3-9099-C40C66FF867C}">
                  <a14:compatExt spid="_x0000_s52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ru-RU" sz="800" b="0" i="0" u="none" strike="noStrike" baseline="0">
                  <a:solidFill>
                    <a:srgbClr val="000000"/>
                  </a:solidFill>
                  <a:latin typeface="Segoe UI"/>
                  <a:ea typeface="Segoe UI"/>
                  <a:cs typeface="Segoe UI"/>
                </a:rPr>
                <a:t>МКД переменной этажности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323850</xdr:colOff>
          <xdr:row>23</xdr:row>
          <xdr:rowOff>0</xdr:rowOff>
        </xdr:from>
        <xdr:to>
          <xdr:col>3</xdr:col>
          <xdr:colOff>1143000</xdr:colOff>
          <xdr:row>24</xdr:row>
          <xdr:rowOff>9525</xdr:rowOff>
        </xdr:to>
        <xdr:sp macro="" textlink="">
          <xdr:nvSpPr>
            <xdr:cNvPr id="5259" name="Check Box 139" hidden="1">
              <a:extLst>
                <a:ext uri="{63B3BB69-23CF-44E3-9099-C40C66FF867C}">
                  <a14:compatExt spid="_x0000_s52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ru-RU" sz="800" b="0" i="0" u="none" strike="noStrike" baseline="0">
                  <a:solidFill>
                    <a:srgbClr val="000000"/>
                  </a:solidFill>
                  <a:latin typeface="Segoe UI"/>
                  <a:ea typeface="Segoe UI"/>
                  <a:cs typeface="Segoe UI"/>
                </a:rPr>
                <a:t>Теплоэнергия</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323850</xdr:colOff>
          <xdr:row>24</xdr:row>
          <xdr:rowOff>0</xdr:rowOff>
        </xdr:from>
        <xdr:to>
          <xdr:col>3</xdr:col>
          <xdr:colOff>1143000</xdr:colOff>
          <xdr:row>25</xdr:row>
          <xdr:rowOff>9525</xdr:rowOff>
        </xdr:to>
        <xdr:sp macro="" textlink="">
          <xdr:nvSpPr>
            <xdr:cNvPr id="5260" name="Check Box 140" hidden="1">
              <a:extLst>
                <a:ext uri="{63B3BB69-23CF-44E3-9099-C40C66FF867C}">
                  <a14:compatExt spid="_x0000_s52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ru-RU" sz="800" b="0" i="0" u="none" strike="noStrike" baseline="0">
                  <a:solidFill>
                    <a:srgbClr val="000000"/>
                  </a:solidFill>
                  <a:latin typeface="Segoe UI"/>
                  <a:ea typeface="Segoe UI"/>
                  <a:cs typeface="Segoe UI"/>
                </a:rPr>
                <a:t>Электроэнергия</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323850</xdr:colOff>
          <xdr:row>25</xdr:row>
          <xdr:rowOff>0</xdr:rowOff>
        </xdr:from>
        <xdr:to>
          <xdr:col>3</xdr:col>
          <xdr:colOff>1143000</xdr:colOff>
          <xdr:row>26</xdr:row>
          <xdr:rowOff>9525</xdr:rowOff>
        </xdr:to>
        <xdr:sp macro="" textlink="">
          <xdr:nvSpPr>
            <xdr:cNvPr id="5261" name="Check Box 141" hidden="1">
              <a:extLst>
                <a:ext uri="{63B3BB69-23CF-44E3-9099-C40C66FF867C}">
                  <a14:compatExt spid="_x0000_s52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ru-RU" sz="800" b="0" i="0" u="none" strike="noStrike" baseline="0">
                  <a:solidFill>
                    <a:srgbClr val="000000"/>
                  </a:solidFill>
                  <a:latin typeface="Segoe UI"/>
                  <a:ea typeface="Segoe UI"/>
                  <a:cs typeface="Segoe UI"/>
                </a:rPr>
                <a:t>Горячая вода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35</xdr:row>
          <xdr:rowOff>19050</xdr:rowOff>
        </xdr:from>
        <xdr:to>
          <xdr:col>4</xdr:col>
          <xdr:colOff>0</xdr:colOff>
          <xdr:row>35</xdr:row>
          <xdr:rowOff>257175</xdr:rowOff>
        </xdr:to>
        <xdr:sp macro="" textlink="">
          <xdr:nvSpPr>
            <xdr:cNvPr id="5262" name="Check Box 142" hidden="1">
              <a:extLst>
                <a:ext uri="{63B3BB69-23CF-44E3-9099-C40C66FF867C}">
                  <a14:compatExt spid="_x0000_s52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ru-RU" sz="800" b="0" i="0" u="none" strike="noStrike" baseline="0">
                  <a:solidFill>
                    <a:srgbClr val="000000"/>
                  </a:solidFill>
                  <a:latin typeface="Segoe UI"/>
                  <a:ea typeface="Segoe UI"/>
                  <a:cs typeface="Segoe UI"/>
                </a:rPr>
                <a:t>к МКД примыкает другое многоэтажное здание слева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35</xdr:row>
          <xdr:rowOff>342900</xdr:rowOff>
        </xdr:from>
        <xdr:to>
          <xdr:col>3</xdr:col>
          <xdr:colOff>2990850</xdr:colOff>
          <xdr:row>36</xdr:row>
          <xdr:rowOff>0</xdr:rowOff>
        </xdr:to>
        <xdr:sp macro="" textlink="">
          <xdr:nvSpPr>
            <xdr:cNvPr id="5263" name="Check Box 143" hidden="1">
              <a:extLst>
                <a:ext uri="{63B3BB69-23CF-44E3-9099-C40C66FF867C}">
                  <a14:compatExt spid="_x0000_s52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ru-RU" sz="800" b="0" i="0" u="none" strike="noStrike" baseline="0">
                  <a:solidFill>
                    <a:srgbClr val="000000"/>
                  </a:solidFill>
                  <a:latin typeface="Segoe UI"/>
                  <a:ea typeface="Segoe UI"/>
                  <a:cs typeface="Segoe UI"/>
                </a:rPr>
                <a:t>к МКД примыкает другое многоэтажное здание справа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102</xdr:row>
          <xdr:rowOff>85725</xdr:rowOff>
        </xdr:from>
        <xdr:to>
          <xdr:col>4</xdr:col>
          <xdr:colOff>3810000</xdr:colOff>
          <xdr:row>102</xdr:row>
          <xdr:rowOff>485775</xdr:rowOff>
        </xdr:to>
        <xdr:sp macro="" textlink="">
          <xdr:nvSpPr>
            <xdr:cNvPr id="5295" name="Option Button 175" hidden="1">
              <a:extLst>
                <a:ext uri="{63B3BB69-23CF-44E3-9099-C40C66FF867C}">
                  <a14:compatExt spid="_x0000_s52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ru-RU" sz="800" b="0" i="0" u="none" strike="noStrike" baseline="0">
                  <a:solidFill>
                    <a:srgbClr val="000000"/>
                  </a:solidFill>
                  <a:latin typeface="Segoe UI"/>
                  <a:ea typeface="Segoe UI"/>
                  <a:cs typeface="Segoe UI"/>
                </a:rPr>
                <a:t>закрытая с приготовлением горячей воды в индивидуальном тепловом пункте (ИТП)</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66675</xdr:colOff>
          <xdr:row>23</xdr:row>
          <xdr:rowOff>161925</xdr:rowOff>
        </xdr:from>
        <xdr:to>
          <xdr:col>2</xdr:col>
          <xdr:colOff>314325</xdr:colOff>
          <xdr:row>23</xdr:row>
          <xdr:rowOff>447675</xdr:rowOff>
        </xdr:to>
        <xdr:sp macro="" textlink="">
          <xdr:nvSpPr>
            <xdr:cNvPr id="11266" name="Check Box 2" hidden="1">
              <a:extLst>
                <a:ext uri="{63B3BB69-23CF-44E3-9099-C40C66FF867C}">
                  <a14:compatExt spid="_x0000_s112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13</xdr:row>
          <xdr:rowOff>38100</xdr:rowOff>
        </xdr:from>
        <xdr:to>
          <xdr:col>2</xdr:col>
          <xdr:colOff>304800</xdr:colOff>
          <xdr:row>13</xdr:row>
          <xdr:rowOff>295275</xdr:rowOff>
        </xdr:to>
        <xdr:sp macro="" textlink="">
          <xdr:nvSpPr>
            <xdr:cNvPr id="11269" name="Check Box 5" hidden="1">
              <a:extLst>
                <a:ext uri="{63B3BB69-23CF-44E3-9099-C40C66FF867C}">
                  <a14:compatExt spid="_x0000_s112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11</xdr:row>
          <xdr:rowOff>95250</xdr:rowOff>
        </xdr:from>
        <xdr:to>
          <xdr:col>2</xdr:col>
          <xdr:colOff>333375</xdr:colOff>
          <xdr:row>11</xdr:row>
          <xdr:rowOff>295275</xdr:rowOff>
        </xdr:to>
        <xdr:sp macro="" textlink="">
          <xdr:nvSpPr>
            <xdr:cNvPr id="11270" name="Check Box 6" hidden="1">
              <a:extLst>
                <a:ext uri="{63B3BB69-23CF-44E3-9099-C40C66FF867C}">
                  <a14:compatExt spid="_x0000_s112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72</xdr:row>
          <xdr:rowOff>304800</xdr:rowOff>
        </xdr:from>
        <xdr:to>
          <xdr:col>2</xdr:col>
          <xdr:colOff>333375</xdr:colOff>
          <xdr:row>72</xdr:row>
          <xdr:rowOff>847725</xdr:rowOff>
        </xdr:to>
        <xdr:sp macro="" textlink="">
          <xdr:nvSpPr>
            <xdr:cNvPr id="11272" name="Check Box 8" hidden="1">
              <a:extLst>
                <a:ext uri="{63B3BB69-23CF-44E3-9099-C40C66FF867C}">
                  <a14:compatExt spid="_x0000_s112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31</xdr:row>
          <xdr:rowOff>180975</xdr:rowOff>
        </xdr:from>
        <xdr:to>
          <xdr:col>2</xdr:col>
          <xdr:colOff>314325</xdr:colOff>
          <xdr:row>31</xdr:row>
          <xdr:rowOff>590550</xdr:rowOff>
        </xdr:to>
        <xdr:sp macro="" textlink="">
          <xdr:nvSpPr>
            <xdr:cNvPr id="11273" name="Check Box 9" hidden="1">
              <a:extLst>
                <a:ext uri="{63B3BB69-23CF-44E3-9099-C40C66FF867C}">
                  <a14:compatExt spid="_x0000_s112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33</xdr:row>
          <xdr:rowOff>200025</xdr:rowOff>
        </xdr:from>
        <xdr:to>
          <xdr:col>2</xdr:col>
          <xdr:colOff>342900</xdr:colOff>
          <xdr:row>33</xdr:row>
          <xdr:rowOff>400050</xdr:rowOff>
        </xdr:to>
        <xdr:sp macro="" textlink="">
          <xdr:nvSpPr>
            <xdr:cNvPr id="11274" name="Check Box 10" hidden="1">
              <a:extLst>
                <a:ext uri="{63B3BB69-23CF-44E3-9099-C40C66FF867C}">
                  <a14:compatExt spid="_x0000_s112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36</xdr:row>
          <xdr:rowOff>104775</xdr:rowOff>
        </xdr:from>
        <xdr:to>
          <xdr:col>2</xdr:col>
          <xdr:colOff>371475</xdr:colOff>
          <xdr:row>36</xdr:row>
          <xdr:rowOff>438150</xdr:rowOff>
        </xdr:to>
        <xdr:sp macro="" textlink="">
          <xdr:nvSpPr>
            <xdr:cNvPr id="11280" name="Check Box 16" hidden="1">
              <a:extLst>
                <a:ext uri="{63B3BB69-23CF-44E3-9099-C40C66FF867C}">
                  <a14:compatExt spid="_x0000_s112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73</xdr:row>
          <xdr:rowOff>219075</xdr:rowOff>
        </xdr:from>
        <xdr:to>
          <xdr:col>2</xdr:col>
          <xdr:colOff>342900</xdr:colOff>
          <xdr:row>73</xdr:row>
          <xdr:rowOff>495300</xdr:rowOff>
        </xdr:to>
        <xdr:sp macro="" textlink="">
          <xdr:nvSpPr>
            <xdr:cNvPr id="11282" name="Check Box 18" hidden="1">
              <a:extLst>
                <a:ext uri="{63B3BB69-23CF-44E3-9099-C40C66FF867C}">
                  <a14:compatExt spid="_x0000_s112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75</xdr:row>
          <xdr:rowOff>28575</xdr:rowOff>
        </xdr:from>
        <xdr:to>
          <xdr:col>2</xdr:col>
          <xdr:colOff>333375</xdr:colOff>
          <xdr:row>76</xdr:row>
          <xdr:rowOff>0</xdr:rowOff>
        </xdr:to>
        <xdr:sp macro="" textlink="">
          <xdr:nvSpPr>
            <xdr:cNvPr id="11283" name="Check Box 19" hidden="1">
              <a:extLst>
                <a:ext uri="{63B3BB69-23CF-44E3-9099-C40C66FF867C}">
                  <a14:compatExt spid="_x0000_s112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41</xdr:row>
          <xdr:rowOff>581025</xdr:rowOff>
        </xdr:from>
        <xdr:to>
          <xdr:col>2</xdr:col>
          <xdr:colOff>371475</xdr:colOff>
          <xdr:row>43</xdr:row>
          <xdr:rowOff>66675</xdr:rowOff>
        </xdr:to>
        <xdr:sp macro="" textlink="">
          <xdr:nvSpPr>
            <xdr:cNvPr id="11284" name="Check Box 20" hidden="1">
              <a:extLst>
                <a:ext uri="{63B3BB69-23CF-44E3-9099-C40C66FF867C}">
                  <a14:compatExt spid="_x0000_s112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34</xdr:row>
          <xdr:rowOff>161925</xdr:rowOff>
        </xdr:from>
        <xdr:to>
          <xdr:col>2</xdr:col>
          <xdr:colOff>342900</xdr:colOff>
          <xdr:row>34</xdr:row>
          <xdr:rowOff>381000</xdr:rowOff>
        </xdr:to>
        <xdr:sp macro="" textlink="">
          <xdr:nvSpPr>
            <xdr:cNvPr id="11297" name="Check Box 33" hidden="1">
              <a:extLst>
                <a:ext uri="{63B3BB69-23CF-44E3-9099-C40C66FF867C}">
                  <a14:compatExt spid="_x0000_s112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37</xdr:row>
          <xdr:rowOff>552450</xdr:rowOff>
        </xdr:from>
        <xdr:to>
          <xdr:col>2</xdr:col>
          <xdr:colOff>342900</xdr:colOff>
          <xdr:row>37</xdr:row>
          <xdr:rowOff>1000125</xdr:rowOff>
        </xdr:to>
        <xdr:sp macro="" textlink="">
          <xdr:nvSpPr>
            <xdr:cNvPr id="11298" name="Check Box 34" hidden="1">
              <a:extLst>
                <a:ext uri="{63B3BB69-23CF-44E3-9099-C40C66FF867C}">
                  <a14:compatExt spid="_x0000_s112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38</xdr:row>
          <xdr:rowOff>209550</xdr:rowOff>
        </xdr:from>
        <xdr:to>
          <xdr:col>2</xdr:col>
          <xdr:colOff>314325</xdr:colOff>
          <xdr:row>38</xdr:row>
          <xdr:rowOff>457200</xdr:rowOff>
        </xdr:to>
        <xdr:sp macro="" textlink="">
          <xdr:nvSpPr>
            <xdr:cNvPr id="11299" name="Check Box 35" hidden="1">
              <a:extLst>
                <a:ext uri="{63B3BB69-23CF-44E3-9099-C40C66FF867C}">
                  <a14:compatExt spid="_x0000_s112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54</xdr:row>
          <xdr:rowOff>209550</xdr:rowOff>
        </xdr:from>
        <xdr:to>
          <xdr:col>2</xdr:col>
          <xdr:colOff>342900</xdr:colOff>
          <xdr:row>55</xdr:row>
          <xdr:rowOff>9525</xdr:rowOff>
        </xdr:to>
        <xdr:sp macro="" textlink="">
          <xdr:nvSpPr>
            <xdr:cNvPr id="11301" name="Check Box 37" hidden="1">
              <a:extLst>
                <a:ext uri="{63B3BB69-23CF-44E3-9099-C40C66FF867C}">
                  <a14:compatExt spid="_x0000_s113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55</xdr:row>
          <xdr:rowOff>66675</xdr:rowOff>
        </xdr:from>
        <xdr:to>
          <xdr:col>2</xdr:col>
          <xdr:colOff>400050</xdr:colOff>
          <xdr:row>55</xdr:row>
          <xdr:rowOff>381000</xdr:rowOff>
        </xdr:to>
        <xdr:sp macro="" textlink="">
          <xdr:nvSpPr>
            <xdr:cNvPr id="11302" name="Check Box 38" hidden="1">
              <a:extLst>
                <a:ext uri="{63B3BB69-23CF-44E3-9099-C40C66FF867C}">
                  <a14:compatExt spid="_x0000_s113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46</xdr:row>
          <xdr:rowOff>742950</xdr:rowOff>
        </xdr:from>
        <xdr:to>
          <xdr:col>2</xdr:col>
          <xdr:colOff>314325</xdr:colOff>
          <xdr:row>48</xdr:row>
          <xdr:rowOff>9525</xdr:rowOff>
        </xdr:to>
        <xdr:sp macro="" textlink="">
          <xdr:nvSpPr>
            <xdr:cNvPr id="11303" name="Check Box 39" hidden="1">
              <a:extLst>
                <a:ext uri="{63B3BB69-23CF-44E3-9099-C40C66FF867C}">
                  <a14:compatExt spid="_x0000_s113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51</xdr:row>
          <xdr:rowOff>123825</xdr:rowOff>
        </xdr:from>
        <xdr:to>
          <xdr:col>3</xdr:col>
          <xdr:colOff>419100</xdr:colOff>
          <xdr:row>52</xdr:row>
          <xdr:rowOff>0</xdr:rowOff>
        </xdr:to>
        <xdr:sp macro="" textlink="">
          <xdr:nvSpPr>
            <xdr:cNvPr id="11305" name="Check Box 41" hidden="1">
              <a:extLst>
                <a:ext uri="{63B3BB69-23CF-44E3-9099-C40C66FF867C}">
                  <a14:compatExt spid="_x0000_s113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48</xdr:row>
          <xdr:rowOff>28575</xdr:rowOff>
        </xdr:from>
        <xdr:to>
          <xdr:col>3</xdr:col>
          <xdr:colOff>371475</xdr:colOff>
          <xdr:row>49</xdr:row>
          <xdr:rowOff>0</xdr:rowOff>
        </xdr:to>
        <xdr:sp macro="" textlink="">
          <xdr:nvSpPr>
            <xdr:cNvPr id="11310" name="Check Box 46" hidden="1">
              <a:extLst>
                <a:ext uri="{63B3BB69-23CF-44E3-9099-C40C66FF867C}">
                  <a14:compatExt spid="_x0000_s113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49</xdr:row>
          <xdr:rowOff>9525</xdr:rowOff>
        </xdr:from>
        <xdr:to>
          <xdr:col>3</xdr:col>
          <xdr:colOff>371475</xdr:colOff>
          <xdr:row>50</xdr:row>
          <xdr:rowOff>0</xdr:rowOff>
        </xdr:to>
        <xdr:sp macro="" textlink="">
          <xdr:nvSpPr>
            <xdr:cNvPr id="11311" name="Check Box 47" hidden="1">
              <a:extLst>
                <a:ext uri="{63B3BB69-23CF-44E3-9099-C40C66FF867C}">
                  <a14:compatExt spid="_x0000_s113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43</xdr:row>
          <xdr:rowOff>28575</xdr:rowOff>
        </xdr:from>
        <xdr:to>
          <xdr:col>3</xdr:col>
          <xdr:colOff>390525</xdr:colOff>
          <xdr:row>44</xdr:row>
          <xdr:rowOff>0</xdr:rowOff>
        </xdr:to>
        <xdr:sp macro="" textlink="">
          <xdr:nvSpPr>
            <xdr:cNvPr id="11325" name="Check Box 61" hidden="1">
              <a:extLst>
                <a:ext uri="{63B3BB69-23CF-44E3-9099-C40C66FF867C}">
                  <a14:compatExt spid="_x0000_s113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43</xdr:row>
          <xdr:rowOff>238125</xdr:rowOff>
        </xdr:from>
        <xdr:to>
          <xdr:col>3</xdr:col>
          <xdr:colOff>400050</xdr:colOff>
          <xdr:row>45</xdr:row>
          <xdr:rowOff>28575</xdr:rowOff>
        </xdr:to>
        <xdr:sp macro="" textlink="">
          <xdr:nvSpPr>
            <xdr:cNvPr id="11326" name="Check Box 62" hidden="1">
              <a:extLst>
                <a:ext uri="{63B3BB69-23CF-44E3-9099-C40C66FF867C}">
                  <a14:compatExt spid="_x0000_s113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7</xdr:row>
          <xdr:rowOff>219075</xdr:rowOff>
        </xdr:from>
        <xdr:to>
          <xdr:col>3</xdr:col>
          <xdr:colOff>400050</xdr:colOff>
          <xdr:row>9</xdr:row>
          <xdr:rowOff>19050</xdr:rowOff>
        </xdr:to>
        <xdr:sp macro="" textlink="">
          <xdr:nvSpPr>
            <xdr:cNvPr id="11339" name="Check Box 75" hidden="1">
              <a:extLst>
                <a:ext uri="{63B3BB69-23CF-44E3-9099-C40C66FF867C}">
                  <a14:compatExt spid="_x0000_s113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18</xdr:row>
          <xdr:rowOff>295275</xdr:rowOff>
        </xdr:from>
        <xdr:to>
          <xdr:col>3</xdr:col>
          <xdr:colOff>400050</xdr:colOff>
          <xdr:row>20</xdr:row>
          <xdr:rowOff>9525</xdr:rowOff>
        </xdr:to>
        <xdr:sp macro="" textlink="">
          <xdr:nvSpPr>
            <xdr:cNvPr id="11340" name="Check Box 76" hidden="1">
              <a:extLst>
                <a:ext uri="{63B3BB69-23CF-44E3-9099-C40C66FF867C}">
                  <a14:compatExt spid="_x0000_s113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25</xdr:row>
          <xdr:rowOff>285750</xdr:rowOff>
        </xdr:from>
        <xdr:to>
          <xdr:col>3</xdr:col>
          <xdr:colOff>381000</xdr:colOff>
          <xdr:row>27</xdr:row>
          <xdr:rowOff>0</xdr:rowOff>
        </xdr:to>
        <xdr:sp macro="" textlink="">
          <xdr:nvSpPr>
            <xdr:cNvPr id="11341" name="Check Box 77" hidden="1">
              <a:extLst>
                <a:ext uri="{63B3BB69-23CF-44E3-9099-C40C66FF867C}">
                  <a14:compatExt spid="_x0000_s113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60</xdr:row>
          <xdr:rowOff>190500</xdr:rowOff>
        </xdr:from>
        <xdr:to>
          <xdr:col>3</xdr:col>
          <xdr:colOff>381000</xdr:colOff>
          <xdr:row>61</xdr:row>
          <xdr:rowOff>171450</xdr:rowOff>
        </xdr:to>
        <xdr:sp macro="" textlink="">
          <xdr:nvSpPr>
            <xdr:cNvPr id="11342" name="Check Box 78" hidden="1">
              <a:extLst>
                <a:ext uri="{63B3BB69-23CF-44E3-9099-C40C66FF867C}">
                  <a14:compatExt spid="_x0000_s113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65</xdr:row>
          <xdr:rowOff>171450</xdr:rowOff>
        </xdr:from>
        <xdr:to>
          <xdr:col>3</xdr:col>
          <xdr:colOff>381000</xdr:colOff>
          <xdr:row>67</xdr:row>
          <xdr:rowOff>0</xdr:rowOff>
        </xdr:to>
        <xdr:sp macro="" textlink="">
          <xdr:nvSpPr>
            <xdr:cNvPr id="11343" name="Check Box 79" hidden="1">
              <a:extLst>
                <a:ext uri="{63B3BB69-23CF-44E3-9099-C40C66FF867C}">
                  <a14:compatExt spid="_x0000_s113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57</xdr:row>
          <xdr:rowOff>123825</xdr:rowOff>
        </xdr:from>
        <xdr:to>
          <xdr:col>3</xdr:col>
          <xdr:colOff>419100</xdr:colOff>
          <xdr:row>57</xdr:row>
          <xdr:rowOff>333375</xdr:rowOff>
        </xdr:to>
        <xdr:sp macro="" textlink="">
          <xdr:nvSpPr>
            <xdr:cNvPr id="11344" name="Check Box 80" hidden="1">
              <a:extLst>
                <a:ext uri="{63B3BB69-23CF-44E3-9099-C40C66FF867C}">
                  <a14:compatExt spid="_x0000_s113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0</xdr:col>
      <xdr:colOff>590550</xdr:colOff>
      <xdr:row>39</xdr:row>
      <xdr:rowOff>133349</xdr:rowOff>
    </xdr:from>
    <xdr:to>
      <xdr:col>6</xdr:col>
      <xdr:colOff>9525</xdr:colOff>
      <xdr:row>68</xdr:row>
      <xdr:rowOff>95249</xdr:rowOff>
    </xdr:to>
    <xdr:graphicFrame macro="">
      <xdr:nvGraphicFramePr>
        <xdr:cNvPr id="2" name="Диаграмма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6</xdr:col>
      <xdr:colOff>27212</xdr:colOff>
      <xdr:row>77</xdr:row>
      <xdr:rowOff>40821</xdr:rowOff>
    </xdr:from>
    <xdr:to>
      <xdr:col>28</xdr:col>
      <xdr:colOff>557893</xdr:colOff>
      <xdr:row>80</xdr:row>
      <xdr:rowOff>3497036</xdr:rowOff>
    </xdr:to>
    <xdr:graphicFrame macro="">
      <xdr:nvGraphicFramePr>
        <xdr:cNvPr id="4" name="Диаграмма 3">
          <a:extLst>
            <a:ext uri="{FF2B5EF4-FFF2-40B4-BE49-F238E27FC236}">
              <a16:creationId xmlns="" xmlns:a16="http://schemas.microsoft.com/office/drawing/2014/main" id="{00000000-0008-0000-03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782409</xdr:colOff>
      <xdr:row>24</xdr:row>
      <xdr:rowOff>39688</xdr:rowOff>
    </xdr:from>
    <xdr:to>
      <xdr:col>28</xdr:col>
      <xdr:colOff>102052</xdr:colOff>
      <xdr:row>30</xdr:row>
      <xdr:rowOff>152400</xdr:rowOff>
    </xdr:to>
    <xdr:graphicFrame macro="">
      <xdr:nvGraphicFramePr>
        <xdr:cNvPr id="5" name="Диаграмма 4">
          <a:extLst>
            <a:ext uri="{FF2B5EF4-FFF2-40B4-BE49-F238E27FC236}">
              <a16:creationId xmlns="" xmlns:a16="http://schemas.microsoft.com/office/drawing/2014/main" id="{00000000-0008-0000-03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699067</xdr:colOff>
      <xdr:row>92</xdr:row>
      <xdr:rowOff>41956</xdr:rowOff>
    </xdr:from>
    <xdr:to>
      <xdr:col>21</xdr:col>
      <xdr:colOff>790348</xdr:colOff>
      <xdr:row>95</xdr:row>
      <xdr:rowOff>2911929</xdr:rowOff>
    </xdr:to>
    <xdr:graphicFrame macro="">
      <xdr:nvGraphicFramePr>
        <xdr:cNvPr id="6" name="Диаграмма 5">
          <a:extLst>
            <a:ext uri="{FF2B5EF4-FFF2-40B4-BE49-F238E27FC236}">
              <a16:creationId xmlns="" xmlns:a16="http://schemas.microsoft.com/office/drawing/2014/main" id="{00000000-0008-0000-03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54428</xdr:colOff>
      <xdr:row>92</xdr:row>
      <xdr:rowOff>72572</xdr:rowOff>
    </xdr:from>
    <xdr:to>
      <xdr:col>41</xdr:col>
      <xdr:colOff>167824</xdr:colOff>
      <xdr:row>95</xdr:row>
      <xdr:rowOff>2902858</xdr:rowOff>
    </xdr:to>
    <xdr:graphicFrame macro="">
      <xdr:nvGraphicFramePr>
        <xdr:cNvPr id="7" name="Диаграмма 6">
          <a:extLst>
            <a:ext uri="{FF2B5EF4-FFF2-40B4-BE49-F238E27FC236}">
              <a16:creationId xmlns="" xmlns:a16="http://schemas.microsoft.com/office/drawing/2014/main" id="{00000000-0008-0000-03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24</xdr:row>
      <xdr:rowOff>106589</xdr:rowOff>
    </xdr:from>
    <xdr:to>
      <xdr:col>5</xdr:col>
      <xdr:colOff>1</xdr:colOff>
      <xdr:row>29</xdr:row>
      <xdr:rowOff>1580243</xdr:rowOff>
    </xdr:to>
    <xdr:graphicFrame macro="">
      <xdr:nvGraphicFramePr>
        <xdr:cNvPr id="8" name="Диаграмма 7">
          <a:extLst>
            <a:ext uri="{FF2B5EF4-FFF2-40B4-BE49-F238E27FC236}">
              <a16:creationId xmlns="" xmlns:a16="http://schemas.microsoft.com/office/drawing/2014/main" id="{00000000-0008-0000-03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21558</xdr:colOff>
      <xdr:row>29</xdr:row>
      <xdr:rowOff>1625600</xdr:rowOff>
    </xdr:from>
    <xdr:to>
      <xdr:col>5</xdr:col>
      <xdr:colOff>48773</xdr:colOff>
      <xdr:row>30</xdr:row>
      <xdr:rowOff>101601</xdr:rowOff>
    </xdr:to>
    <xdr:graphicFrame macro="">
      <xdr:nvGraphicFramePr>
        <xdr:cNvPr id="9" name="Диаграмма 8">
          <a:extLst>
            <a:ext uri="{FF2B5EF4-FFF2-40B4-BE49-F238E27FC236}">
              <a16:creationId xmlns="" xmlns:a16="http://schemas.microsoft.com/office/drawing/2014/main" id="{00000000-0008-0000-03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77</xdr:row>
      <xdr:rowOff>115260</xdr:rowOff>
    </xdr:from>
    <xdr:to>
      <xdr:col>5</xdr:col>
      <xdr:colOff>437030</xdr:colOff>
      <xdr:row>80</xdr:row>
      <xdr:rowOff>1642462</xdr:rowOff>
    </xdr:to>
    <xdr:graphicFrame macro="">
      <xdr:nvGraphicFramePr>
        <xdr:cNvPr id="10" name="Диаграмма 9">
          <a:extLst>
            <a:ext uri="{FF2B5EF4-FFF2-40B4-BE49-F238E27FC236}">
              <a16:creationId xmlns="" xmlns:a16="http://schemas.microsoft.com/office/drawing/2014/main" id="{00000000-0008-0000-03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5</xdr:col>
      <xdr:colOff>389846</xdr:colOff>
      <xdr:row>114</xdr:row>
      <xdr:rowOff>67733</xdr:rowOff>
    </xdr:from>
    <xdr:to>
      <xdr:col>21</xdr:col>
      <xdr:colOff>418874</xdr:colOff>
      <xdr:row>129</xdr:row>
      <xdr:rowOff>145975</xdr:rowOff>
    </xdr:to>
    <xdr:graphicFrame macro="">
      <xdr:nvGraphicFramePr>
        <xdr:cNvPr id="11" name="Диаграмма 10">
          <a:extLst>
            <a:ext uri="{FF2B5EF4-FFF2-40B4-BE49-F238E27FC236}">
              <a16:creationId xmlns="" xmlns:a16="http://schemas.microsoft.com/office/drawing/2014/main" id="{00000000-0008-0000-03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30541</xdr:colOff>
      <xdr:row>115</xdr:row>
      <xdr:rowOff>269874</xdr:rowOff>
    </xdr:from>
    <xdr:to>
      <xdr:col>5</xdr:col>
      <xdr:colOff>112184</xdr:colOff>
      <xdr:row>129</xdr:row>
      <xdr:rowOff>160866</xdr:rowOff>
    </xdr:to>
    <xdr:graphicFrame macro="">
      <xdr:nvGraphicFramePr>
        <xdr:cNvPr id="12" name="Диаграмма 11">
          <a:extLst>
            <a:ext uri="{FF2B5EF4-FFF2-40B4-BE49-F238E27FC236}">
              <a16:creationId xmlns="" xmlns:a16="http://schemas.microsoft.com/office/drawing/2014/main" id="{00000000-0008-0000-0300-00000C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6</xdr:col>
      <xdr:colOff>27212</xdr:colOff>
      <xdr:row>77</xdr:row>
      <xdr:rowOff>40821</xdr:rowOff>
    </xdr:from>
    <xdr:to>
      <xdr:col>22</xdr:col>
      <xdr:colOff>0</xdr:colOff>
      <xdr:row>80</xdr:row>
      <xdr:rowOff>3497036</xdr:rowOff>
    </xdr:to>
    <xdr:graphicFrame macro="">
      <xdr:nvGraphicFramePr>
        <xdr:cNvPr id="2" name="Диаграмма 1">
          <a:extLst>
            <a:ext uri="{FF2B5EF4-FFF2-40B4-BE49-F238E27FC236}">
              <a16:creationId xmlns="" xmlns:a16="http://schemas.microsoft.com/office/drawing/2014/main" id="{00000000-0008-0000-0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734784</xdr:colOff>
      <xdr:row>27</xdr:row>
      <xdr:rowOff>95250</xdr:rowOff>
    </xdr:from>
    <xdr:to>
      <xdr:col>22</xdr:col>
      <xdr:colOff>0</xdr:colOff>
      <xdr:row>30</xdr:row>
      <xdr:rowOff>118383</xdr:rowOff>
    </xdr:to>
    <xdr:graphicFrame macro="">
      <xdr:nvGraphicFramePr>
        <xdr:cNvPr id="3" name="Диаграмма 2">
          <a:extLst>
            <a:ext uri="{FF2B5EF4-FFF2-40B4-BE49-F238E27FC236}">
              <a16:creationId xmlns="" xmlns:a16="http://schemas.microsoft.com/office/drawing/2014/main" id="{00000000-0008-0000-05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265150</xdr:colOff>
      <xdr:row>93</xdr:row>
      <xdr:rowOff>105457</xdr:rowOff>
    </xdr:from>
    <xdr:to>
      <xdr:col>18</xdr:col>
      <xdr:colOff>0</xdr:colOff>
      <xdr:row>95</xdr:row>
      <xdr:rowOff>3282346</xdr:rowOff>
    </xdr:to>
    <xdr:graphicFrame macro="">
      <xdr:nvGraphicFramePr>
        <xdr:cNvPr id="4" name="Диаграмма 3">
          <a:extLst>
            <a:ext uri="{FF2B5EF4-FFF2-40B4-BE49-F238E27FC236}">
              <a16:creationId xmlns="" xmlns:a16="http://schemas.microsoft.com/office/drawing/2014/main" id="{00000000-0008-0000-05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18</xdr:col>
      <xdr:colOff>0</xdr:colOff>
      <xdr:row>94</xdr:row>
      <xdr:rowOff>9073</xdr:rowOff>
    </xdr:from>
    <xdr:to>
      <xdr:col>30</xdr:col>
      <xdr:colOff>146657</xdr:colOff>
      <xdr:row>95</xdr:row>
      <xdr:rowOff>3336775</xdr:rowOff>
    </xdr:to>
    <xdr:graphicFrame macro="">
      <xdr:nvGraphicFramePr>
        <xdr:cNvPr id="5" name="Диаграмма 4">
          <a:extLst>
            <a:ext uri="{FF2B5EF4-FFF2-40B4-BE49-F238E27FC236}">
              <a16:creationId xmlns="" xmlns:a16="http://schemas.microsoft.com/office/drawing/2014/main" id="{00000000-0008-0000-05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40821</xdr:colOff>
      <xdr:row>24</xdr:row>
      <xdr:rowOff>131989</xdr:rowOff>
    </xdr:from>
    <xdr:to>
      <xdr:col>5</xdr:col>
      <xdr:colOff>40822</xdr:colOff>
      <xdr:row>29</xdr:row>
      <xdr:rowOff>1605643</xdr:rowOff>
    </xdr:to>
    <xdr:graphicFrame macro="">
      <xdr:nvGraphicFramePr>
        <xdr:cNvPr id="6" name="Диаграмма 5">
          <a:extLst>
            <a:ext uri="{FF2B5EF4-FFF2-40B4-BE49-F238E27FC236}">
              <a16:creationId xmlns="" xmlns:a16="http://schemas.microsoft.com/office/drawing/2014/main" id="{00000000-0008-0000-05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46958</xdr:colOff>
      <xdr:row>29</xdr:row>
      <xdr:rowOff>1381525</xdr:rowOff>
    </xdr:from>
    <xdr:to>
      <xdr:col>5</xdr:col>
      <xdr:colOff>74173</xdr:colOff>
      <xdr:row>30</xdr:row>
      <xdr:rowOff>96664</xdr:rowOff>
    </xdr:to>
    <xdr:graphicFrame macro="">
      <xdr:nvGraphicFramePr>
        <xdr:cNvPr id="7" name="Диаграмма 6">
          <a:extLst>
            <a:ext uri="{FF2B5EF4-FFF2-40B4-BE49-F238E27FC236}">
              <a16:creationId xmlns="" xmlns:a16="http://schemas.microsoft.com/office/drawing/2014/main" id="{00000000-0008-0000-05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77</xdr:row>
      <xdr:rowOff>115260</xdr:rowOff>
    </xdr:from>
    <xdr:to>
      <xdr:col>5</xdr:col>
      <xdr:colOff>437030</xdr:colOff>
      <xdr:row>80</xdr:row>
      <xdr:rowOff>1642462</xdr:rowOff>
    </xdr:to>
    <xdr:graphicFrame macro="">
      <xdr:nvGraphicFramePr>
        <xdr:cNvPr id="8" name="Диаграмма 7">
          <a:extLst>
            <a:ext uri="{FF2B5EF4-FFF2-40B4-BE49-F238E27FC236}">
              <a16:creationId xmlns="" xmlns:a16="http://schemas.microsoft.com/office/drawing/2014/main" id="{00000000-0008-0000-05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5</xdr:col>
      <xdr:colOff>668111</xdr:colOff>
      <xdr:row>115</xdr:row>
      <xdr:rowOff>477383</xdr:rowOff>
    </xdr:from>
    <xdr:to>
      <xdr:col>19</xdr:col>
      <xdr:colOff>802821</xdr:colOff>
      <xdr:row>132</xdr:row>
      <xdr:rowOff>20412</xdr:rowOff>
    </xdr:to>
    <xdr:graphicFrame macro="">
      <xdr:nvGraphicFramePr>
        <xdr:cNvPr id="9" name="Диаграмма 8">
          <a:extLst>
            <a:ext uri="{FF2B5EF4-FFF2-40B4-BE49-F238E27FC236}">
              <a16:creationId xmlns="" xmlns:a16="http://schemas.microsoft.com/office/drawing/2014/main" id="{00000000-0008-0000-05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13608</xdr:colOff>
      <xdr:row>115</xdr:row>
      <xdr:rowOff>295274</xdr:rowOff>
    </xdr:from>
    <xdr:to>
      <xdr:col>5</xdr:col>
      <xdr:colOff>95251</xdr:colOff>
      <xdr:row>130</xdr:row>
      <xdr:rowOff>0</xdr:rowOff>
    </xdr:to>
    <xdr:graphicFrame macro="">
      <xdr:nvGraphicFramePr>
        <xdr:cNvPr id="10" name="Диаграмма 9">
          <a:extLst>
            <a:ext uri="{FF2B5EF4-FFF2-40B4-BE49-F238E27FC236}">
              <a16:creationId xmlns="" xmlns:a16="http://schemas.microsoft.com/office/drawing/2014/main" id="{00000000-0008-0000-05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2</xdr:row>
      <xdr:rowOff>101600</xdr:rowOff>
    </xdr:from>
    <xdr:to>
      <xdr:col>0</xdr:col>
      <xdr:colOff>0</xdr:colOff>
      <xdr:row>4</xdr:row>
      <xdr:rowOff>177800</xdr:rowOff>
    </xdr:to>
    <xdr:sp macro="" textlink="">
      <xdr:nvSpPr>
        <xdr:cNvPr id="7" name="Rounded Rectangle 8">
          <a:hlinkClick xmlns:r="http://schemas.openxmlformats.org/officeDocument/2006/relationships" r:id="rId1"/>
          <a:extLst>
            <a:ext uri="{FF2B5EF4-FFF2-40B4-BE49-F238E27FC236}">
              <a16:creationId xmlns="" xmlns:a16="http://schemas.microsoft.com/office/drawing/2014/main" id="{00000000-0008-0000-0800-000007000000}"/>
            </a:ext>
          </a:extLst>
        </xdr:cNvPr>
        <xdr:cNvSpPr/>
      </xdr:nvSpPr>
      <xdr:spPr>
        <a:xfrm>
          <a:off x="101600" y="101600"/>
          <a:ext cx="1663700" cy="457200"/>
        </a:xfrm>
        <a:prstGeom prst="roundRect">
          <a:avLst/>
        </a:prstGeom>
        <a:solidFill>
          <a:schemeClr val="bg1">
            <a:lumMod val="75000"/>
          </a:schemeClr>
        </a:solidFill>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ctr"/>
          <a:r>
            <a:rPr lang="en-GB" sz="1800"/>
            <a:t>Back</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2</xdr:col>
      <xdr:colOff>986118</xdr:colOff>
      <xdr:row>44</xdr:row>
      <xdr:rowOff>90767</xdr:rowOff>
    </xdr:from>
    <xdr:to>
      <xdr:col>8</xdr:col>
      <xdr:colOff>806824</xdr:colOff>
      <xdr:row>57</xdr:row>
      <xdr:rowOff>133349</xdr:rowOff>
    </xdr:to>
    <xdr:graphicFrame macro="">
      <xdr:nvGraphicFramePr>
        <xdr:cNvPr id="2" name="Диаграмма 1">
          <a:extLst>
            <a:ext uri="{FF2B5EF4-FFF2-40B4-BE49-F238E27FC236}">
              <a16:creationId xmlns="" xmlns:a16="http://schemas.microsoft.com/office/drawing/2014/main" id="{00000000-0008-0000-0C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44824</xdr:colOff>
      <xdr:row>56</xdr:row>
      <xdr:rowOff>168088</xdr:rowOff>
    </xdr:from>
    <xdr:to>
      <xdr:col>7</xdr:col>
      <xdr:colOff>470648</xdr:colOff>
      <xdr:row>71</xdr:row>
      <xdr:rowOff>53788</xdr:rowOff>
    </xdr:to>
    <xdr:graphicFrame macro="">
      <xdr:nvGraphicFramePr>
        <xdr:cNvPr id="3" name="Диаграмма 2">
          <a:extLst>
            <a:ext uri="{FF2B5EF4-FFF2-40B4-BE49-F238E27FC236}">
              <a16:creationId xmlns="" xmlns:a16="http://schemas.microsoft.com/office/drawing/2014/main" id="{00000000-0008-0000-0C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ables/table1.xml><?xml version="1.0" encoding="utf-8"?>
<table xmlns="http://schemas.openxmlformats.org/spreadsheetml/2006/main" id="2" name="Table2" displayName="Table2" ref="J2:K543" totalsRowShown="0" headerRowDxfId="24" dataDxfId="22" headerRowBorderDxfId="23" tableBorderDxfId="21" totalsRowBorderDxfId="20">
  <autoFilter ref="J2:K543"/>
  <tableColumns count="2">
    <tableColumn id="1" name="Регион" dataDxfId="19" dataCellStyle="Normal 2"/>
    <tableColumn id="2" name="Город" dataDxfId="18" dataCellStyle="Normal 2"/>
  </tableColumns>
  <tableStyleInfo name="TableStyleLight1" showFirstColumn="0" showLastColumn="0" showRowStripes="1" showColumnStripes="0"/>
</table>
</file>

<file path=xl/tables/table2.xml><?xml version="1.0" encoding="utf-8"?>
<table xmlns="http://schemas.openxmlformats.org/spreadsheetml/2006/main" id="3" name="Table1" displayName="Table1" ref="P2:P5" totalsRowShown="0" headerRowDxfId="17" dataDxfId="15" headerRowBorderDxfId="16" tableBorderDxfId="14" totalsRowBorderDxfId="13">
  <autoFilter ref="P2:P5"/>
  <tableColumns count="1">
    <tableColumn id="1" name="Технология системы отопления (центральное отопление)" dataDxfId="12"/>
  </tableColumns>
  <tableStyleInfo name="TableStyleLight1" showFirstColumn="0" showLastColumn="0" showRowStripes="1" showColumnStripes="0"/>
</table>
</file>

<file path=xl/tables/table3.xml><?xml version="1.0" encoding="utf-8"?>
<table xmlns="http://schemas.openxmlformats.org/spreadsheetml/2006/main" id="4" name="Table5" displayName="Table5" ref="R2:R9" totalsRowShown="0" headerRowDxfId="11" dataDxfId="9" headerRowBorderDxfId="10" tableBorderDxfId="8" totalsRowBorderDxfId="7">
  <autoFilter ref="R2:R9"/>
  <tableColumns count="1">
    <tableColumn id="1" name="Контрольно-измерительные системы (многоквартирные и частные дома с центральным отоплением)" dataDxfId="6"/>
  </tableColumns>
  <tableStyleInfo name="TableStyleLight1" showFirstColumn="0" showLastColumn="0" showRowStripes="1" showColumnStripes="0"/>
</table>
</file>

<file path=xl/tables/table4.xml><?xml version="1.0" encoding="utf-8"?>
<table xmlns="http://schemas.openxmlformats.org/spreadsheetml/2006/main" id="5" name="Table15" displayName="Table15" ref="T2:T6" totalsRowShown="0" headerRowDxfId="5" dataDxfId="3" headerRowBorderDxfId="4" tableBorderDxfId="2" totalsRowBorderDxfId="1">
  <autoFilter ref="T2:T6"/>
  <tableColumns count="1">
    <tableColumn id="1" name="Тип вентиляции" dataDxfId="0"/>
  </tableColumns>
  <tableStyleInfo name="TableStyleLight1" showFirstColumn="0" showLastColumn="0" showRowStripes="1" showColumnStripes="0"/>
</table>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fondgkh.ru/finances/finansovaya-podderzhka-kapitalnogo-remonta-v-2017-godu/pomoshhnik-ekr/" TargetMode="Externa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5.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table" Target="../tables/table1.xml"/><Relationship Id="rId4" Type="http://schemas.openxmlformats.org/officeDocument/2006/relationships/table" Target="../tables/table4.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9.xml"/><Relationship Id="rId18" Type="http://schemas.openxmlformats.org/officeDocument/2006/relationships/ctrlProp" Target="../ctrlProps/ctrlProp14.xml"/><Relationship Id="rId26" Type="http://schemas.openxmlformats.org/officeDocument/2006/relationships/ctrlProp" Target="../ctrlProps/ctrlProp22.xml"/><Relationship Id="rId39" Type="http://schemas.openxmlformats.org/officeDocument/2006/relationships/ctrlProp" Target="../ctrlProps/ctrlProp35.xml"/><Relationship Id="rId21" Type="http://schemas.openxmlformats.org/officeDocument/2006/relationships/ctrlProp" Target="../ctrlProps/ctrlProp17.xml"/><Relationship Id="rId34" Type="http://schemas.openxmlformats.org/officeDocument/2006/relationships/ctrlProp" Target="../ctrlProps/ctrlProp30.xml"/><Relationship Id="rId7" Type="http://schemas.openxmlformats.org/officeDocument/2006/relationships/ctrlProp" Target="../ctrlProps/ctrlProp3.xml"/><Relationship Id="rId2" Type="http://schemas.openxmlformats.org/officeDocument/2006/relationships/printerSettings" Target="../printerSettings/printerSettings2.bin"/><Relationship Id="rId16" Type="http://schemas.openxmlformats.org/officeDocument/2006/relationships/ctrlProp" Target="../ctrlProps/ctrlProp12.xml"/><Relationship Id="rId20" Type="http://schemas.openxmlformats.org/officeDocument/2006/relationships/ctrlProp" Target="../ctrlProps/ctrlProp16.xml"/><Relationship Id="rId29" Type="http://schemas.openxmlformats.org/officeDocument/2006/relationships/ctrlProp" Target="../ctrlProps/ctrlProp25.xml"/><Relationship Id="rId41" Type="http://schemas.openxmlformats.org/officeDocument/2006/relationships/ctrlProp" Target="../ctrlProps/ctrlProp37.xml"/><Relationship Id="rId1" Type="http://schemas.openxmlformats.org/officeDocument/2006/relationships/hyperlink" Target="http://fondgkh.ru/finances/finansovaya-podderzhka-kapitalnogo-remonta-v-2017-godu/pomoshhnik-ekr/" TargetMode="External"/><Relationship Id="rId6" Type="http://schemas.openxmlformats.org/officeDocument/2006/relationships/ctrlProp" Target="../ctrlProps/ctrlProp2.xml"/><Relationship Id="rId11" Type="http://schemas.openxmlformats.org/officeDocument/2006/relationships/ctrlProp" Target="../ctrlProps/ctrlProp7.xml"/><Relationship Id="rId24" Type="http://schemas.openxmlformats.org/officeDocument/2006/relationships/ctrlProp" Target="../ctrlProps/ctrlProp20.xml"/><Relationship Id="rId32" Type="http://schemas.openxmlformats.org/officeDocument/2006/relationships/ctrlProp" Target="../ctrlProps/ctrlProp28.xml"/><Relationship Id="rId37" Type="http://schemas.openxmlformats.org/officeDocument/2006/relationships/ctrlProp" Target="../ctrlProps/ctrlProp33.xml"/><Relationship Id="rId40" Type="http://schemas.openxmlformats.org/officeDocument/2006/relationships/ctrlProp" Target="../ctrlProps/ctrlProp36.xml"/><Relationship Id="rId5" Type="http://schemas.openxmlformats.org/officeDocument/2006/relationships/ctrlProp" Target="../ctrlProps/ctrlProp1.xml"/><Relationship Id="rId15" Type="http://schemas.openxmlformats.org/officeDocument/2006/relationships/ctrlProp" Target="../ctrlProps/ctrlProp11.xml"/><Relationship Id="rId23" Type="http://schemas.openxmlformats.org/officeDocument/2006/relationships/ctrlProp" Target="../ctrlProps/ctrlProp19.xml"/><Relationship Id="rId28" Type="http://schemas.openxmlformats.org/officeDocument/2006/relationships/ctrlProp" Target="../ctrlProps/ctrlProp24.xml"/><Relationship Id="rId36" Type="http://schemas.openxmlformats.org/officeDocument/2006/relationships/ctrlProp" Target="../ctrlProps/ctrlProp32.xml"/><Relationship Id="rId10" Type="http://schemas.openxmlformats.org/officeDocument/2006/relationships/ctrlProp" Target="../ctrlProps/ctrlProp6.xml"/><Relationship Id="rId19" Type="http://schemas.openxmlformats.org/officeDocument/2006/relationships/ctrlProp" Target="../ctrlProps/ctrlProp15.xml"/><Relationship Id="rId31" Type="http://schemas.openxmlformats.org/officeDocument/2006/relationships/ctrlProp" Target="../ctrlProps/ctrlProp27.xml"/><Relationship Id="rId4" Type="http://schemas.openxmlformats.org/officeDocument/2006/relationships/vmlDrawing" Target="../drawings/vmlDrawing1.vml"/><Relationship Id="rId9" Type="http://schemas.openxmlformats.org/officeDocument/2006/relationships/ctrlProp" Target="../ctrlProps/ctrlProp5.xml"/><Relationship Id="rId14" Type="http://schemas.openxmlformats.org/officeDocument/2006/relationships/ctrlProp" Target="../ctrlProps/ctrlProp10.xml"/><Relationship Id="rId22" Type="http://schemas.openxmlformats.org/officeDocument/2006/relationships/ctrlProp" Target="../ctrlProps/ctrlProp18.xml"/><Relationship Id="rId27" Type="http://schemas.openxmlformats.org/officeDocument/2006/relationships/ctrlProp" Target="../ctrlProps/ctrlProp23.xml"/><Relationship Id="rId30" Type="http://schemas.openxmlformats.org/officeDocument/2006/relationships/ctrlProp" Target="../ctrlProps/ctrlProp26.xml"/><Relationship Id="rId35" Type="http://schemas.openxmlformats.org/officeDocument/2006/relationships/ctrlProp" Target="../ctrlProps/ctrlProp31.xml"/><Relationship Id="rId8" Type="http://schemas.openxmlformats.org/officeDocument/2006/relationships/ctrlProp" Target="../ctrlProps/ctrlProp4.xml"/><Relationship Id="rId3" Type="http://schemas.openxmlformats.org/officeDocument/2006/relationships/drawing" Target="../drawings/drawing1.xml"/><Relationship Id="rId12" Type="http://schemas.openxmlformats.org/officeDocument/2006/relationships/ctrlProp" Target="../ctrlProps/ctrlProp8.xml"/><Relationship Id="rId17" Type="http://schemas.openxmlformats.org/officeDocument/2006/relationships/ctrlProp" Target="../ctrlProps/ctrlProp13.xml"/><Relationship Id="rId25" Type="http://schemas.openxmlformats.org/officeDocument/2006/relationships/ctrlProp" Target="../ctrlProps/ctrlProp21.xml"/><Relationship Id="rId33" Type="http://schemas.openxmlformats.org/officeDocument/2006/relationships/ctrlProp" Target="../ctrlProps/ctrlProp29.xml"/><Relationship Id="rId38" Type="http://schemas.openxmlformats.org/officeDocument/2006/relationships/ctrlProp" Target="../ctrlProps/ctrlProp34.xml"/></Relationships>
</file>

<file path=xl/worksheets/_rels/sheet3.xml.rels><?xml version="1.0" encoding="UTF-8" standalone="yes"?>
<Relationships xmlns="http://schemas.openxmlformats.org/package/2006/relationships"><Relationship Id="rId13" Type="http://schemas.openxmlformats.org/officeDocument/2006/relationships/ctrlProp" Target="../ctrlProps/ctrlProp45.xml"/><Relationship Id="rId18" Type="http://schemas.openxmlformats.org/officeDocument/2006/relationships/ctrlProp" Target="../ctrlProps/ctrlProp50.xml"/><Relationship Id="rId26" Type="http://schemas.openxmlformats.org/officeDocument/2006/relationships/ctrlProp" Target="../ctrlProps/ctrlProp58.xml"/><Relationship Id="rId3" Type="http://schemas.openxmlformats.org/officeDocument/2006/relationships/printerSettings" Target="../printerSettings/printerSettings3.bin"/><Relationship Id="rId21" Type="http://schemas.openxmlformats.org/officeDocument/2006/relationships/ctrlProp" Target="../ctrlProps/ctrlProp53.xml"/><Relationship Id="rId7" Type="http://schemas.openxmlformats.org/officeDocument/2006/relationships/ctrlProp" Target="../ctrlProps/ctrlProp39.xml"/><Relationship Id="rId12" Type="http://schemas.openxmlformats.org/officeDocument/2006/relationships/ctrlProp" Target="../ctrlProps/ctrlProp44.xml"/><Relationship Id="rId17" Type="http://schemas.openxmlformats.org/officeDocument/2006/relationships/ctrlProp" Target="../ctrlProps/ctrlProp49.xml"/><Relationship Id="rId25" Type="http://schemas.openxmlformats.org/officeDocument/2006/relationships/ctrlProp" Target="../ctrlProps/ctrlProp57.xml"/><Relationship Id="rId33" Type="http://schemas.openxmlformats.org/officeDocument/2006/relationships/comments" Target="../comments1.xml"/><Relationship Id="rId2" Type="http://schemas.openxmlformats.org/officeDocument/2006/relationships/hyperlink" Target="http://fondgkh.ru/finances/finansovaya-podderzhka-kapitalnogo-remonta-v-2017-godu/pomoshhnik-ekr/" TargetMode="External"/><Relationship Id="rId16" Type="http://schemas.openxmlformats.org/officeDocument/2006/relationships/ctrlProp" Target="../ctrlProps/ctrlProp48.xml"/><Relationship Id="rId20" Type="http://schemas.openxmlformats.org/officeDocument/2006/relationships/ctrlProp" Target="../ctrlProps/ctrlProp52.xml"/><Relationship Id="rId29" Type="http://schemas.openxmlformats.org/officeDocument/2006/relationships/ctrlProp" Target="../ctrlProps/ctrlProp61.xml"/><Relationship Id="rId1" Type="http://schemas.openxmlformats.org/officeDocument/2006/relationships/hyperlink" Target="http://fondgkh.ru/" TargetMode="External"/><Relationship Id="rId6" Type="http://schemas.openxmlformats.org/officeDocument/2006/relationships/ctrlProp" Target="../ctrlProps/ctrlProp38.xml"/><Relationship Id="rId11" Type="http://schemas.openxmlformats.org/officeDocument/2006/relationships/ctrlProp" Target="../ctrlProps/ctrlProp43.xml"/><Relationship Id="rId24" Type="http://schemas.openxmlformats.org/officeDocument/2006/relationships/ctrlProp" Target="../ctrlProps/ctrlProp56.xml"/><Relationship Id="rId32" Type="http://schemas.openxmlformats.org/officeDocument/2006/relationships/ctrlProp" Target="../ctrlProps/ctrlProp64.xml"/><Relationship Id="rId5" Type="http://schemas.openxmlformats.org/officeDocument/2006/relationships/vmlDrawing" Target="../drawings/vmlDrawing2.vml"/><Relationship Id="rId15" Type="http://schemas.openxmlformats.org/officeDocument/2006/relationships/ctrlProp" Target="../ctrlProps/ctrlProp47.xml"/><Relationship Id="rId23" Type="http://schemas.openxmlformats.org/officeDocument/2006/relationships/ctrlProp" Target="../ctrlProps/ctrlProp55.xml"/><Relationship Id="rId28" Type="http://schemas.openxmlformats.org/officeDocument/2006/relationships/ctrlProp" Target="../ctrlProps/ctrlProp60.xml"/><Relationship Id="rId10" Type="http://schemas.openxmlformats.org/officeDocument/2006/relationships/ctrlProp" Target="../ctrlProps/ctrlProp42.xml"/><Relationship Id="rId19" Type="http://schemas.openxmlformats.org/officeDocument/2006/relationships/ctrlProp" Target="../ctrlProps/ctrlProp51.xml"/><Relationship Id="rId31" Type="http://schemas.openxmlformats.org/officeDocument/2006/relationships/ctrlProp" Target="../ctrlProps/ctrlProp63.xml"/><Relationship Id="rId4" Type="http://schemas.openxmlformats.org/officeDocument/2006/relationships/drawing" Target="../drawings/drawing2.xml"/><Relationship Id="rId9" Type="http://schemas.openxmlformats.org/officeDocument/2006/relationships/ctrlProp" Target="../ctrlProps/ctrlProp41.xml"/><Relationship Id="rId14" Type="http://schemas.openxmlformats.org/officeDocument/2006/relationships/ctrlProp" Target="../ctrlProps/ctrlProp46.xml"/><Relationship Id="rId22" Type="http://schemas.openxmlformats.org/officeDocument/2006/relationships/ctrlProp" Target="../ctrlProps/ctrlProp54.xml"/><Relationship Id="rId27" Type="http://schemas.openxmlformats.org/officeDocument/2006/relationships/ctrlProp" Target="../ctrlProps/ctrlProp59.xml"/><Relationship Id="rId30" Type="http://schemas.openxmlformats.org/officeDocument/2006/relationships/ctrlProp" Target="../ctrlProps/ctrlProp62.xml"/><Relationship Id="rId8" Type="http://schemas.openxmlformats.org/officeDocument/2006/relationships/ctrlProp" Target="../ctrlProps/ctrlProp40.xm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fondgkh.ru/finances/finansovaya-podderzhka-kapitalnogo-remonta-v-2017-godu/pomoshhnik-ekr/" TargetMode="External"/><Relationship Id="rId1" Type="http://schemas.openxmlformats.org/officeDocument/2006/relationships/hyperlink" Target="http://fondgkh.ru/" TargetMode="External"/><Relationship Id="rId4"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fondgkh.ru/finances/finansovaya-podderzhka-kapitalnogo-remonta-v-2017-godu/pomoshhnik-ekr/" TargetMode="External"/></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drawing" Target="../drawings/drawing4.xml"/></Relationships>
</file>

<file path=xl/worksheets/_rels/sheet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4.vml"/><Relationship Id="rId1" Type="http://schemas.openxmlformats.org/officeDocument/2006/relationships/drawing" Target="../drawings/drawing5.xml"/></Relationships>
</file>

<file path=xl/worksheets/_rels/sheet9.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1:X47"/>
  <sheetViews>
    <sheetView tabSelected="1" zoomScaleNormal="100" workbookViewId="0">
      <pane ySplit="1" topLeftCell="A2" activePane="bottomLeft" state="frozen"/>
      <selection pane="bottomLeft" activeCell="H6" sqref="H6"/>
    </sheetView>
  </sheetViews>
  <sheetFormatPr defaultColWidth="9.140625" defaultRowHeight="15" x14ac:dyDescent="0.25"/>
  <cols>
    <col min="1" max="1" width="9.140625" style="32"/>
    <col min="2" max="2" width="4.7109375" style="32" customWidth="1"/>
    <col min="3" max="3" width="4.28515625" style="32" customWidth="1"/>
    <col min="4" max="4" width="112" style="32" customWidth="1"/>
    <col min="5" max="16384" width="9.140625" style="32"/>
  </cols>
  <sheetData>
    <row r="1" spans="1:24" s="30" customFormat="1" x14ac:dyDescent="0.25">
      <c r="A1" s="31"/>
      <c r="B1" s="29"/>
      <c r="D1" s="1419" t="s">
        <v>1654</v>
      </c>
      <c r="E1" s="31"/>
      <c r="F1" s="31"/>
      <c r="G1" s="31"/>
      <c r="H1" s="31"/>
      <c r="I1" s="31"/>
      <c r="J1" s="31"/>
      <c r="K1" s="31"/>
      <c r="L1" s="31"/>
      <c r="M1" s="31"/>
      <c r="N1" s="31"/>
      <c r="O1" s="31"/>
      <c r="P1" s="31"/>
      <c r="Q1" s="31"/>
      <c r="R1" s="31"/>
      <c r="S1" s="31"/>
      <c r="T1" s="31"/>
      <c r="U1" s="31"/>
      <c r="V1" s="31"/>
      <c r="W1" s="31"/>
      <c r="X1" s="31"/>
    </row>
    <row r="2" spans="1:24" x14ac:dyDescent="0.25">
      <c r="A2" s="18"/>
      <c r="B2" s="18"/>
      <c r="C2" s="31"/>
      <c r="D2" s="31"/>
      <c r="E2" s="31"/>
      <c r="F2" s="31"/>
      <c r="G2" s="31"/>
      <c r="H2" s="31"/>
      <c r="I2" s="31"/>
      <c r="J2" s="31"/>
      <c r="K2" s="31"/>
      <c r="L2" s="31"/>
      <c r="M2" s="31"/>
      <c r="N2" s="31"/>
      <c r="O2" s="31"/>
      <c r="P2" s="31"/>
      <c r="Q2" s="31"/>
      <c r="R2" s="31"/>
      <c r="S2" s="31"/>
      <c r="T2" s="31"/>
      <c r="U2" s="31"/>
      <c r="V2" s="31"/>
      <c r="W2" s="31"/>
      <c r="X2" s="31"/>
    </row>
    <row r="3" spans="1:24" ht="36.75" customHeight="1" x14ac:dyDescent="0.35">
      <c r="A3" s="31"/>
      <c r="B3" s="33"/>
      <c r="C3" s="1530" t="s">
        <v>1872</v>
      </c>
      <c r="D3" s="1530"/>
      <c r="E3" s="31"/>
      <c r="F3" s="31"/>
      <c r="G3" s="31"/>
      <c r="H3" s="31"/>
      <c r="I3" s="31"/>
      <c r="J3" s="31"/>
      <c r="K3" s="31"/>
      <c r="L3" s="31"/>
      <c r="M3" s="31"/>
      <c r="N3" s="31"/>
      <c r="O3" s="31"/>
      <c r="P3" s="31"/>
      <c r="Q3" s="31"/>
      <c r="R3" s="31"/>
      <c r="S3" s="31"/>
      <c r="T3" s="31"/>
      <c r="U3" s="31"/>
      <c r="V3" s="31"/>
      <c r="W3" s="31"/>
      <c r="X3" s="31"/>
    </row>
    <row r="4" spans="1:24" x14ac:dyDescent="0.25">
      <c r="A4" s="31"/>
      <c r="B4" s="33"/>
      <c r="C4" s="33"/>
      <c r="D4" s="33"/>
      <c r="E4" s="31"/>
      <c r="F4" s="31"/>
      <c r="G4" s="31"/>
      <c r="H4" s="31"/>
      <c r="I4" s="31"/>
      <c r="J4" s="31"/>
      <c r="K4" s="31"/>
      <c r="L4" s="31"/>
      <c r="M4" s="31"/>
      <c r="N4" s="31"/>
      <c r="O4" s="31"/>
      <c r="P4" s="31"/>
      <c r="Q4" s="31"/>
      <c r="R4" s="31"/>
      <c r="S4" s="31"/>
      <c r="T4" s="31"/>
      <c r="U4" s="31"/>
      <c r="V4" s="31"/>
      <c r="W4" s="31"/>
      <c r="X4" s="31"/>
    </row>
    <row r="5" spans="1:24" ht="65.25" customHeight="1" x14ac:dyDescent="0.25">
      <c r="A5" s="31"/>
      <c r="B5" s="33"/>
      <c r="C5" s="1531" t="s">
        <v>1874</v>
      </c>
      <c r="D5" s="1531"/>
      <c r="E5" s="31"/>
      <c r="F5" s="31"/>
      <c r="G5" s="31"/>
      <c r="H5" s="31"/>
      <c r="I5" s="31"/>
      <c r="J5" s="31"/>
      <c r="K5" s="31"/>
      <c r="L5" s="31"/>
      <c r="M5" s="31"/>
      <c r="N5" s="31"/>
      <c r="O5" s="31"/>
      <c r="P5" s="31"/>
      <c r="Q5" s="31"/>
      <c r="R5" s="31"/>
      <c r="S5" s="31"/>
      <c r="T5" s="31"/>
      <c r="U5" s="31"/>
      <c r="V5" s="31"/>
      <c r="W5" s="31"/>
      <c r="X5" s="31"/>
    </row>
    <row r="6" spans="1:24" ht="26.25" x14ac:dyDescent="0.4">
      <c r="A6" s="31"/>
      <c r="B6" s="33"/>
      <c r="C6" s="1532" t="s">
        <v>1876</v>
      </c>
      <c r="D6" s="1532"/>
      <c r="E6" s="34"/>
      <c r="F6" s="31"/>
      <c r="G6" s="31"/>
      <c r="H6" s="31"/>
      <c r="I6" s="31"/>
      <c r="J6" s="31"/>
      <c r="K6" s="31"/>
      <c r="L6" s="31"/>
      <c r="M6" s="31"/>
      <c r="N6" s="31"/>
      <c r="O6" s="31"/>
      <c r="P6" s="31"/>
      <c r="Q6" s="31"/>
      <c r="R6" s="31"/>
      <c r="S6" s="31"/>
      <c r="T6" s="31"/>
      <c r="U6" s="31"/>
      <c r="V6" s="31"/>
      <c r="W6" s="31"/>
      <c r="X6" s="31"/>
    </row>
    <row r="7" spans="1:24" ht="39" customHeight="1" x14ac:dyDescent="0.3">
      <c r="A7" s="31"/>
      <c r="B7" s="33"/>
      <c r="C7" s="1529" t="s">
        <v>1655</v>
      </c>
      <c r="D7" s="1529"/>
      <c r="E7" s="34"/>
      <c r="F7" s="31"/>
      <c r="G7" s="31"/>
      <c r="H7" s="31"/>
      <c r="I7" s="31"/>
      <c r="J7" s="31"/>
      <c r="K7" s="31"/>
      <c r="L7" s="31"/>
      <c r="M7" s="31"/>
      <c r="N7" s="31"/>
      <c r="O7" s="31"/>
      <c r="P7" s="31"/>
      <c r="Q7" s="31"/>
      <c r="R7" s="31"/>
      <c r="S7" s="31"/>
      <c r="T7" s="31"/>
      <c r="U7" s="31"/>
      <c r="V7" s="31"/>
      <c r="W7" s="31"/>
      <c r="X7" s="31"/>
    </row>
    <row r="8" spans="1:24" ht="33" x14ac:dyDescent="0.25">
      <c r="A8" s="31"/>
      <c r="B8" s="33"/>
      <c r="C8" s="35"/>
      <c r="D8" s="36" t="s">
        <v>1656</v>
      </c>
      <c r="E8" s="34"/>
      <c r="F8" s="31"/>
      <c r="G8" s="31"/>
      <c r="H8" s="31"/>
      <c r="I8" s="31"/>
      <c r="J8" s="31"/>
      <c r="K8" s="31"/>
      <c r="L8" s="31"/>
      <c r="M8" s="31"/>
      <c r="N8" s="31"/>
      <c r="O8" s="31"/>
      <c r="P8" s="31"/>
      <c r="Q8" s="31"/>
      <c r="R8" s="31"/>
      <c r="S8" s="31"/>
      <c r="T8" s="31"/>
      <c r="U8" s="31"/>
      <c r="V8" s="31"/>
      <c r="W8" s="31"/>
      <c r="X8" s="31"/>
    </row>
    <row r="9" spans="1:24" ht="39" customHeight="1" x14ac:dyDescent="0.3">
      <c r="A9" s="31"/>
      <c r="B9" s="33"/>
      <c r="C9" s="1529" t="s">
        <v>1657</v>
      </c>
      <c r="D9" s="1529"/>
      <c r="E9" s="34"/>
      <c r="F9" s="31"/>
      <c r="G9" s="31"/>
      <c r="H9" s="31"/>
      <c r="I9" s="31"/>
      <c r="J9" s="31"/>
      <c r="K9" s="31"/>
      <c r="L9" s="31"/>
      <c r="M9" s="31"/>
      <c r="N9" s="31"/>
      <c r="O9" s="31"/>
      <c r="P9" s="31"/>
      <c r="Q9" s="31"/>
      <c r="R9" s="31"/>
      <c r="S9" s="31"/>
      <c r="T9" s="31"/>
      <c r="U9" s="31"/>
      <c r="V9" s="31"/>
      <c r="W9" s="31"/>
      <c r="X9" s="31"/>
    </row>
    <row r="10" spans="1:24" ht="49.5" x14ac:dyDescent="0.25">
      <c r="A10" s="31"/>
      <c r="B10" s="33"/>
      <c r="C10" s="35"/>
      <c r="D10" s="37" t="s">
        <v>1873</v>
      </c>
      <c r="E10" s="38"/>
      <c r="F10" s="31"/>
      <c r="G10" s="31"/>
      <c r="H10" s="31"/>
      <c r="I10" s="31"/>
      <c r="J10" s="31"/>
      <c r="K10" s="31"/>
      <c r="L10" s="31"/>
      <c r="M10" s="31"/>
      <c r="N10" s="31"/>
      <c r="O10" s="31"/>
      <c r="P10" s="31"/>
      <c r="Q10" s="31"/>
      <c r="R10" s="31"/>
      <c r="S10" s="31"/>
      <c r="T10" s="31"/>
      <c r="U10" s="31"/>
      <c r="V10" s="31"/>
      <c r="W10" s="31"/>
      <c r="X10" s="31"/>
    </row>
    <row r="11" spans="1:24" ht="39" customHeight="1" x14ac:dyDescent="0.3">
      <c r="A11" s="31"/>
      <c r="B11" s="33"/>
      <c r="C11" s="1529" t="s">
        <v>1658</v>
      </c>
      <c r="D11" s="1529"/>
      <c r="E11" s="34"/>
      <c r="F11" s="31"/>
      <c r="G11" s="31"/>
      <c r="H11" s="31"/>
      <c r="I11" s="31"/>
      <c r="J11" s="31"/>
      <c r="K11" s="31"/>
      <c r="L11" s="31"/>
      <c r="M11" s="31"/>
      <c r="N11" s="31"/>
      <c r="O11" s="31"/>
      <c r="P11" s="31"/>
      <c r="Q11" s="31"/>
      <c r="R11" s="31"/>
      <c r="S11" s="31"/>
      <c r="T11" s="31"/>
      <c r="U11" s="31"/>
      <c r="V11" s="31"/>
      <c r="W11" s="31"/>
      <c r="X11" s="31"/>
    </row>
    <row r="12" spans="1:24" ht="33" x14ac:dyDescent="0.25">
      <c r="A12" s="31"/>
      <c r="B12" s="33"/>
      <c r="C12" s="35"/>
      <c r="D12" s="37" t="s">
        <v>1659</v>
      </c>
      <c r="E12" s="34"/>
      <c r="F12" s="31"/>
      <c r="G12" s="31"/>
      <c r="H12" s="31"/>
      <c r="I12" s="31"/>
      <c r="J12" s="31"/>
      <c r="K12" s="31"/>
      <c r="L12" s="31"/>
      <c r="M12" s="31"/>
      <c r="N12" s="31"/>
      <c r="O12" s="31"/>
      <c r="P12" s="31"/>
      <c r="Q12" s="31"/>
      <c r="R12" s="31"/>
      <c r="S12" s="31"/>
      <c r="T12" s="31"/>
      <c r="U12" s="31"/>
      <c r="V12" s="31"/>
      <c r="W12" s="31"/>
      <c r="X12" s="31"/>
    </row>
    <row r="13" spans="1:24" ht="39" customHeight="1" x14ac:dyDescent="0.3">
      <c r="A13" s="31"/>
      <c r="B13" s="33"/>
      <c r="C13" s="1529" t="s">
        <v>1660</v>
      </c>
      <c r="D13" s="1529"/>
      <c r="E13" s="34"/>
      <c r="F13" s="31"/>
      <c r="G13" s="31"/>
      <c r="H13" s="31"/>
      <c r="I13" s="31"/>
      <c r="J13" s="31"/>
      <c r="K13" s="31"/>
      <c r="L13" s="31"/>
      <c r="M13" s="31"/>
      <c r="N13" s="31"/>
      <c r="O13" s="31"/>
      <c r="P13" s="31"/>
      <c r="Q13" s="31"/>
      <c r="R13" s="31"/>
      <c r="S13" s="31"/>
      <c r="T13" s="31"/>
      <c r="U13" s="31"/>
      <c r="V13" s="31"/>
      <c r="W13" s="31"/>
      <c r="X13" s="31"/>
    </row>
    <row r="14" spans="1:24" ht="34.5" customHeight="1" x14ac:dyDescent="0.25">
      <c r="A14" s="31"/>
      <c r="B14" s="33"/>
      <c r="C14" s="35"/>
      <c r="D14" s="37" t="s">
        <v>1875</v>
      </c>
      <c r="E14" s="31"/>
      <c r="F14" s="31"/>
      <c r="G14" s="31"/>
      <c r="H14" s="31"/>
      <c r="I14" s="31"/>
      <c r="J14" s="31"/>
      <c r="K14" s="31"/>
      <c r="L14" s="31"/>
      <c r="M14" s="31"/>
      <c r="N14" s="31"/>
      <c r="O14" s="31"/>
      <c r="P14" s="31"/>
      <c r="Q14" s="31"/>
      <c r="R14" s="31"/>
      <c r="S14" s="31"/>
      <c r="T14" s="31"/>
      <c r="U14" s="31"/>
      <c r="V14" s="31"/>
      <c r="W14" s="31"/>
      <c r="X14" s="31"/>
    </row>
    <row r="15" spans="1:24" x14ac:dyDescent="0.25">
      <c r="A15" s="31"/>
      <c r="B15" s="33"/>
      <c r="C15" s="33"/>
      <c r="D15" s="39" t="s">
        <v>1945</v>
      </c>
      <c r="E15" s="31"/>
      <c r="F15" s="31"/>
      <c r="G15" s="31"/>
      <c r="H15" s="31"/>
      <c r="I15" s="31"/>
      <c r="J15" s="31"/>
      <c r="K15" s="31"/>
      <c r="L15" s="31"/>
      <c r="M15" s="31"/>
      <c r="N15" s="31"/>
      <c r="O15" s="31"/>
      <c r="P15" s="31"/>
      <c r="Q15" s="31"/>
      <c r="R15" s="31"/>
      <c r="S15" s="31"/>
      <c r="T15" s="31"/>
      <c r="U15" s="31"/>
      <c r="V15" s="31"/>
      <c r="W15" s="31"/>
      <c r="X15" s="31"/>
    </row>
    <row r="16" spans="1:24" x14ac:dyDescent="0.25">
      <c r="A16" s="31"/>
      <c r="B16" s="31"/>
      <c r="C16" s="31"/>
      <c r="D16" s="31"/>
      <c r="E16" s="31"/>
      <c r="F16" s="31"/>
      <c r="G16" s="31"/>
      <c r="H16" s="31"/>
      <c r="I16" s="31"/>
      <c r="J16" s="31"/>
      <c r="K16" s="31"/>
      <c r="L16" s="31"/>
      <c r="M16" s="31"/>
      <c r="N16" s="31"/>
      <c r="O16" s="31"/>
      <c r="P16" s="31"/>
      <c r="Q16" s="31"/>
      <c r="R16" s="31"/>
      <c r="S16" s="31"/>
      <c r="T16" s="31"/>
      <c r="U16" s="31"/>
      <c r="V16" s="31"/>
      <c r="W16" s="31"/>
      <c r="X16" s="31"/>
    </row>
    <row r="17" spans="1:24" x14ac:dyDescent="0.25">
      <c r="A17" s="31"/>
      <c r="B17" s="31"/>
      <c r="C17" s="31"/>
      <c r="D17" s="31"/>
      <c r="E17" s="31"/>
      <c r="F17" s="31"/>
      <c r="G17" s="31"/>
      <c r="H17" s="31"/>
      <c r="I17" s="31"/>
      <c r="J17" s="31"/>
      <c r="K17" s="31"/>
      <c r="L17" s="31"/>
      <c r="M17" s="31"/>
      <c r="N17" s="31"/>
      <c r="O17" s="31"/>
      <c r="P17" s="31"/>
      <c r="Q17" s="31"/>
      <c r="R17" s="31"/>
      <c r="S17" s="31"/>
      <c r="T17" s="31"/>
      <c r="U17" s="31"/>
      <c r="V17" s="31"/>
      <c r="W17" s="31"/>
      <c r="X17" s="31"/>
    </row>
    <row r="18" spans="1:24" x14ac:dyDescent="0.25">
      <c r="A18" s="31"/>
      <c r="B18" s="31"/>
      <c r="C18" s="31"/>
      <c r="D18" s="31"/>
      <c r="E18" s="31"/>
      <c r="F18" s="31"/>
      <c r="G18" s="31"/>
      <c r="H18" s="31"/>
      <c r="I18" s="31"/>
      <c r="J18" s="31"/>
      <c r="K18" s="31"/>
      <c r="L18" s="31"/>
      <c r="M18" s="31"/>
      <c r="N18" s="31"/>
      <c r="O18" s="31"/>
      <c r="P18" s="31"/>
      <c r="Q18" s="31"/>
      <c r="R18" s="31"/>
      <c r="S18" s="31"/>
      <c r="T18" s="31"/>
      <c r="U18" s="31"/>
      <c r="V18" s="31"/>
      <c r="W18" s="31"/>
      <c r="X18" s="31"/>
    </row>
    <row r="19" spans="1:24" x14ac:dyDescent="0.25">
      <c r="A19" s="31"/>
      <c r="B19" s="31"/>
      <c r="C19" s="31"/>
      <c r="D19" s="31"/>
      <c r="E19" s="31"/>
      <c r="F19" s="31"/>
      <c r="G19" s="31"/>
      <c r="H19" s="31"/>
      <c r="I19" s="31"/>
      <c r="J19" s="31"/>
      <c r="K19" s="31"/>
      <c r="L19" s="31"/>
      <c r="M19" s="31"/>
      <c r="N19" s="31"/>
      <c r="O19" s="31"/>
      <c r="P19" s="31"/>
      <c r="Q19" s="31"/>
      <c r="R19" s="31"/>
      <c r="S19" s="31"/>
      <c r="T19" s="31"/>
      <c r="U19" s="31"/>
      <c r="V19" s="31"/>
      <c r="W19" s="31"/>
      <c r="X19" s="31"/>
    </row>
    <row r="20" spans="1:24" x14ac:dyDescent="0.25">
      <c r="A20" s="31"/>
      <c r="B20" s="31"/>
      <c r="C20" s="31"/>
      <c r="D20" s="31"/>
      <c r="E20" s="31"/>
      <c r="F20" s="31"/>
      <c r="G20" s="31"/>
      <c r="H20" s="31"/>
      <c r="I20" s="31"/>
      <c r="J20" s="31"/>
      <c r="K20" s="31"/>
      <c r="L20" s="31"/>
      <c r="M20" s="31"/>
      <c r="N20" s="31"/>
      <c r="O20" s="31"/>
      <c r="P20" s="31"/>
      <c r="Q20" s="31"/>
      <c r="R20" s="31"/>
      <c r="S20" s="31"/>
      <c r="T20" s="31"/>
      <c r="U20" s="31"/>
      <c r="V20" s="31"/>
      <c r="W20" s="31"/>
      <c r="X20" s="31"/>
    </row>
    <row r="21" spans="1:24" x14ac:dyDescent="0.25">
      <c r="A21" s="31"/>
      <c r="B21" s="31"/>
      <c r="C21" s="31"/>
      <c r="D21" s="31"/>
      <c r="E21" s="31"/>
      <c r="F21" s="31"/>
      <c r="G21" s="31"/>
      <c r="H21" s="31"/>
      <c r="I21" s="31"/>
      <c r="J21" s="31"/>
      <c r="K21" s="31"/>
      <c r="L21" s="31"/>
      <c r="M21" s="31"/>
      <c r="N21" s="31"/>
      <c r="O21" s="31"/>
      <c r="P21" s="31"/>
      <c r="Q21" s="31"/>
      <c r="R21" s="31"/>
      <c r="S21" s="31"/>
      <c r="T21" s="31"/>
      <c r="U21" s="31"/>
      <c r="V21" s="31"/>
      <c r="W21" s="31"/>
      <c r="X21" s="31"/>
    </row>
    <row r="22" spans="1:24" x14ac:dyDescent="0.25">
      <c r="A22" s="31"/>
      <c r="B22" s="31"/>
      <c r="C22" s="31"/>
      <c r="D22" s="31"/>
      <c r="E22" s="31"/>
      <c r="F22" s="31"/>
      <c r="G22" s="31"/>
      <c r="H22" s="31"/>
      <c r="I22" s="31"/>
      <c r="J22" s="31"/>
      <c r="K22" s="31"/>
      <c r="L22" s="31"/>
      <c r="M22" s="31"/>
      <c r="N22" s="31"/>
      <c r="O22" s="31"/>
      <c r="P22" s="31"/>
      <c r="Q22" s="31"/>
      <c r="R22" s="31"/>
      <c r="S22" s="31"/>
      <c r="T22" s="31"/>
      <c r="U22" s="31"/>
      <c r="V22" s="31"/>
      <c r="W22" s="31"/>
      <c r="X22" s="31"/>
    </row>
    <row r="23" spans="1:24" x14ac:dyDescent="0.25">
      <c r="A23" s="31"/>
      <c r="B23" s="31"/>
      <c r="C23" s="31"/>
      <c r="D23" s="31"/>
      <c r="E23" s="31"/>
      <c r="F23" s="31"/>
      <c r="G23" s="31"/>
      <c r="H23" s="31"/>
      <c r="I23" s="31"/>
      <c r="J23" s="31"/>
      <c r="K23" s="31"/>
      <c r="L23" s="31"/>
      <c r="M23" s="31"/>
      <c r="N23" s="31"/>
      <c r="O23" s="31"/>
      <c r="P23" s="31"/>
      <c r="Q23" s="31"/>
      <c r="R23" s="31"/>
      <c r="S23" s="31"/>
      <c r="T23" s="31"/>
      <c r="U23" s="31"/>
      <c r="V23" s="31"/>
      <c r="W23" s="31"/>
      <c r="X23" s="31"/>
    </row>
    <row r="24" spans="1:24" x14ac:dyDescent="0.25">
      <c r="A24" s="31"/>
      <c r="B24" s="31"/>
      <c r="C24" s="31"/>
      <c r="D24" s="31"/>
      <c r="E24" s="31"/>
      <c r="F24" s="31"/>
      <c r="G24" s="31"/>
      <c r="H24" s="31"/>
      <c r="I24" s="31"/>
      <c r="J24" s="31"/>
      <c r="K24" s="31"/>
      <c r="L24" s="31"/>
      <c r="M24" s="31"/>
      <c r="N24" s="31"/>
      <c r="O24" s="31"/>
      <c r="P24" s="31"/>
      <c r="Q24" s="31"/>
      <c r="R24" s="31"/>
      <c r="S24" s="31"/>
      <c r="T24" s="31"/>
      <c r="U24" s="31"/>
      <c r="V24" s="31"/>
      <c r="W24" s="31"/>
      <c r="X24" s="31"/>
    </row>
    <row r="25" spans="1:24" x14ac:dyDescent="0.25">
      <c r="A25" s="31"/>
      <c r="B25" s="31"/>
      <c r="C25" s="31"/>
      <c r="D25" s="31"/>
      <c r="E25" s="31"/>
      <c r="F25" s="31"/>
      <c r="G25" s="31"/>
      <c r="H25" s="31"/>
      <c r="I25" s="31"/>
      <c r="J25" s="31"/>
      <c r="K25" s="31"/>
      <c r="L25" s="31"/>
      <c r="M25" s="31"/>
      <c r="N25" s="31"/>
      <c r="O25" s="31"/>
      <c r="P25" s="31"/>
      <c r="Q25" s="31"/>
      <c r="R25" s="31"/>
      <c r="S25" s="31"/>
      <c r="T25" s="31"/>
      <c r="U25" s="31"/>
      <c r="V25" s="31"/>
      <c r="W25" s="31"/>
      <c r="X25" s="31"/>
    </row>
    <row r="26" spans="1:24" x14ac:dyDescent="0.25">
      <c r="A26" s="31"/>
      <c r="B26" s="31"/>
      <c r="C26" s="31"/>
      <c r="D26" s="31"/>
      <c r="E26" s="31"/>
      <c r="F26" s="31"/>
      <c r="G26" s="31"/>
      <c r="H26" s="31"/>
      <c r="I26" s="31"/>
      <c r="J26" s="31"/>
      <c r="K26" s="31"/>
      <c r="L26" s="31"/>
      <c r="M26" s="31"/>
      <c r="N26" s="31"/>
      <c r="O26" s="31"/>
      <c r="P26" s="31"/>
      <c r="Q26" s="31"/>
      <c r="R26" s="31"/>
      <c r="S26" s="31"/>
      <c r="T26" s="31"/>
      <c r="U26" s="31"/>
      <c r="V26" s="31"/>
      <c r="W26" s="31"/>
      <c r="X26" s="31"/>
    </row>
    <row r="27" spans="1:24" x14ac:dyDescent="0.25">
      <c r="A27" s="31"/>
      <c r="B27" s="31"/>
      <c r="C27" s="31"/>
      <c r="D27" s="31"/>
      <c r="E27" s="31"/>
      <c r="F27" s="31"/>
      <c r="G27" s="31"/>
      <c r="H27" s="31"/>
      <c r="I27" s="31"/>
      <c r="J27" s="31"/>
      <c r="K27" s="31"/>
      <c r="L27" s="31"/>
      <c r="M27" s="31"/>
      <c r="N27" s="31"/>
      <c r="O27" s="31"/>
      <c r="P27" s="31"/>
      <c r="Q27" s="31"/>
      <c r="R27" s="31"/>
      <c r="S27" s="31"/>
      <c r="T27" s="31"/>
      <c r="U27" s="31"/>
      <c r="V27" s="31"/>
      <c r="W27" s="31"/>
      <c r="X27" s="31"/>
    </row>
    <row r="28" spans="1:24" x14ac:dyDescent="0.25">
      <c r="A28" s="31"/>
      <c r="B28" s="31"/>
      <c r="C28" s="31"/>
      <c r="D28" s="31"/>
      <c r="E28" s="31"/>
      <c r="F28" s="31"/>
      <c r="G28" s="31"/>
      <c r="H28" s="31"/>
      <c r="I28" s="31"/>
      <c r="J28" s="31"/>
      <c r="K28" s="31"/>
      <c r="L28" s="31"/>
      <c r="M28" s="31"/>
      <c r="N28" s="31"/>
      <c r="O28" s="31"/>
      <c r="P28" s="31"/>
      <c r="Q28" s="31"/>
      <c r="R28" s="31"/>
      <c r="S28" s="31"/>
      <c r="T28" s="31"/>
      <c r="U28" s="31"/>
      <c r="V28" s="31"/>
      <c r="W28" s="31"/>
      <c r="X28" s="31"/>
    </row>
    <row r="29" spans="1:24" x14ac:dyDescent="0.25">
      <c r="A29" s="31"/>
      <c r="B29" s="31"/>
      <c r="C29" s="31"/>
      <c r="D29" s="31"/>
      <c r="E29" s="31"/>
      <c r="F29" s="31"/>
      <c r="G29" s="31"/>
      <c r="H29" s="31"/>
      <c r="I29" s="31"/>
      <c r="J29" s="31"/>
      <c r="K29" s="31"/>
      <c r="L29" s="31"/>
      <c r="M29" s="31"/>
      <c r="N29" s="31"/>
      <c r="O29" s="31"/>
      <c r="P29" s="31"/>
      <c r="Q29" s="31"/>
      <c r="R29" s="31"/>
      <c r="S29" s="31"/>
      <c r="T29" s="31"/>
      <c r="U29" s="31"/>
      <c r="V29" s="31"/>
      <c r="W29" s="31"/>
      <c r="X29" s="31"/>
    </row>
    <row r="30" spans="1:24" x14ac:dyDescent="0.25">
      <c r="A30" s="31"/>
      <c r="B30" s="31"/>
      <c r="C30" s="31"/>
      <c r="D30" s="31"/>
      <c r="E30" s="31"/>
      <c r="F30" s="31"/>
      <c r="G30" s="31"/>
      <c r="H30" s="31"/>
      <c r="I30" s="31"/>
      <c r="J30" s="31"/>
      <c r="K30" s="31"/>
      <c r="L30" s="31"/>
      <c r="M30" s="31"/>
      <c r="N30" s="31"/>
      <c r="O30" s="31"/>
      <c r="P30" s="31"/>
      <c r="Q30" s="31"/>
      <c r="R30" s="31"/>
      <c r="S30" s="31"/>
      <c r="T30" s="31"/>
      <c r="U30" s="31"/>
      <c r="V30" s="31"/>
      <c r="W30" s="31"/>
      <c r="X30" s="31"/>
    </row>
    <row r="31" spans="1:24" x14ac:dyDescent="0.25">
      <c r="A31" s="31"/>
      <c r="B31" s="31"/>
      <c r="C31" s="31"/>
      <c r="D31" s="31"/>
      <c r="E31" s="31"/>
      <c r="F31" s="31"/>
      <c r="G31" s="31"/>
      <c r="H31" s="31"/>
      <c r="I31" s="31"/>
      <c r="J31" s="31"/>
      <c r="K31" s="31"/>
      <c r="L31" s="31"/>
      <c r="M31" s="31"/>
      <c r="N31" s="31"/>
      <c r="O31" s="31"/>
      <c r="P31" s="31"/>
      <c r="Q31" s="31"/>
      <c r="R31" s="31"/>
      <c r="S31" s="31"/>
      <c r="T31" s="31"/>
      <c r="U31" s="31"/>
      <c r="V31" s="31"/>
      <c r="W31" s="31"/>
      <c r="X31" s="31"/>
    </row>
    <row r="32" spans="1:24" x14ac:dyDescent="0.25">
      <c r="A32" s="31"/>
      <c r="B32" s="31"/>
      <c r="C32" s="31"/>
      <c r="D32" s="31"/>
      <c r="E32" s="31"/>
      <c r="F32" s="31"/>
      <c r="G32" s="31"/>
      <c r="H32" s="31"/>
      <c r="I32" s="31"/>
      <c r="J32" s="31"/>
      <c r="K32" s="31"/>
      <c r="L32" s="31"/>
      <c r="M32" s="31"/>
      <c r="N32" s="31"/>
      <c r="O32" s="31"/>
      <c r="P32" s="31"/>
      <c r="Q32" s="31"/>
      <c r="R32" s="31"/>
      <c r="S32" s="31"/>
      <c r="T32" s="31"/>
      <c r="U32" s="31"/>
      <c r="V32" s="31"/>
      <c r="W32" s="31"/>
      <c r="X32" s="31"/>
    </row>
    <row r="33" spans="1:24" x14ac:dyDescent="0.25">
      <c r="A33" s="31"/>
      <c r="B33" s="31"/>
      <c r="C33" s="31"/>
      <c r="D33" s="31"/>
      <c r="E33" s="31"/>
      <c r="F33" s="31"/>
      <c r="G33" s="31"/>
      <c r="H33" s="31"/>
      <c r="I33" s="31"/>
      <c r="J33" s="31"/>
      <c r="K33" s="31"/>
      <c r="L33" s="31"/>
      <c r="M33" s="31"/>
      <c r="N33" s="31"/>
      <c r="O33" s="31"/>
      <c r="P33" s="31"/>
      <c r="Q33" s="31"/>
      <c r="R33" s="31"/>
      <c r="S33" s="31"/>
      <c r="T33" s="31"/>
      <c r="U33" s="31"/>
      <c r="V33" s="31"/>
      <c r="W33" s="31"/>
      <c r="X33" s="31"/>
    </row>
    <row r="34" spans="1:24" x14ac:dyDescent="0.25">
      <c r="A34" s="31"/>
      <c r="B34" s="31"/>
      <c r="C34" s="31"/>
      <c r="D34" s="31"/>
      <c r="E34" s="31"/>
      <c r="F34" s="31"/>
      <c r="G34" s="31"/>
      <c r="H34" s="31"/>
      <c r="I34" s="31"/>
      <c r="J34" s="31"/>
      <c r="K34" s="31"/>
      <c r="L34" s="31"/>
      <c r="M34" s="31"/>
      <c r="N34" s="31"/>
      <c r="O34" s="31"/>
      <c r="P34" s="31"/>
      <c r="Q34" s="31"/>
      <c r="R34" s="31"/>
      <c r="S34" s="31"/>
      <c r="T34" s="31"/>
      <c r="U34" s="31"/>
      <c r="V34" s="31"/>
      <c r="W34" s="31"/>
      <c r="X34" s="31"/>
    </row>
    <row r="35" spans="1:24" x14ac:dyDescent="0.25">
      <c r="A35" s="31"/>
      <c r="B35" s="31"/>
      <c r="C35" s="31"/>
      <c r="D35" s="31"/>
      <c r="E35" s="31"/>
      <c r="F35" s="31"/>
      <c r="G35" s="31"/>
      <c r="H35" s="31"/>
      <c r="I35" s="31"/>
      <c r="J35" s="31"/>
      <c r="K35" s="31"/>
      <c r="L35" s="31"/>
      <c r="M35" s="31"/>
      <c r="N35" s="31"/>
      <c r="O35" s="31"/>
      <c r="P35" s="31"/>
      <c r="Q35" s="31"/>
      <c r="R35" s="31"/>
      <c r="S35" s="31"/>
      <c r="T35" s="31"/>
      <c r="U35" s="31"/>
      <c r="V35" s="31"/>
      <c r="W35" s="31"/>
      <c r="X35" s="31"/>
    </row>
    <row r="36" spans="1:24" x14ac:dyDescent="0.25">
      <c r="A36" s="31"/>
      <c r="B36" s="31"/>
      <c r="C36" s="31"/>
      <c r="D36" s="31"/>
      <c r="E36" s="31"/>
      <c r="F36" s="31"/>
      <c r="G36" s="31"/>
      <c r="H36" s="31"/>
      <c r="I36" s="31"/>
      <c r="J36" s="31"/>
      <c r="K36" s="31"/>
      <c r="L36" s="31"/>
      <c r="M36" s="31"/>
      <c r="N36" s="31"/>
      <c r="O36" s="31"/>
      <c r="P36" s="31"/>
      <c r="Q36" s="31"/>
      <c r="R36" s="31"/>
      <c r="S36" s="31"/>
      <c r="T36" s="31"/>
      <c r="U36" s="31"/>
      <c r="V36" s="31"/>
      <c r="W36" s="31"/>
      <c r="X36" s="31"/>
    </row>
    <row r="37" spans="1:24" x14ac:dyDescent="0.25">
      <c r="A37" s="31"/>
      <c r="B37" s="31"/>
      <c r="C37" s="31"/>
      <c r="D37" s="31"/>
      <c r="E37" s="31"/>
      <c r="F37" s="31"/>
      <c r="G37" s="31"/>
      <c r="H37" s="31"/>
      <c r="I37" s="31"/>
      <c r="J37" s="31"/>
      <c r="K37" s="31"/>
      <c r="L37" s="31"/>
      <c r="M37" s="31"/>
      <c r="N37" s="31"/>
      <c r="O37" s="31"/>
      <c r="P37" s="31"/>
      <c r="Q37" s="31"/>
      <c r="R37" s="31"/>
      <c r="S37" s="31"/>
      <c r="T37" s="31"/>
      <c r="U37" s="31"/>
      <c r="V37" s="31"/>
      <c r="W37" s="31"/>
      <c r="X37" s="31"/>
    </row>
    <row r="38" spans="1:24" x14ac:dyDescent="0.25">
      <c r="A38" s="31"/>
      <c r="B38" s="31"/>
      <c r="C38" s="31"/>
      <c r="D38" s="31"/>
      <c r="E38" s="31"/>
      <c r="F38" s="31"/>
      <c r="G38" s="31"/>
      <c r="H38" s="31"/>
      <c r="I38" s="31"/>
      <c r="J38" s="31"/>
      <c r="K38" s="31"/>
      <c r="L38" s="31"/>
      <c r="M38" s="31"/>
      <c r="N38" s="31"/>
      <c r="O38" s="31"/>
      <c r="P38" s="31"/>
      <c r="Q38" s="31"/>
      <c r="R38" s="31"/>
      <c r="S38" s="31"/>
      <c r="T38" s="31"/>
      <c r="U38" s="31"/>
      <c r="V38" s="31"/>
      <c r="W38" s="31"/>
      <c r="X38" s="31"/>
    </row>
    <row r="39" spans="1:24" x14ac:dyDescent="0.25">
      <c r="A39" s="31"/>
      <c r="B39" s="31"/>
      <c r="C39" s="31"/>
      <c r="D39" s="31"/>
      <c r="E39" s="31"/>
      <c r="F39" s="31"/>
      <c r="G39" s="31"/>
      <c r="H39" s="31"/>
      <c r="I39" s="31"/>
      <c r="J39" s="31"/>
      <c r="K39" s="31"/>
      <c r="L39" s="31"/>
      <c r="M39" s="31"/>
      <c r="N39" s="31"/>
      <c r="O39" s="31"/>
      <c r="P39" s="31"/>
      <c r="Q39" s="31"/>
      <c r="R39" s="31"/>
      <c r="S39" s="31"/>
      <c r="T39" s="31"/>
      <c r="U39" s="31"/>
      <c r="V39" s="31"/>
      <c r="W39" s="31"/>
      <c r="X39" s="31"/>
    </row>
    <row r="40" spans="1:24" x14ac:dyDescent="0.25">
      <c r="A40" s="31"/>
      <c r="B40" s="31"/>
      <c r="C40" s="31"/>
      <c r="D40" s="31"/>
      <c r="E40" s="31"/>
      <c r="F40" s="31"/>
      <c r="G40" s="31"/>
      <c r="H40" s="31"/>
      <c r="I40" s="31"/>
      <c r="J40" s="31"/>
      <c r="K40" s="31"/>
      <c r="L40" s="31"/>
      <c r="M40" s="31"/>
      <c r="N40" s="31"/>
      <c r="O40" s="31"/>
      <c r="P40" s="31"/>
      <c r="Q40" s="31"/>
      <c r="R40" s="31"/>
      <c r="S40" s="31"/>
      <c r="T40" s="31"/>
      <c r="U40" s="31"/>
      <c r="V40" s="31"/>
      <c r="W40" s="31"/>
      <c r="X40" s="31"/>
    </row>
    <row r="41" spans="1:24" x14ac:dyDescent="0.25">
      <c r="A41" s="31"/>
      <c r="B41" s="31"/>
      <c r="C41" s="31"/>
      <c r="D41" s="31"/>
      <c r="E41" s="31"/>
      <c r="F41" s="31"/>
      <c r="G41" s="31"/>
      <c r="H41" s="31"/>
      <c r="I41" s="31"/>
      <c r="J41" s="31"/>
      <c r="K41" s="31"/>
      <c r="L41" s="31"/>
      <c r="M41" s="31"/>
      <c r="N41" s="31"/>
      <c r="O41" s="31"/>
      <c r="P41" s="31"/>
      <c r="Q41" s="31"/>
      <c r="R41" s="31"/>
      <c r="S41" s="31"/>
      <c r="T41" s="31"/>
      <c r="U41" s="31"/>
      <c r="V41" s="31"/>
      <c r="W41" s="31"/>
      <c r="X41" s="31"/>
    </row>
    <row r="42" spans="1:24" x14ac:dyDescent="0.25">
      <c r="A42" s="31"/>
      <c r="B42" s="31"/>
      <c r="C42" s="31"/>
      <c r="D42" s="31"/>
      <c r="E42" s="31"/>
      <c r="F42" s="31"/>
      <c r="G42" s="31"/>
      <c r="H42" s="31"/>
      <c r="I42" s="31"/>
      <c r="J42" s="31"/>
      <c r="K42" s="31"/>
      <c r="L42" s="31"/>
      <c r="M42" s="31"/>
      <c r="N42" s="31"/>
      <c r="O42" s="31"/>
      <c r="P42" s="31"/>
      <c r="Q42" s="31"/>
      <c r="R42" s="31"/>
      <c r="S42" s="31"/>
      <c r="T42" s="31"/>
      <c r="U42" s="31"/>
      <c r="V42" s="31"/>
      <c r="W42" s="31"/>
      <c r="X42" s="31"/>
    </row>
    <row r="43" spans="1:24" x14ac:dyDescent="0.25">
      <c r="A43" s="31"/>
      <c r="B43" s="31"/>
      <c r="C43" s="31"/>
      <c r="D43" s="31"/>
      <c r="E43" s="31"/>
      <c r="F43" s="31"/>
      <c r="G43" s="31"/>
      <c r="H43" s="31"/>
      <c r="I43" s="31"/>
      <c r="J43" s="31"/>
      <c r="K43" s="31"/>
      <c r="L43" s="31"/>
      <c r="M43" s="31"/>
      <c r="N43" s="31"/>
      <c r="O43" s="31"/>
      <c r="P43" s="31"/>
      <c r="Q43" s="31"/>
      <c r="R43" s="31"/>
      <c r="S43" s="31"/>
      <c r="T43" s="31"/>
      <c r="U43" s="31"/>
      <c r="V43" s="31"/>
      <c r="W43" s="31"/>
      <c r="X43" s="31"/>
    </row>
    <row r="44" spans="1:24" x14ac:dyDescent="0.25">
      <c r="A44" s="31"/>
      <c r="B44" s="31"/>
      <c r="C44" s="31"/>
      <c r="D44" s="31"/>
      <c r="E44" s="31"/>
      <c r="F44" s="31"/>
      <c r="G44" s="31"/>
      <c r="H44" s="31"/>
      <c r="I44" s="31"/>
      <c r="J44" s="31"/>
      <c r="K44" s="31"/>
      <c r="L44" s="31"/>
      <c r="M44" s="31"/>
      <c r="N44" s="31"/>
      <c r="O44" s="31"/>
      <c r="P44" s="31"/>
      <c r="Q44" s="31"/>
      <c r="R44" s="31"/>
      <c r="S44" s="31"/>
      <c r="T44" s="31"/>
      <c r="U44" s="31"/>
      <c r="V44" s="31"/>
      <c r="W44" s="31"/>
      <c r="X44" s="31"/>
    </row>
    <row r="45" spans="1:24" x14ac:dyDescent="0.25">
      <c r="A45" s="31"/>
      <c r="B45" s="31"/>
      <c r="C45" s="31"/>
      <c r="D45" s="31"/>
      <c r="E45" s="31"/>
      <c r="F45" s="31"/>
      <c r="G45" s="31"/>
      <c r="H45" s="31"/>
      <c r="I45" s="31"/>
      <c r="J45" s="31"/>
      <c r="K45" s="31"/>
      <c r="L45" s="31"/>
      <c r="M45" s="31"/>
      <c r="N45" s="31"/>
      <c r="O45" s="31"/>
      <c r="P45" s="31"/>
      <c r="Q45" s="31"/>
      <c r="R45" s="31"/>
      <c r="S45" s="31"/>
      <c r="T45" s="31"/>
      <c r="U45" s="31"/>
      <c r="V45" s="31"/>
      <c r="W45" s="31"/>
      <c r="X45" s="31"/>
    </row>
    <row r="46" spans="1:24" x14ac:dyDescent="0.25">
      <c r="A46" s="31"/>
      <c r="B46" s="31"/>
      <c r="C46" s="31"/>
      <c r="D46" s="31"/>
      <c r="E46" s="31"/>
      <c r="F46" s="31"/>
      <c r="G46" s="31"/>
      <c r="H46" s="31"/>
      <c r="I46" s="31"/>
      <c r="J46" s="31"/>
      <c r="K46" s="31"/>
      <c r="L46" s="31"/>
      <c r="M46" s="31"/>
      <c r="N46" s="31"/>
      <c r="O46" s="31"/>
      <c r="P46" s="31"/>
      <c r="Q46" s="31"/>
      <c r="R46" s="31"/>
      <c r="S46" s="31"/>
      <c r="T46" s="31"/>
      <c r="U46" s="31"/>
      <c r="V46" s="31"/>
      <c r="W46" s="31"/>
      <c r="X46" s="31"/>
    </row>
    <row r="47" spans="1:24" x14ac:dyDescent="0.25">
      <c r="A47" s="31"/>
      <c r="B47" s="31"/>
      <c r="C47" s="31"/>
      <c r="D47" s="31"/>
      <c r="E47" s="31"/>
      <c r="F47" s="31"/>
      <c r="G47" s="31"/>
      <c r="H47" s="31"/>
      <c r="I47" s="31"/>
      <c r="J47" s="31"/>
      <c r="K47" s="31"/>
      <c r="L47" s="31"/>
      <c r="M47" s="31"/>
      <c r="N47" s="31"/>
      <c r="O47" s="31"/>
      <c r="P47" s="31"/>
      <c r="Q47" s="31"/>
      <c r="R47" s="31"/>
      <c r="S47" s="31"/>
      <c r="T47" s="31"/>
      <c r="U47" s="31"/>
      <c r="V47" s="31"/>
      <c r="W47" s="31"/>
      <c r="X47" s="31"/>
    </row>
  </sheetData>
  <sheetProtection password="ECB1" sheet="1" objects="1" scenarios="1"/>
  <mergeCells count="7">
    <mergeCell ref="C13:D13"/>
    <mergeCell ref="C3:D3"/>
    <mergeCell ref="C5:D5"/>
    <mergeCell ref="C6:D6"/>
    <mergeCell ref="C7:D7"/>
    <mergeCell ref="C9:D9"/>
    <mergeCell ref="C11:D11"/>
  </mergeCells>
  <hyperlinks>
    <hyperlink ref="C13" location="'Форма обратной связи'!A1" display="Форма обратной связи"/>
    <hyperlink ref="C11:D11" location="'Экономический расчет'!A1" tooltip="перейти..." display="3. Расчет результатов"/>
    <hyperlink ref="C9:D9" location="'Список мероприятий'!A1" tooltip="перейти..." display="2. Выбор мероприятий по энергосбережению и повышению энергетической эффективности"/>
    <hyperlink ref="C7:D7" location="'Ввод исходных данных'!D9" tooltip="перейти..." display="1. Ввод исходных данных"/>
    <hyperlink ref="D1" r:id="rId1" tooltip="http://fondgkh.ru/finances/finansovaya-podderzhka-kapitalnogo-remonta-v-2017-godu/pomoshhnik-ekr/"/>
    <hyperlink ref="C13:D13" location="'Форма обратной связи'!A1" tooltip="перейти..." display="Форма обратной связи"/>
  </hyperlinks>
  <printOptions horizontalCentered="1" verticalCentered="1"/>
  <pageMargins left="0.23622047244094491" right="0.23622047244094491" top="0.74803149606299213" bottom="0.74803149606299213" header="0.31496062992125984" footer="0.31496062992125984"/>
  <pageSetup paperSize="9" orientation="landscape" verticalDpi="0"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tabColor theme="0" tint="-0.249977111117893"/>
  </sheetPr>
  <dimension ref="A1:BF596"/>
  <sheetViews>
    <sheetView zoomScale="60" zoomScaleNormal="60" zoomScalePageLayoutView="75" workbookViewId="0">
      <pane xSplit="3" ySplit="8" topLeftCell="D407" activePane="bottomRight" state="frozen"/>
      <selection activeCell="B77" sqref="B77:E77"/>
      <selection pane="topRight" activeCell="B77" sqref="B77:E77"/>
      <selection pane="bottomLeft" activeCell="B77" sqref="B77:E77"/>
      <selection pane="bottomRight" activeCell="F411" sqref="F411"/>
    </sheetView>
  </sheetViews>
  <sheetFormatPr defaultColWidth="8.85546875" defaultRowHeight="15.75" customHeight="1" x14ac:dyDescent="0.25"/>
  <cols>
    <col min="1" max="1" width="8.85546875" style="1010"/>
    <col min="2" max="2" width="22.5703125" style="1010" customWidth="1"/>
    <col min="3" max="3" width="37.5703125" style="1010" customWidth="1"/>
    <col min="4" max="4" width="30.85546875" style="1010" customWidth="1"/>
    <col min="5" max="5" width="11.85546875" style="1010" customWidth="1"/>
    <col min="6" max="6" width="16.42578125" style="1010" customWidth="1"/>
    <col min="7" max="7" width="10.85546875" style="1010" customWidth="1"/>
    <col min="8" max="8" width="14.5703125" style="1010" customWidth="1"/>
    <col min="9" max="9" width="10" style="1010" customWidth="1"/>
    <col min="10" max="10" width="13.85546875" style="1010" customWidth="1"/>
    <col min="11" max="11" width="11.42578125" style="1011" customWidth="1"/>
    <col min="12" max="12" width="2.28515625" style="1011" customWidth="1"/>
    <col min="13" max="13" width="7" style="1011" customWidth="1"/>
    <col min="14" max="14" width="7.28515625" style="1011" customWidth="1"/>
    <col min="15" max="15" width="9.28515625" style="1012" customWidth="1"/>
    <col min="16" max="16" width="2" style="1012" customWidth="1"/>
    <col min="17" max="17" width="6" style="1012" customWidth="1"/>
    <col min="18" max="18" width="8.42578125" style="1012" customWidth="1"/>
    <col min="19" max="19" width="9.140625" style="1013" customWidth="1"/>
    <col min="20" max="20" width="3" style="1013" customWidth="1"/>
    <col min="21" max="21" width="7.5703125" style="1013" customWidth="1"/>
    <col min="22" max="22" width="8.42578125" style="1013" customWidth="1"/>
    <col min="23" max="23" width="10.42578125" style="1014" customWidth="1"/>
    <col min="24" max="24" width="2.42578125" style="1014" customWidth="1"/>
    <col min="25" max="26" width="8.42578125" style="1014" customWidth="1"/>
    <col min="27" max="27" width="9.7109375" style="1015" customWidth="1"/>
    <col min="28" max="28" width="2.42578125" style="1015" customWidth="1"/>
    <col min="29" max="29" width="6" style="1015" customWidth="1"/>
    <col min="30" max="30" width="8.42578125" style="1015" customWidth="1"/>
    <col min="31" max="31" width="9" style="1016" customWidth="1"/>
    <col min="32" max="32" width="3.7109375" style="1016" customWidth="1"/>
    <col min="33" max="33" width="7.5703125" style="1016" customWidth="1"/>
    <col min="34" max="34" width="8.42578125" style="1016" customWidth="1"/>
    <col min="35" max="35" width="9.28515625" style="1017" customWidth="1"/>
    <col min="36" max="36" width="2" style="1017" customWidth="1"/>
    <col min="37" max="37" width="8.140625" style="1017" customWidth="1"/>
    <col min="38" max="38" width="8.42578125" style="1017" customWidth="1"/>
    <col min="39" max="39" width="10.28515625" style="1018" customWidth="1"/>
    <col min="40" max="40" width="2.28515625" style="1018" customWidth="1"/>
    <col min="41" max="41" width="6.140625" style="1018" customWidth="1"/>
    <col min="42" max="42" width="8.42578125" style="1018" customWidth="1"/>
    <col min="43" max="43" width="9.28515625" style="1013" customWidth="1"/>
    <col min="44" max="44" width="2.42578125" style="1013" customWidth="1"/>
    <col min="45" max="46" width="8.42578125" style="1013" customWidth="1"/>
    <col min="47" max="47" width="9.28515625" style="1019" customWidth="1"/>
    <col min="48" max="48" width="3" style="1019" customWidth="1"/>
    <col min="49" max="49" width="7.5703125" style="1019" customWidth="1"/>
    <col min="50" max="50" width="7.28515625" style="1019" customWidth="1"/>
    <col min="51" max="51" width="10" style="1020" customWidth="1"/>
    <col min="52" max="52" width="3.140625" style="1020" customWidth="1"/>
    <col min="53" max="54" width="8.42578125" style="1020" customWidth="1"/>
    <col min="55" max="55" width="9" style="1021" customWidth="1"/>
    <col min="56" max="56" width="3.85546875" style="1021" customWidth="1"/>
    <col min="57" max="57" width="7.5703125" style="1021" customWidth="1"/>
    <col min="58" max="58" width="8.42578125" style="1021" customWidth="1"/>
    <col min="59" max="60" width="14.42578125" style="1010" customWidth="1"/>
    <col min="61" max="61" width="1.85546875" style="1010" customWidth="1"/>
    <col min="62" max="16384" width="8.85546875" style="1010"/>
  </cols>
  <sheetData>
    <row r="1" spans="1:58" s="75" customFormat="1" ht="15.75" customHeight="1" x14ac:dyDescent="0.45">
      <c r="A1" s="1006"/>
      <c r="B1" s="1006"/>
      <c r="C1" s="1006"/>
      <c r="D1" s="1006"/>
      <c r="E1" s="1006"/>
      <c r="F1" s="1006"/>
      <c r="G1" s="1006"/>
      <c r="H1" s="1006"/>
      <c r="I1" s="1006"/>
      <c r="J1" s="1006"/>
      <c r="K1" s="1006"/>
      <c r="L1" s="1006"/>
      <c r="M1" s="1006"/>
      <c r="N1" s="1006"/>
      <c r="O1" s="1006"/>
      <c r="P1" s="1006"/>
      <c r="Q1" s="1006"/>
      <c r="R1" s="1006"/>
      <c r="S1" s="1006"/>
      <c r="T1" s="1006"/>
      <c r="U1" s="1006"/>
      <c r="V1" s="74"/>
      <c r="W1" s="74"/>
      <c r="X1" s="74"/>
      <c r="Y1" s="74"/>
      <c r="Z1" s="74"/>
      <c r="AA1" s="74"/>
      <c r="AB1" s="74"/>
      <c r="AC1" s="74"/>
      <c r="AD1" s="74"/>
      <c r="AE1" s="74"/>
      <c r="AF1" s="74"/>
      <c r="AG1" s="74"/>
      <c r="AH1" s="74"/>
      <c r="AI1" s="74"/>
      <c r="AJ1" s="74"/>
      <c r="AK1" s="74"/>
      <c r="AL1" s="74"/>
      <c r="AM1" s="74"/>
      <c r="AN1" s="74"/>
      <c r="AO1" s="74"/>
      <c r="AP1" s="74"/>
      <c r="AQ1" s="74"/>
      <c r="AR1" s="74"/>
      <c r="AS1" s="74"/>
      <c r="AT1" s="74"/>
      <c r="AU1" s="74"/>
      <c r="AV1" s="74"/>
      <c r="AW1" s="74"/>
      <c r="AX1" s="74"/>
      <c r="AY1" s="74"/>
      <c r="AZ1" s="74"/>
      <c r="BA1" s="74"/>
      <c r="BB1" s="74"/>
      <c r="BC1" s="74"/>
      <c r="BD1" s="74"/>
      <c r="BE1" s="74"/>
      <c r="BF1" s="74"/>
    </row>
    <row r="2" spans="1:58" s="75" customFormat="1" ht="15.75" customHeight="1" x14ac:dyDescent="0.25">
      <c r="B2" s="1007" t="s">
        <v>463</v>
      </c>
      <c r="C2" s="1008" t="e">
        <f>VLOOKUP(CONCATENATE('Ввод исходных данных'!$D$10,'Ввод исходных данных'!$D$11),Климатология!$D$9:$BF$548,$J$7,0)</f>
        <v>#N/A</v>
      </c>
      <c r="D2" s="1009"/>
      <c r="E2" s="75" t="e">
        <f>VLOOKUP(CONCATENATE('Ввод исходных данных'!$D$10,'Ввод исходных данных'!$D$11),Климатология!$D$9:$BF$548,E7,0)</f>
        <v>#N/A</v>
      </c>
      <c r="F2" s="75" t="e">
        <f>VLOOKUP(CONCATENATE('Ввод исходных данных'!$D$10,'Ввод исходных данных'!$D$11),Климатология!$D$9:$BF$548,F7,0)</f>
        <v>#N/A</v>
      </c>
      <c r="G2" s="75" t="e">
        <f>VLOOKUP(CONCATENATE('Ввод исходных данных'!$D$10,'Ввод исходных данных'!$D$11),Климатология!$D$9:$BF$548,G7,0)</f>
        <v>#N/A</v>
      </c>
      <c r="H2" s="75" t="e">
        <f>VLOOKUP(CONCATENATE('Ввод исходных данных'!$D$10,'Ввод исходных данных'!$D$11),Климатология!$D$9:$BF$548,H7,0)</f>
        <v>#N/A</v>
      </c>
      <c r="I2" s="75" t="e">
        <f>VLOOKUP(CONCATENATE('Ввод исходных данных'!$D$10,'Ввод исходных данных'!$D$11),Климатология!$D$9:$BF$548,I7,0)</f>
        <v>#N/A</v>
      </c>
      <c r="J2" s="75" t="e">
        <f>VLOOKUP(CONCATENATE('Ввод исходных данных'!$D$10,'Ввод исходных данных'!$D$11),Климатология!$D$9:$BF$548,J7,0)</f>
        <v>#N/A</v>
      </c>
      <c r="K2" s="75" t="e">
        <f>VLOOKUP(CONCATENATE('Ввод исходных данных'!$D$10,'Ввод исходных данных'!$D$11),Климатология!$D$9:$BF$548,K7,0)</f>
        <v>#N/A</v>
      </c>
      <c r="M2" s="75" t="e">
        <f>VLOOKUP(CONCATENATE('Ввод исходных данных'!$D$10,'Ввод исходных данных'!$D$11),Климатология!$D$9:$BF$548,M7,0)</f>
        <v>#N/A</v>
      </c>
      <c r="N2" s="75" t="e">
        <f>VLOOKUP(CONCATENATE('Ввод исходных данных'!$D$10,'Ввод исходных данных'!$D$11),Климатология!$D$9:$BF$548,N7,0)</f>
        <v>#N/A</v>
      </c>
      <c r="O2" s="75" t="e">
        <f>VLOOKUP(CONCATENATE('Ввод исходных данных'!$D$10,'Ввод исходных данных'!$D$11),Климатология!$D$9:$BF$548,O7,0)</f>
        <v>#N/A</v>
      </c>
      <c r="Q2" s="75" t="e">
        <f>VLOOKUP(CONCATENATE('Ввод исходных данных'!$D$10,'Ввод исходных данных'!$D$11),Климатология!$D$9:$BF$548,Q7,0)</f>
        <v>#N/A</v>
      </c>
      <c r="R2" s="75" t="e">
        <f>VLOOKUP(CONCATENATE('Ввод исходных данных'!$D$10,'Ввод исходных данных'!$D$11),Климатология!$D$9:$BF$548,R7,0)</f>
        <v>#N/A</v>
      </c>
      <c r="S2" s="75" t="e">
        <f>VLOOKUP(CONCATENATE('Ввод исходных данных'!$D$10,'Ввод исходных данных'!$D$11),Климатология!$D$9:$BF$548,S7,0)</f>
        <v>#N/A</v>
      </c>
      <c r="U2" s="75" t="e">
        <f>VLOOKUP(CONCATENATE('Ввод исходных данных'!$D$10,'Ввод исходных данных'!$D$11),Климатология!$D$9:$BF$548,U7,0)</f>
        <v>#N/A</v>
      </c>
      <c r="V2" s="75" t="e">
        <f>VLOOKUP(CONCATENATE('Ввод исходных данных'!$D$10,'Ввод исходных данных'!$D$11),Климатология!$D$9:$BF$548,V7,0)</f>
        <v>#N/A</v>
      </c>
      <c r="W2" s="75" t="e">
        <f>VLOOKUP(CONCATENATE('Ввод исходных данных'!$D$10,'Ввод исходных данных'!$D$11),Климатология!$D$9:$BF$548,W7,0)</f>
        <v>#N/A</v>
      </c>
      <c r="Y2" s="75" t="e">
        <f>VLOOKUP(CONCATENATE('Ввод исходных данных'!$D$10,'Ввод исходных данных'!$D$11),Климатология!$D$9:$BF$548,Y7,0)</f>
        <v>#N/A</v>
      </c>
      <c r="Z2" s="75" t="e">
        <f>VLOOKUP(CONCATENATE('Ввод исходных данных'!$D$10,'Ввод исходных данных'!$D$11),Климатология!$D$9:$BF$548,Z7,0)</f>
        <v>#N/A</v>
      </c>
      <c r="AA2" s="75" t="e">
        <f>VLOOKUP(CONCATENATE('Ввод исходных данных'!$D$10,'Ввод исходных данных'!$D$11),Климатология!$D$9:$BF$548,AA7,0)</f>
        <v>#N/A</v>
      </c>
      <c r="AC2" s="75" t="e">
        <f>VLOOKUP(CONCATENATE('Ввод исходных данных'!$D$10,'Ввод исходных данных'!$D$11),Климатология!$D$9:$BF$548,AC7,0)</f>
        <v>#N/A</v>
      </c>
      <c r="AD2" s="75" t="e">
        <f>VLOOKUP(CONCATENATE('Ввод исходных данных'!$D$10,'Ввод исходных данных'!$D$11),Климатология!$D$9:$BF$548,AD7,0)</f>
        <v>#N/A</v>
      </c>
      <c r="AE2" s="75" t="e">
        <f>VLOOKUP(CONCATENATE('Ввод исходных данных'!$D$10,'Ввод исходных данных'!$D$11),Климатология!$D$9:$BF$548,AE7,0)</f>
        <v>#N/A</v>
      </c>
      <c r="AG2" s="75" t="e">
        <f>VLOOKUP(CONCATENATE('Ввод исходных данных'!$D$10,'Ввод исходных данных'!$D$11),Климатология!$D$9:$BF$548,AG7,0)</f>
        <v>#N/A</v>
      </c>
      <c r="AH2" s="75" t="e">
        <f>VLOOKUP(CONCATENATE('Ввод исходных данных'!$D$10,'Ввод исходных данных'!$D$11),Климатология!$D$9:$BF$548,AH7,0)</f>
        <v>#N/A</v>
      </c>
      <c r="AI2" s="75" t="e">
        <f>VLOOKUP(CONCATENATE('Ввод исходных данных'!$D$10,'Ввод исходных данных'!$D$11),Климатология!$D$9:$BF$548,AI7,0)</f>
        <v>#N/A</v>
      </c>
      <c r="AK2" s="75" t="e">
        <f>VLOOKUP(CONCATENATE('Ввод исходных данных'!$D$10,'Ввод исходных данных'!$D$11),Климатология!$D$9:$BF$548,AK7,0)</f>
        <v>#N/A</v>
      </c>
      <c r="AL2" s="75" t="e">
        <f>VLOOKUP(CONCATENATE('Ввод исходных данных'!$D$10,'Ввод исходных данных'!$D$11),Климатология!$D$9:$BF$548,AL7,0)</f>
        <v>#N/A</v>
      </c>
      <c r="AM2" s="75" t="e">
        <f>VLOOKUP(CONCATENATE('Ввод исходных данных'!$D$10,'Ввод исходных данных'!$D$11),Климатология!$D$9:$BF$548,AM7,0)</f>
        <v>#N/A</v>
      </c>
      <c r="AO2" s="75" t="e">
        <f>VLOOKUP(CONCATENATE('Ввод исходных данных'!$D$10,'Ввод исходных данных'!$D$11),Климатология!$D$9:$BF$548,AO7,0)</f>
        <v>#N/A</v>
      </c>
      <c r="AP2" s="75" t="e">
        <f>VLOOKUP(CONCATENATE('Ввод исходных данных'!$D$10,'Ввод исходных данных'!$D$11),Климатология!$D$9:$BF$548,AP7,0)</f>
        <v>#N/A</v>
      </c>
      <c r="AQ2" s="75" t="e">
        <f>VLOOKUP(CONCATENATE('Ввод исходных данных'!$D$10,'Ввод исходных данных'!$D$11),Климатология!$D$9:$BF$548,AQ7,0)</f>
        <v>#N/A</v>
      </c>
      <c r="AS2" s="75" t="e">
        <f>VLOOKUP(CONCATENATE('Ввод исходных данных'!$D$10,'Ввод исходных данных'!$D$11),Климатология!$D$9:$BF$548,AS7,0)</f>
        <v>#N/A</v>
      </c>
      <c r="AT2" s="75" t="e">
        <f>VLOOKUP(CONCATENATE('Ввод исходных данных'!$D$10,'Ввод исходных данных'!$D$11),Климатология!$D$9:$BF$548,AT7,0)</f>
        <v>#N/A</v>
      </c>
      <c r="AU2" s="75" t="e">
        <f>VLOOKUP(CONCATENATE('Ввод исходных данных'!$D$10,'Ввод исходных данных'!$D$11),Климатология!$D$9:$BF$548,AU7,0)</f>
        <v>#N/A</v>
      </c>
      <c r="AW2" s="75" t="e">
        <f>VLOOKUP(CONCATENATE('Ввод исходных данных'!$D$10,'Ввод исходных данных'!$D$11),Климатология!$D$9:$BF$548,AW7,0)</f>
        <v>#N/A</v>
      </c>
      <c r="AX2" s="75" t="e">
        <f>VLOOKUP(CONCATENATE('Ввод исходных данных'!$D$10,'Ввод исходных данных'!$D$11),Климатология!$D$9:$BF$548,AX7,0)</f>
        <v>#N/A</v>
      </c>
      <c r="AY2" s="75" t="e">
        <f>VLOOKUP(CONCATENATE('Ввод исходных данных'!$D$10,'Ввод исходных данных'!$D$11),Климатология!$D$9:$BF$548,AY7,0)</f>
        <v>#N/A</v>
      </c>
      <c r="BA2" s="75" t="e">
        <f>VLOOKUP(CONCATENATE('Ввод исходных данных'!$D$10,'Ввод исходных данных'!$D$11),Климатология!$D$9:$BF$548,BA7,0)</f>
        <v>#N/A</v>
      </c>
      <c r="BB2" s="75" t="e">
        <f>VLOOKUP(CONCATENATE('Ввод исходных данных'!$D$10,'Ввод исходных данных'!$D$11),Климатология!$D$9:$BF$548,BB7,0)</f>
        <v>#N/A</v>
      </c>
      <c r="BC2" s="75" t="e">
        <f>VLOOKUP(CONCATENATE('Ввод исходных данных'!$D$10,'Ввод исходных данных'!$D$11),Климатология!$D$9:$BF$548,BC7,0)</f>
        <v>#N/A</v>
      </c>
      <c r="BE2" s="75" t="e">
        <f>VLOOKUP(CONCATENATE('Ввод исходных данных'!$D$10,'Ввод исходных данных'!$D$11),Климатология!$D$9:$BF$548,BE7,0)</f>
        <v>#N/A</v>
      </c>
      <c r="BF2" s="75" t="e">
        <f>VLOOKUP(CONCATENATE('Ввод исходных данных'!$D$10,'Ввод исходных данных'!$D$11),Климатология!$D$9:$BF$548,BF7,0)</f>
        <v>#N/A</v>
      </c>
    </row>
    <row r="3" spans="1:58" ht="15.75" customHeight="1" x14ac:dyDescent="0.25">
      <c r="C3" s="1010" t="str">
        <f>CONCATENATE('Ввод исходных данных'!$D$10,'Ввод исходных данных'!$D$11)</f>
        <v>Пожалуйста, выберитеПожалуйста, выберите</v>
      </c>
    </row>
    <row r="4" spans="1:58" ht="15.75" customHeight="1" x14ac:dyDescent="0.25">
      <c r="A4" s="74"/>
      <c r="B4" s="74"/>
      <c r="C4" s="74"/>
      <c r="D4" s="74"/>
      <c r="E4" s="74"/>
      <c r="F4" s="74"/>
      <c r="G4" s="74"/>
      <c r="H4" s="74"/>
      <c r="I4" s="74"/>
      <c r="J4" s="74"/>
    </row>
    <row r="5" spans="1:58" ht="15.75" customHeight="1" x14ac:dyDescent="0.25">
      <c r="A5" s="74"/>
      <c r="B5" s="74"/>
      <c r="C5" s="74"/>
      <c r="D5" s="74"/>
      <c r="E5" s="74"/>
      <c r="F5" s="74"/>
      <c r="G5" s="74"/>
      <c r="H5" s="74"/>
      <c r="I5" s="74"/>
      <c r="J5" s="74"/>
    </row>
    <row r="6" spans="1:58" ht="15.75" customHeight="1" x14ac:dyDescent="0.25">
      <c r="A6" s="74"/>
      <c r="B6" s="74"/>
      <c r="C6" s="74"/>
      <c r="D6" s="74"/>
      <c r="E6" s="74"/>
      <c r="F6" s="74"/>
      <c r="G6" s="74"/>
      <c r="H6" s="74"/>
      <c r="I6" s="74"/>
      <c r="J6" s="74"/>
      <c r="K6" s="1829" t="s">
        <v>720</v>
      </c>
      <c r="L6" s="1829"/>
      <c r="M6" s="1829"/>
      <c r="N6" s="1829"/>
      <c r="O6" s="1830" t="s">
        <v>721</v>
      </c>
      <c r="P6" s="1830"/>
      <c r="Q6" s="1830"/>
      <c r="R6" s="1830"/>
      <c r="S6" s="1831" t="s">
        <v>722</v>
      </c>
      <c r="T6" s="1831"/>
      <c r="U6" s="1831"/>
      <c r="V6" s="1831"/>
      <c r="W6" s="1835" t="s">
        <v>482</v>
      </c>
      <c r="X6" s="1835"/>
      <c r="Y6" s="1835"/>
      <c r="Z6" s="1835"/>
      <c r="AA6" s="1836" t="s">
        <v>486</v>
      </c>
      <c r="AB6" s="1836"/>
      <c r="AC6" s="1836"/>
      <c r="AD6" s="1836"/>
      <c r="AE6" s="1837" t="s">
        <v>487</v>
      </c>
      <c r="AF6" s="1837"/>
      <c r="AG6" s="1837"/>
      <c r="AH6" s="1837"/>
      <c r="AI6" s="1838" t="s">
        <v>488</v>
      </c>
      <c r="AJ6" s="1838"/>
      <c r="AK6" s="1838"/>
      <c r="AL6" s="1838"/>
      <c r="AM6" s="1839" t="s">
        <v>489</v>
      </c>
      <c r="AN6" s="1839"/>
      <c r="AO6" s="1839"/>
      <c r="AP6" s="1839"/>
      <c r="AQ6" s="1831" t="s">
        <v>490</v>
      </c>
      <c r="AR6" s="1831"/>
      <c r="AS6" s="1831"/>
      <c r="AT6" s="1831"/>
      <c r="AU6" s="1834" t="s">
        <v>491</v>
      </c>
      <c r="AV6" s="1834"/>
      <c r="AW6" s="1834"/>
      <c r="AX6" s="1834"/>
      <c r="AY6" s="1832" t="s">
        <v>724</v>
      </c>
      <c r="AZ6" s="1832"/>
      <c r="BA6" s="1832"/>
      <c r="BB6" s="1832"/>
      <c r="BC6" s="1833" t="s">
        <v>725</v>
      </c>
      <c r="BD6" s="1833"/>
      <c r="BE6" s="1833"/>
      <c r="BF6" s="1833"/>
    </row>
    <row r="7" spans="1:58" ht="15.75" customHeight="1" x14ac:dyDescent="0.25">
      <c r="B7" s="1022"/>
      <c r="C7" s="1022"/>
      <c r="D7" s="1023">
        <v>1</v>
      </c>
      <c r="E7" s="1023">
        <v>2</v>
      </c>
      <c r="F7" s="1023">
        <v>3</v>
      </c>
      <c r="G7" s="1023">
        <v>4</v>
      </c>
      <c r="H7" s="1023">
        <v>5</v>
      </c>
      <c r="I7" s="1023">
        <v>6</v>
      </c>
      <c r="J7" s="1023">
        <v>7</v>
      </c>
      <c r="K7" s="1023">
        <v>8</v>
      </c>
      <c r="L7" s="1023">
        <v>9</v>
      </c>
      <c r="M7" s="1023">
        <v>10</v>
      </c>
      <c r="N7" s="1023">
        <v>11</v>
      </c>
      <c r="O7" s="1023">
        <v>12</v>
      </c>
      <c r="P7" s="1023">
        <v>13</v>
      </c>
      <c r="Q7" s="1023">
        <v>14</v>
      </c>
      <c r="R7" s="1023">
        <v>15</v>
      </c>
      <c r="S7" s="1023">
        <v>16</v>
      </c>
      <c r="T7" s="1023">
        <v>17</v>
      </c>
      <c r="U7" s="1023">
        <v>18</v>
      </c>
      <c r="V7" s="1023">
        <v>19</v>
      </c>
      <c r="W7" s="1023">
        <v>20</v>
      </c>
      <c r="X7" s="1023">
        <v>21</v>
      </c>
      <c r="Y7" s="1023">
        <v>22</v>
      </c>
      <c r="Z7" s="1023">
        <v>23</v>
      </c>
      <c r="AA7" s="1023">
        <v>24</v>
      </c>
      <c r="AB7" s="1023">
        <v>25</v>
      </c>
      <c r="AC7" s="1023">
        <v>26</v>
      </c>
      <c r="AD7" s="1023">
        <v>27</v>
      </c>
      <c r="AE7" s="1023">
        <v>28</v>
      </c>
      <c r="AF7" s="1023">
        <v>29</v>
      </c>
      <c r="AG7" s="1023">
        <v>30</v>
      </c>
      <c r="AH7" s="1023">
        <v>31</v>
      </c>
      <c r="AI7" s="1023">
        <v>32</v>
      </c>
      <c r="AJ7" s="1023">
        <v>33</v>
      </c>
      <c r="AK7" s="1023">
        <v>34</v>
      </c>
      <c r="AL7" s="1023">
        <v>35</v>
      </c>
      <c r="AM7" s="1023">
        <v>36</v>
      </c>
      <c r="AN7" s="1023">
        <v>37</v>
      </c>
      <c r="AO7" s="1023">
        <v>38</v>
      </c>
      <c r="AP7" s="1023">
        <v>39</v>
      </c>
      <c r="AQ7" s="1023">
        <v>40</v>
      </c>
      <c r="AR7" s="1023">
        <v>41</v>
      </c>
      <c r="AS7" s="1023">
        <v>42</v>
      </c>
      <c r="AT7" s="1023">
        <v>43</v>
      </c>
      <c r="AU7" s="1023">
        <v>44</v>
      </c>
      <c r="AV7" s="1023">
        <v>45</v>
      </c>
      <c r="AW7" s="1023">
        <v>46</v>
      </c>
      <c r="AX7" s="1023">
        <v>47</v>
      </c>
      <c r="AY7" s="1023">
        <v>48</v>
      </c>
      <c r="AZ7" s="1023">
        <v>49</v>
      </c>
      <c r="BA7" s="1023">
        <v>50</v>
      </c>
      <c r="BB7" s="1023">
        <v>51</v>
      </c>
      <c r="BC7" s="1023">
        <v>52</v>
      </c>
      <c r="BD7" s="1023">
        <v>53</v>
      </c>
      <c r="BE7" s="1023">
        <v>54</v>
      </c>
      <c r="BF7" s="1023">
        <v>55</v>
      </c>
    </row>
    <row r="8" spans="1:58" s="1024" customFormat="1" ht="77.25" customHeight="1" x14ac:dyDescent="0.25">
      <c r="B8" s="1025" t="s">
        <v>1239</v>
      </c>
      <c r="C8" s="1025" t="s">
        <v>457</v>
      </c>
      <c r="D8" s="1026" t="s">
        <v>1380</v>
      </c>
      <c r="E8" s="1026" t="s">
        <v>485</v>
      </c>
      <c r="F8" s="1026" t="s">
        <v>751</v>
      </c>
      <c r="G8" s="1026" t="s">
        <v>1539</v>
      </c>
      <c r="H8" s="1027" t="s">
        <v>1578</v>
      </c>
      <c r="I8" s="1027" t="s">
        <v>462</v>
      </c>
      <c r="J8" s="1028" t="s">
        <v>464</v>
      </c>
      <c r="K8" s="1029" t="s">
        <v>723</v>
      </c>
      <c r="L8" s="1029"/>
      <c r="M8" s="1029" t="s">
        <v>539</v>
      </c>
      <c r="N8" s="1030" t="s">
        <v>484</v>
      </c>
      <c r="O8" s="1031" t="s">
        <v>723</v>
      </c>
      <c r="P8" s="1031"/>
      <c r="Q8" s="1031" t="s">
        <v>539</v>
      </c>
      <c r="R8" s="1032" t="s">
        <v>484</v>
      </c>
      <c r="S8" s="1033" t="s">
        <v>723</v>
      </c>
      <c r="T8" s="1033"/>
      <c r="U8" s="1033" t="s">
        <v>539</v>
      </c>
      <c r="V8" s="1034" t="s">
        <v>484</v>
      </c>
      <c r="W8" s="1035" t="s">
        <v>483</v>
      </c>
      <c r="X8" s="1035"/>
      <c r="Y8" s="1035" t="s">
        <v>539</v>
      </c>
      <c r="Z8" s="1036" t="s">
        <v>484</v>
      </c>
      <c r="AA8" s="1037" t="s">
        <v>714</v>
      </c>
      <c r="AB8" s="1037"/>
      <c r="AC8" s="1037" t="s">
        <v>539</v>
      </c>
      <c r="AD8" s="1038" t="s">
        <v>484</v>
      </c>
      <c r="AE8" s="1039" t="s">
        <v>715</v>
      </c>
      <c r="AF8" s="1039"/>
      <c r="AG8" s="1039" t="s">
        <v>539</v>
      </c>
      <c r="AH8" s="1040" t="s">
        <v>484</v>
      </c>
      <c r="AI8" s="1041" t="s">
        <v>716</v>
      </c>
      <c r="AJ8" s="1041"/>
      <c r="AK8" s="1041" t="s">
        <v>540</v>
      </c>
      <c r="AL8" s="1042" t="s">
        <v>484</v>
      </c>
      <c r="AM8" s="1043" t="s">
        <v>717</v>
      </c>
      <c r="AN8" s="1043"/>
      <c r="AO8" s="1043" t="s">
        <v>540</v>
      </c>
      <c r="AP8" s="1044" t="s">
        <v>484</v>
      </c>
      <c r="AQ8" s="1033" t="s">
        <v>718</v>
      </c>
      <c r="AR8" s="1033"/>
      <c r="AS8" s="1033" t="s">
        <v>540</v>
      </c>
      <c r="AT8" s="1034" t="s">
        <v>484</v>
      </c>
      <c r="AU8" s="1045" t="s">
        <v>719</v>
      </c>
      <c r="AV8" s="1045"/>
      <c r="AW8" s="1045" t="s">
        <v>540</v>
      </c>
      <c r="AX8" s="1046" t="s">
        <v>484</v>
      </c>
      <c r="AY8" s="1047" t="s">
        <v>726</v>
      </c>
      <c r="AZ8" s="1047"/>
      <c r="BA8" s="1047" t="s">
        <v>540</v>
      </c>
      <c r="BB8" s="1048" t="s">
        <v>484</v>
      </c>
      <c r="BC8" s="1049" t="s">
        <v>726</v>
      </c>
      <c r="BD8" s="1049"/>
      <c r="BE8" s="1049" t="s">
        <v>540</v>
      </c>
      <c r="BF8" s="1050" t="s">
        <v>484</v>
      </c>
    </row>
    <row r="9" spans="1:58" ht="15.75" customHeight="1" x14ac:dyDescent="0.25">
      <c r="B9" s="1051" t="s">
        <v>0</v>
      </c>
      <c r="C9" s="1052" t="s">
        <v>1</v>
      </c>
      <c r="D9" s="1053" t="str">
        <f t="shared" ref="D9:D72" si="0">CONCATENATE(B9,C9)</f>
        <v>Алтайский крайАлейск</v>
      </c>
      <c r="E9" s="1054">
        <v>216</v>
      </c>
      <c r="F9" s="1055">
        <v>-7.8</v>
      </c>
      <c r="G9" s="1056">
        <v>-38</v>
      </c>
      <c r="H9" s="1057">
        <v>6.8</v>
      </c>
      <c r="I9" s="1058">
        <f>E9*('Ввод исходных данных'!$D$83-F9)</f>
        <v>6004.8</v>
      </c>
      <c r="J9" s="1059" t="str">
        <f t="shared" ref="J9:J72" si="1">CONCATENATE(ROUNDDOWN(I9/1000,0)*1000,"-",ROUNDUP(I9/1000,0)*1000)</f>
        <v>6000-7000</v>
      </c>
      <c r="K9" s="1060">
        <v>20.3</v>
      </c>
      <c r="L9" s="1060"/>
      <c r="M9" s="1061">
        <f>MAX(0,E9-Q9-U9-Y9-AC9-AG9-AK9-AO9-AS9-AW9-BA9-BE9)</f>
        <v>2</v>
      </c>
      <c r="N9" s="1062">
        <f>M9*('Ввод исходных данных'!$D$83-K9)</f>
        <v>-0.60000000000000142</v>
      </c>
      <c r="O9" s="1063">
        <v>17.2</v>
      </c>
      <c r="P9" s="1063"/>
      <c r="Q9" s="1063">
        <f>IF((E9-273)&gt;0,IF((E9-273)/2&gt;31,31,(E9-273)/2),0)</f>
        <v>0</v>
      </c>
      <c r="R9" s="1063">
        <f>Q9*('Ввод исходных данных'!$D$83-O9)</f>
        <v>0</v>
      </c>
      <c r="S9" s="1064">
        <v>11.3</v>
      </c>
      <c r="T9" s="1064"/>
      <c r="U9" s="1064">
        <f>IF(E9/30&gt;8,IF(E9/30&gt;9,30,15),0)</f>
        <v>0</v>
      </c>
      <c r="V9" s="1064">
        <f>U9*('Ввод исходных данных'!$D$83-S9)</f>
        <v>0</v>
      </c>
      <c r="W9" s="1065">
        <v>3.2</v>
      </c>
      <c r="X9" s="1065"/>
      <c r="Y9" s="1065">
        <f>IF((E9-151)&gt;0,IF((E9-151)/2&gt;31,31,(E9-151)/2),0)</f>
        <v>31</v>
      </c>
      <c r="Z9" s="1065">
        <f>Y9*('Ввод исходных данных'!$D$83-W9)</f>
        <v>520.80000000000007</v>
      </c>
      <c r="AA9" s="1066">
        <v>-7.5</v>
      </c>
      <c r="AB9" s="1066"/>
      <c r="AC9" s="1066">
        <f>IF((E9-90)/2&gt;30,30,(E9-90)/2)</f>
        <v>30</v>
      </c>
      <c r="AD9" s="1066">
        <f>AC9*('Ввод исходных данных'!$D$83-AA9)</f>
        <v>825</v>
      </c>
      <c r="AE9" s="1067">
        <v>-15.1</v>
      </c>
      <c r="AF9" s="1067"/>
      <c r="AG9" s="1067">
        <v>31</v>
      </c>
      <c r="AH9" s="1067">
        <f>AG9*('Ввод исходных данных'!$D$83-AE9)</f>
        <v>1088.1000000000001</v>
      </c>
      <c r="AI9" s="1068">
        <v>-17.600000000000001</v>
      </c>
      <c r="AJ9" s="1068"/>
      <c r="AK9" s="1068">
        <v>31</v>
      </c>
      <c r="AL9" s="1068">
        <f>AK9*('Ввод исходных данных'!$D$83-AI9)</f>
        <v>1165.6000000000001</v>
      </c>
      <c r="AM9" s="1069">
        <v>-16.3</v>
      </c>
      <c r="AN9" s="1069"/>
      <c r="AO9" s="1069">
        <v>28</v>
      </c>
      <c r="AP9" s="1069">
        <f>AO9*('Ввод исходных данных'!$D$83-AM9)</f>
        <v>1016.3999999999999</v>
      </c>
      <c r="AQ9" s="1064">
        <v>-8.6999999999999993</v>
      </c>
      <c r="AR9" s="1064"/>
      <c r="AS9" s="1064">
        <f>IF((E9-90)/2&gt;31,31,(E9-90)/2)</f>
        <v>31</v>
      </c>
      <c r="AT9" s="1064">
        <f>AS9*('Ввод исходных данных'!$D$83-AQ9)</f>
        <v>889.69999999999993</v>
      </c>
      <c r="AU9" s="1070">
        <v>3.3</v>
      </c>
      <c r="AV9" s="1070"/>
      <c r="AW9" s="1070">
        <f>IF((E9-151)&gt;0,IF((E9-151)/2&gt;30,30,(E9-151)/2),0)</f>
        <v>30</v>
      </c>
      <c r="AX9" s="1070">
        <f>AW9*('Ввод исходных данных'!$D$83-AU9)</f>
        <v>501</v>
      </c>
      <c r="AY9" s="1071">
        <v>12.2</v>
      </c>
      <c r="AZ9" s="1071"/>
      <c r="BA9" s="1071">
        <f>IF((E9-212)&gt;0,IF((E9-212)/2&gt;31,31,(E9-212)/2),0)</f>
        <v>2</v>
      </c>
      <c r="BB9" s="1071">
        <f>BA9*('Ввод исходных данных'!$D$83-AY9)</f>
        <v>15.600000000000001</v>
      </c>
      <c r="BC9" s="1072">
        <v>18.399999999999999</v>
      </c>
      <c r="BD9" s="1072"/>
      <c r="BE9" s="1072">
        <f>IF((E9-273)&gt;0,IF((E9-273)/2&gt;30,30,(E9-273)/2),0)</f>
        <v>0</v>
      </c>
      <c r="BF9" s="1073">
        <f>BE9*('Ввод исходных данных'!$D$83-BC9)</f>
        <v>0</v>
      </c>
    </row>
    <row r="10" spans="1:58" ht="15.75" customHeight="1" x14ac:dyDescent="0.25">
      <c r="B10" s="1074" t="s">
        <v>0</v>
      </c>
      <c r="C10" s="1075" t="s">
        <v>3</v>
      </c>
      <c r="D10" s="1053" t="str">
        <f t="shared" si="0"/>
        <v>Алтайский крайБарнаул</v>
      </c>
      <c r="E10" s="1054">
        <v>213</v>
      </c>
      <c r="F10" s="1055">
        <v>-7.5</v>
      </c>
      <c r="G10" s="1055">
        <v>-36</v>
      </c>
      <c r="H10" s="1057">
        <v>4</v>
      </c>
      <c r="I10" s="1058">
        <f>E10*('Ввод исходных данных'!$D$83-F10)</f>
        <v>5857.5</v>
      </c>
      <c r="J10" s="1059" t="str">
        <f t="shared" si="1"/>
        <v>5000-6000</v>
      </c>
      <c r="K10" s="1060">
        <v>19.8</v>
      </c>
      <c r="L10" s="1060"/>
      <c r="M10" s="1061">
        <f>MAX(0,E10-Q10-U10-Y10-AC10-AG10-AK10-AO10-AS10-AW10-BA10-BE10)</f>
        <v>0</v>
      </c>
      <c r="N10" s="1062">
        <f>M10*('Ввод исходных данных'!$D$83-K10)</f>
        <v>0</v>
      </c>
      <c r="O10" s="1063">
        <v>17</v>
      </c>
      <c r="P10" s="1063"/>
      <c r="Q10" s="1063">
        <f>IF((E10-273)&gt;0,IF((E10-273)/2&gt;31,31,(E10-273)/2),0)</f>
        <v>0</v>
      </c>
      <c r="R10" s="1063">
        <f>Q10*('Ввод исходных данных'!$D$83-O10)</f>
        <v>0</v>
      </c>
      <c r="S10" s="1064">
        <v>10.9</v>
      </c>
      <c r="T10" s="1064"/>
      <c r="U10" s="1064">
        <f>IF((E10-212)&gt;0,IF((E10-212)/2&gt;30,30,(E10-212)/2),0)</f>
        <v>0.5</v>
      </c>
      <c r="V10" s="1064">
        <f>U10*('Ввод исходных данных'!$D$83-S10)</f>
        <v>4.55</v>
      </c>
      <c r="W10" s="1065">
        <v>3.3</v>
      </c>
      <c r="X10" s="1065"/>
      <c r="Y10" s="1065">
        <f>IF((E10-151)&gt;0,IF((E10-151)/2&gt;31,31,(E10-151)/2),0)</f>
        <v>31</v>
      </c>
      <c r="Z10" s="1065">
        <f>Y10*('Ввод исходных данных'!$D$83-W10)</f>
        <v>517.69999999999993</v>
      </c>
      <c r="AA10" s="1066">
        <v>-6.5</v>
      </c>
      <c r="AB10" s="1066"/>
      <c r="AC10" s="1066">
        <f>IF((E10-90)/2&gt;30,30,(E10-90)/2)</f>
        <v>30</v>
      </c>
      <c r="AD10" s="1066">
        <f>AC10*('Ввод исходных данных'!$D$83-AA10)</f>
        <v>795</v>
      </c>
      <c r="AE10" s="1067">
        <v>-13.5</v>
      </c>
      <c r="AF10" s="1067"/>
      <c r="AG10" s="1067">
        <v>31</v>
      </c>
      <c r="AH10" s="1067">
        <f>AG10*('Ввод исходных данных'!$D$83-AE10)</f>
        <v>1038.5</v>
      </c>
      <c r="AI10" s="1068">
        <v>-16.3</v>
      </c>
      <c r="AJ10" s="1068"/>
      <c r="AK10" s="1068">
        <v>31</v>
      </c>
      <c r="AL10" s="1068">
        <f>AK10*('Ввод исходных данных'!$D$83-AI10)</f>
        <v>1125.3</v>
      </c>
      <c r="AM10" s="1069">
        <v>-14.4</v>
      </c>
      <c r="AN10" s="1069"/>
      <c r="AO10" s="1069">
        <v>28</v>
      </c>
      <c r="AP10" s="1069">
        <f>AO10*('Ввод исходных данных'!$D$83-AM10)</f>
        <v>963.19999999999993</v>
      </c>
      <c r="AQ10" s="1064">
        <v>-7.1</v>
      </c>
      <c r="AR10" s="1064"/>
      <c r="AS10" s="1064">
        <f>IF((E10-90)/2&gt;31,31,(E10-90)/2)</f>
        <v>31</v>
      </c>
      <c r="AT10" s="1064">
        <f>AS10*('Ввод исходных данных'!$D$83-AQ10)</f>
        <v>840.1</v>
      </c>
      <c r="AU10" s="1070">
        <v>3.6</v>
      </c>
      <c r="AV10" s="1070"/>
      <c r="AW10" s="1070">
        <f>IF((E10-151)&gt;0,IF((E10-151)/2&gt;30,30,(E10-151)/2),0)</f>
        <v>30</v>
      </c>
      <c r="AX10" s="1070">
        <f>AW10*('Ввод исходных данных'!$D$83-AU10)</f>
        <v>491.99999999999994</v>
      </c>
      <c r="AY10" s="1071">
        <v>12.3</v>
      </c>
      <c r="AZ10" s="1071"/>
      <c r="BA10" s="1071">
        <f>IF((E10-212)&gt;0,IF((E10-212)/2&gt;31,31,(E10-212)/2),0)</f>
        <v>0.5</v>
      </c>
      <c r="BB10" s="1071">
        <f>BA10*('Ввод исходных данных'!$D$83-AY10)</f>
        <v>3.8499999999999996</v>
      </c>
      <c r="BC10" s="1072">
        <v>17.8</v>
      </c>
      <c r="BD10" s="1072"/>
      <c r="BE10" s="1072">
        <f t="shared" ref="BE10:BE73" si="2">IF((E10-273)&gt;0,IF((E10-273)/2&gt;30,30,(E10-273)/2),0)</f>
        <v>0</v>
      </c>
      <c r="BF10" s="1073">
        <f>BE10*('Ввод исходных данных'!$D$83-BC10)</f>
        <v>0</v>
      </c>
    </row>
    <row r="11" spans="1:58" ht="15.75" customHeight="1" x14ac:dyDescent="0.25">
      <c r="B11" s="1051" t="s">
        <v>0</v>
      </c>
      <c r="C11" s="1052" t="s">
        <v>632</v>
      </c>
      <c r="D11" s="1053" t="str">
        <f t="shared" si="0"/>
        <v>Алтайский крайБийск-Зональная</v>
      </c>
      <c r="E11" s="1054">
        <v>213</v>
      </c>
      <c r="F11" s="1055">
        <v>-7.6</v>
      </c>
      <c r="G11" s="1055">
        <v>-35</v>
      </c>
      <c r="H11" s="1057">
        <v>5</v>
      </c>
      <c r="I11" s="1058">
        <f>E11*('Ввод исходных данных'!$D$83-F11)</f>
        <v>5878.8</v>
      </c>
      <c r="J11" s="1059" t="str">
        <f t="shared" si="1"/>
        <v>5000-6000</v>
      </c>
      <c r="K11" s="1060">
        <v>19.8</v>
      </c>
      <c r="L11" s="1060"/>
      <c r="M11" s="1061">
        <f t="shared" ref="M11:M74" si="3">MAX(0,E11-Q11-U11-Y11-AC11-AG11-AK11-AO11-AS11-AW11-BA11-BE11)</f>
        <v>0</v>
      </c>
      <c r="N11" s="1062">
        <f>M11*('Ввод исходных данных'!$D$83-K11)</f>
        <v>0</v>
      </c>
      <c r="O11" s="1063">
        <v>17.100000000000001</v>
      </c>
      <c r="P11" s="1063"/>
      <c r="Q11" s="1063">
        <f t="shared" ref="Q11:Q74" si="4">IF((E11-273)&gt;0,IF((E11-273)/2&gt;31,31,(E11-273)/2),0)</f>
        <v>0</v>
      </c>
      <c r="R11" s="1063">
        <f>Q11*('Ввод исходных данных'!$D$83-O11)</f>
        <v>0</v>
      </c>
      <c r="S11" s="1064">
        <v>10.9</v>
      </c>
      <c r="T11" s="1064"/>
      <c r="U11" s="1064">
        <f t="shared" ref="U11:U74" si="5">IF((E11-212)&gt;0,IF((E11-212)/2&gt;30,30,(E11-212)/2),0)</f>
        <v>0.5</v>
      </c>
      <c r="V11" s="1064">
        <f>U11*('Ввод исходных данных'!$D$83-S11)</f>
        <v>4.55</v>
      </c>
      <c r="W11" s="1065">
        <v>3.4</v>
      </c>
      <c r="X11" s="1065"/>
      <c r="Y11" s="1065">
        <f t="shared" ref="Y11:Y74" si="6">IF((E11-151)&gt;0,IF((E11-151)/2&gt;31,31,(E11-151)/2),0)</f>
        <v>31</v>
      </c>
      <c r="Z11" s="1065">
        <f>Y11*('Ввод исходных данных'!$D$83-W11)</f>
        <v>514.6</v>
      </c>
      <c r="AA11" s="1066">
        <v>-6.4</v>
      </c>
      <c r="AB11" s="1066"/>
      <c r="AC11" s="1066">
        <f t="shared" ref="AC11:AC74" si="7">IF((E11-90)/2&gt;30,30,(E11-90)/2)</f>
        <v>30</v>
      </c>
      <c r="AD11" s="1066">
        <f>AC11*('Ввод исходных данных'!$D$83-AA11)</f>
        <v>792</v>
      </c>
      <c r="AE11" s="1067">
        <v>-13.5</v>
      </c>
      <c r="AF11" s="1067"/>
      <c r="AG11" s="1067">
        <v>31</v>
      </c>
      <c r="AH11" s="1067">
        <f>AG11*('Ввод исходных данных'!$D$83-AE11)</f>
        <v>1038.5</v>
      </c>
      <c r="AI11" s="1068">
        <v>-16.600000000000001</v>
      </c>
      <c r="AJ11" s="1068"/>
      <c r="AK11" s="1068">
        <v>31</v>
      </c>
      <c r="AL11" s="1068">
        <f>AK11*('Ввод исходных данных'!$D$83-AI11)</f>
        <v>1134.6000000000001</v>
      </c>
      <c r="AM11" s="1069">
        <v>-14.8</v>
      </c>
      <c r="AN11" s="1069"/>
      <c r="AO11" s="1069">
        <v>28</v>
      </c>
      <c r="AP11" s="1069">
        <f>AO11*('Ввод исходных данных'!$D$83-AM11)</f>
        <v>974.39999999999986</v>
      </c>
      <c r="AQ11" s="1064">
        <v>-7.5</v>
      </c>
      <c r="AR11" s="1064"/>
      <c r="AS11" s="1064">
        <f t="shared" ref="AS11:AS74" si="8">IF((E11-90)/2&gt;31,31,(E11-90)/2)</f>
        <v>31</v>
      </c>
      <c r="AT11" s="1064">
        <f>AS11*('Ввод исходных данных'!$D$83-AQ11)</f>
        <v>852.5</v>
      </c>
      <c r="AU11" s="1070">
        <v>3.8</v>
      </c>
      <c r="AV11" s="1070"/>
      <c r="AW11" s="1070">
        <f t="shared" ref="AW11:AW74" si="9">IF((E11-151)&gt;0,IF((E11-151)/2&gt;30,30,(E11-151)/2),0)</f>
        <v>30</v>
      </c>
      <c r="AX11" s="1070">
        <f>AW11*('Ввод исходных данных'!$D$83-AU11)</f>
        <v>486</v>
      </c>
      <c r="AY11" s="1071">
        <v>12.3</v>
      </c>
      <c r="AZ11" s="1071"/>
      <c r="BA11" s="1071">
        <f t="shared" ref="BA11:BA74" si="10">IF((E11-212)&gt;0,IF((E11-212)/2&gt;31,31,(E11-212)/2),0)</f>
        <v>0.5</v>
      </c>
      <c r="BB11" s="1071">
        <f>BA11*('Ввод исходных данных'!$D$83-AY11)</f>
        <v>3.8499999999999996</v>
      </c>
      <c r="BC11" s="1072">
        <v>17.7</v>
      </c>
      <c r="BD11" s="1072"/>
      <c r="BE11" s="1072">
        <f t="shared" si="2"/>
        <v>0</v>
      </c>
      <c r="BF11" s="1073">
        <f>BE11*('Ввод исходных данных'!$D$83-BC11)</f>
        <v>0</v>
      </c>
    </row>
    <row r="12" spans="1:58" ht="15.75" customHeight="1" x14ac:dyDescent="0.25">
      <c r="B12" s="1074" t="s">
        <v>0</v>
      </c>
      <c r="C12" s="1076" t="s">
        <v>8</v>
      </c>
      <c r="D12" s="1053" t="str">
        <f t="shared" si="0"/>
        <v>Алтайский крайЗмеиногорск</v>
      </c>
      <c r="E12" s="1054">
        <v>211</v>
      </c>
      <c r="F12" s="1055">
        <v>-6.7</v>
      </c>
      <c r="G12" s="1056">
        <v>-36</v>
      </c>
      <c r="H12" s="1057">
        <v>5.3</v>
      </c>
      <c r="I12" s="1058">
        <f>E12*('Ввод исходных данных'!$D$83-F12)</f>
        <v>5633.7</v>
      </c>
      <c r="J12" s="1059" t="str">
        <f t="shared" si="1"/>
        <v>5000-6000</v>
      </c>
      <c r="K12" s="1060">
        <v>19.3</v>
      </c>
      <c r="L12" s="1060"/>
      <c r="M12" s="1061">
        <f t="shared" si="3"/>
        <v>0</v>
      </c>
      <c r="N12" s="1062">
        <f>M12*('Ввод исходных данных'!$D$83-K12)</f>
        <v>0</v>
      </c>
      <c r="O12" s="1063">
        <v>16.8</v>
      </c>
      <c r="P12" s="1063"/>
      <c r="Q12" s="1063">
        <f t="shared" si="4"/>
        <v>0</v>
      </c>
      <c r="R12" s="1063">
        <f>Q12*('Ввод исходных данных'!$D$83-O12)</f>
        <v>0</v>
      </c>
      <c r="S12" s="1064">
        <v>11.1</v>
      </c>
      <c r="T12" s="1064"/>
      <c r="U12" s="1064">
        <f t="shared" si="5"/>
        <v>0</v>
      </c>
      <c r="V12" s="1064">
        <f>U12*('Ввод исходных данных'!$D$83-S12)</f>
        <v>0</v>
      </c>
      <c r="W12" s="1065">
        <v>4</v>
      </c>
      <c r="X12" s="1065"/>
      <c r="Y12" s="1065">
        <f t="shared" si="6"/>
        <v>30</v>
      </c>
      <c r="Z12" s="1065">
        <f>Y12*('Ввод исходных данных'!$D$83-W12)</f>
        <v>480</v>
      </c>
      <c r="AA12" s="1066">
        <v>-5.3</v>
      </c>
      <c r="AB12" s="1066"/>
      <c r="AC12" s="1066">
        <f t="shared" si="7"/>
        <v>30</v>
      </c>
      <c r="AD12" s="1066">
        <f>AC12*('Ввод исходных данных'!$D$83-AA12)</f>
        <v>759</v>
      </c>
      <c r="AE12" s="1067">
        <v>-11.7</v>
      </c>
      <c r="AF12" s="1067"/>
      <c r="AG12" s="1067">
        <v>31</v>
      </c>
      <c r="AH12" s="1067">
        <f>AG12*('Ввод исходных данных'!$D$83-AE12)</f>
        <v>982.69999999999993</v>
      </c>
      <c r="AI12" s="1068">
        <v>-14.3</v>
      </c>
      <c r="AJ12" s="1068"/>
      <c r="AK12" s="1068">
        <v>31</v>
      </c>
      <c r="AL12" s="1068">
        <f>AK12*('Ввод исходных данных'!$D$83-AI12)</f>
        <v>1063.3</v>
      </c>
      <c r="AM12" s="1069">
        <v>-13.4</v>
      </c>
      <c r="AN12" s="1069"/>
      <c r="AO12" s="1069">
        <v>28</v>
      </c>
      <c r="AP12" s="1069">
        <f>AO12*('Ввод исходных данных'!$D$83-AM12)</f>
        <v>935.19999999999993</v>
      </c>
      <c r="AQ12" s="1064">
        <v>-7.1</v>
      </c>
      <c r="AR12" s="1064"/>
      <c r="AS12" s="1064">
        <f t="shared" si="8"/>
        <v>31</v>
      </c>
      <c r="AT12" s="1064">
        <f>AS12*('Ввод исходных данных'!$D$83-AQ12)</f>
        <v>840.1</v>
      </c>
      <c r="AU12" s="1070">
        <v>4.0999999999999996</v>
      </c>
      <c r="AV12" s="1070"/>
      <c r="AW12" s="1070">
        <f t="shared" si="9"/>
        <v>30</v>
      </c>
      <c r="AX12" s="1070">
        <f>AW12*('Ввод исходных данных'!$D$83-AU12)</f>
        <v>477</v>
      </c>
      <c r="AY12" s="1071">
        <v>12.4</v>
      </c>
      <c r="AZ12" s="1071"/>
      <c r="BA12" s="1071">
        <f t="shared" si="10"/>
        <v>0</v>
      </c>
      <c r="BB12" s="1071">
        <f>BA12*('Ввод исходных данных'!$D$83-AY12)</f>
        <v>0</v>
      </c>
      <c r="BC12" s="1072">
        <v>17.600000000000001</v>
      </c>
      <c r="BD12" s="1072"/>
      <c r="BE12" s="1072">
        <f t="shared" si="2"/>
        <v>0</v>
      </c>
      <c r="BF12" s="1073">
        <f>BE12*('Ввод исходных данных'!$D$83-BC12)</f>
        <v>0</v>
      </c>
    </row>
    <row r="13" spans="1:58" ht="15.75" customHeight="1" x14ac:dyDescent="0.25">
      <c r="B13" s="1051" t="s">
        <v>0</v>
      </c>
      <c r="C13" s="1052" t="s">
        <v>4</v>
      </c>
      <c r="D13" s="1053" t="str">
        <f t="shared" si="0"/>
        <v>Алтайский крайРодино</v>
      </c>
      <c r="E13" s="1054">
        <v>215</v>
      </c>
      <c r="F13" s="1055">
        <v>-8.1</v>
      </c>
      <c r="G13" s="1055">
        <v>-38</v>
      </c>
      <c r="H13" s="1057">
        <v>6</v>
      </c>
      <c r="I13" s="1058">
        <f>E13*('Ввод исходных данных'!$D$83-F13)</f>
        <v>6041.5</v>
      </c>
      <c r="J13" s="1059" t="str">
        <f t="shared" si="1"/>
        <v>6000-7000</v>
      </c>
      <c r="K13" s="1060">
        <v>20.5</v>
      </c>
      <c r="L13" s="1060"/>
      <c r="M13" s="1061">
        <f t="shared" si="3"/>
        <v>0</v>
      </c>
      <c r="N13" s="1062">
        <f>M13*('Ввод исходных данных'!$D$83-K13)</f>
        <v>0</v>
      </c>
      <c r="O13" s="1063">
        <v>17.399999999999999</v>
      </c>
      <c r="P13" s="1063"/>
      <c r="Q13" s="1063">
        <f t="shared" si="4"/>
        <v>0</v>
      </c>
      <c r="R13" s="1063">
        <f>Q13*('Ввод исходных данных'!$D$83-O13)</f>
        <v>0</v>
      </c>
      <c r="S13" s="1064">
        <v>11.6</v>
      </c>
      <c r="T13" s="1064"/>
      <c r="U13" s="1064">
        <f t="shared" si="5"/>
        <v>1.5</v>
      </c>
      <c r="V13" s="1064">
        <f>U13*('Ввод исходных данных'!$D$83-S13)</f>
        <v>12.600000000000001</v>
      </c>
      <c r="W13" s="1065">
        <v>3</v>
      </c>
      <c r="X13" s="1065"/>
      <c r="Y13" s="1065">
        <f t="shared" si="6"/>
        <v>31</v>
      </c>
      <c r="Z13" s="1065">
        <f>Y13*('Ввод исходных данных'!$D$83-W13)</f>
        <v>527</v>
      </c>
      <c r="AA13" s="1066">
        <v>-7.4</v>
      </c>
      <c r="AB13" s="1066"/>
      <c r="AC13" s="1066">
        <f t="shared" si="7"/>
        <v>30</v>
      </c>
      <c r="AD13" s="1066">
        <f>AC13*('Ввод исходных данных'!$D$83-AA13)</f>
        <v>822</v>
      </c>
      <c r="AE13" s="1067">
        <v>-15.1</v>
      </c>
      <c r="AF13" s="1067"/>
      <c r="AG13" s="1067">
        <v>31</v>
      </c>
      <c r="AH13" s="1067">
        <f>AG13*('Ввод исходных данных'!$D$83-AE13)</f>
        <v>1088.1000000000001</v>
      </c>
      <c r="AI13" s="1068">
        <v>-17.7</v>
      </c>
      <c r="AJ13" s="1068"/>
      <c r="AK13" s="1068">
        <v>31</v>
      </c>
      <c r="AL13" s="1068">
        <f>AK13*('Ввод исходных данных'!$D$83-AI13)</f>
        <v>1168.7</v>
      </c>
      <c r="AM13" s="1069">
        <v>-16.899999999999999</v>
      </c>
      <c r="AN13" s="1069"/>
      <c r="AO13" s="1069">
        <v>28</v>
      </c>
      <c r="AP13" s="1069">
        <f>AO13*('Ввод исходных данных'!$D$83-AM13)</f>
        <v>1033.2</v>
      </c>
      <c r="AQ13" s="1064">
        <v>-9.8000000000000007</v>
      </c>
      <c r="AR13" s="1064"/>
      <c r="AS13" s="1064">
        <f t="shared" si="8"/>
        <v>31</v>
      </c>
      <c r="AT13" s="1064">
        <f>AS13*('Ввод исходных данных'!$D$83-AQ13)</f>
        <v>923.80000000000007</v>
      </c>
      <c r="AU13" s="1070">
        <v>3.3</v>
      </c>
      <c r="AV13" s="1070"/>
      <c r="AW13" s="1070">
        <f t="shared" si="9"/>
        <v>30</v>
      </c>
      <c r="AX13" s="1070">
        <f>AW13*('Ввод исходных данных'!$D$83-AU13)</f>
        <v>501</v>
      </c>
      <c r="AY13" s="1071">
        <v>12.5</v>
      </c>
      <c r="AZ13" s="1071"/>
      <c r="BA13" s="1071">
        <f t="shared" si="10"/>
        <v>1.5</v>
      </c>
      <c r="BB13" s="1071">
        <f>BA13*('Ввод исходных данных'!$D$83-AY13)</f>
        <v>11.25</v>
      </c>
      <c r="BC13" s="1072">
        <v>18.600000000000001</v>
      </c>
      <c r="BD13" s="1072"/>
      <c r="BE13" s="1072">
        <f t="shared" si="2"/>
        <v>0</v>
      </c>
      <c r="BF13" s="1073">
        <f>BE13*('Ввод исходных данных'!$D$83-BC13)</f>
        <v>0</v>
      </c>
    </row>
    <row r="14" spans="1:58" ht="15.75" customHeight="1" x14ac:dyDescent="0.25">
      <c r="B14" s="1074" t="s">
        <v>0</v>
      </c>
      <c r="C14" s="1076" t="s">
        <v>5</v>
      </c>
      <c r="D14" s="1053" t="str">
        <f t="shared" si="0"/>
        <v>Алтайский крайРубцовск</v>
      </c>
      <c r="E14" s="1054">
        <v>206</v>
      </c>
      <c r="F14" s="1055">
        <v>-7.9</v>
      </c>
      <c r="G14" s="1055">
        <v>-35</v>
      </c>
      <c r="H14" s="1057">
        <v>7.2</v>
      </c>
      <c r="I14" s="1058">
        <f>E14*('Ввод исходных данных'!$D$83-F14)</f>
        <v>5747.4</v>
      </c>
      <c r="J14" s="1059" t="str">
        <f t="shared" si="1"/>
        <v>5000-6000</v>
      </c>
      <c r="K14" s="1060">
        <v>20.6</v>
      </c>
      <c r="L14" s="1060"/>
      <c r="M14" s="1061">
        <f t="shared" si="3"/>
        <v>0</v>
      </c>
      <c r="N14" s="1062">
        <f>M14*('Ввод исходных данных'!$D$83-K14)</f>
        <v>0</v>
      </c>
      <c r="O14" s="1063">
        <v>18</v>
      </c>
      <c r="P14" s="1063"/>
      <c r="Q14" s="1063">
        <f t="shared" si="4"/>
        <v>0</v>
      </c>
      <c r="R14" s="1063">
        <f>Q14*('Ввод исходных данных'!$D$83-O14)</f>
        <v>0</v>
      </c>
      <c r="S14" s="1064">
        <v>11.9</v>
      </c>
      <c r="T14" s="1064"/>
      <c r="U14" s="1064">
        <f t="shared" si="5"/>
        <v>0</v>
      </c>
      <c r="V14" s="1064">
        <f>U14*('Ввод исходных данных'!$D$83-S14)</f>
        <v>0</v>
      </c>
      <c r="W14" s="1065">
        <v>4.0999999999999996</v>
      </c>
      <c r="X14" s="1065"/>
      <c r="Y14" s="1065">
        <f t="shared" si="6"/>
        <v>27.5</v>
      </c>
      <c r="Z14" s="1065">
        <f>Y14*('Ввод исходных данных'!$D$83-W14)</f>
        <v>437.25</v>
      </c>
      <c r="AA14" s="1066">
        <v>-5.7</v>
      </c>
      <c r="AB14" s="1066"/>
      <c r="AC14" s="1066">
        <f t="shared" si="7"/>
        <v>30</v>
      </c>
      <c r="AD14" s="1066">
        <f>AC14*('Ввод исходных данных'!$D$83-AA14)</f>
        <v>771</v>
      </c>
      <c r="AE14" s="1067">
        <v>-13.2</v>
      </c>
      <c r="AF14" s="1067"/>
      <c r="AG14" s="1067">
        <v>31</v>
      </c>
      <c r="AH14" s="1067">
        <f>AG14*('Ввод исходных данных'!$D$83-AE14)</f>
        <v>1029.2</v>
      </c>
      <c r="AI14" s="1068">
        <v>-16.2</v>
      </c>
      <c r="AJ14" s="1068"/>
      <c r="AK14" s="1068">
        <v>31</v>
      </c>
      <c r="AL14" s="1068">
        <f>AK14*('Ввод исходных данных'!$D$83-AI14)</f>
        <v>1122.2</v>
      </c>
      <c r="AM14" s="1069">
        <v>-14.9</v>
      </c>
      <c r="AN14" s="1069"/>
      <c r="AO14" s="1069">
        <v>28</v>
      </c>
      <c r="AP14" s="1069">
        <f>AO14*('Ввод исходных данных'!$D$83-AM14)</f>
        <v>977.19999999999993</v>
      </c>
      <c r="AQ14" s="1064">
        <v>-7.8</v>
      </c>
      <c r="AR14" s="1064"/>
      <c r="AS14" s="1064">
        <f t="shared" si="8"/>
        <v>31</v>
      </c>
      <c r="AT14" s="1064">
        <f>AS14*('Ввод исходных данных'!$D$83-AQ14)</f>
        <v>861.80000000000007</v>
      </c>
      <c r="AU14" s="1070">
        <v>4.5999999999999996</v>
      </c>
      <c r="AV14" s="1070"/>
      <c r="AW14" s="1070">
        <f t="shared" si="9"/>
        <v>27.5</v>
      </c>
      <c r="AX14" s="1070">
        <f>AW14*('Ввод исходных данных'!$D$83-AU14)</f>
        <v>423.5</v>
      </c>
      <c r="AY14" s="1071">
        <v>13.3</v>
      </c>
      <c r="AZ14" s="1071"/>
      <c r="BA14" s="1071">
        <f t="shared" si="10"/>
        <v>0</v>
      </c>
      <c r="BB14" s="1071">
        <f>BA14*('Ввод исходных данных'!$D$83-AY14)</f>
        <v>0</v>
      </c>
      <c r="BC14" s="1072">
        <v>18.8</v>
      </c>
      <c r="BD14" s="1072"/>
      <c r="BE14" s="1072">
        <f t="shared" si="2"/>
        <v>0</v>
      </c>
      <c r="BF14" s="1073">
        <f>BE14*('Ввод исходных данных'!$D$83-BC14)</f>
        <v>0</v>
      </c>
    </row>
    <row r="15" spans="1:58" ht="15.75" customHeight="1" x14ac:dyDescent="0.25">
      <c r="B15" s="1051" t="s">
        <v>0</v>
      </c>
      <c r="C15" s="1052" t="s">
        <v>6</v>
      </c>
      <c r="D15" s="1053" t="str">
        <f t="shared" si="0"/>
        <v>Алтайский крайСлавгород</v>
      </c>
      <c r="E15" s="1054">
        <v>206</v>
      </c>
      <c r="F15" s="1055">
        <v>-8.8000000000000007</v>
      </c>
      <c r="G15" s="1055">
        <v>-36</v>
      </c>
      <c r="H15" s="1057">
        <v>5</v>
      </c>
      <c r="I15" s="1058">
        <f>E15*('Ввод исходных данных'!$D$83-F15)</f>
        <v>5932.8</v>
      </c>
      <c r="J15" s="1059" t="str">
        <f t="shared" si="1"/>
        <v>5000-6000</v>
      </c>
      <c r="K15" s="1060">
        <v>21.1</v>
      </c>
      <c r="L15" s="1060"/>
      <c r="M15" s="1061">
        <f t="shared" si="3"/>
        <v>0</v>
      </c>
      <c r="N15" s="1062">
        <f>M15*('Ввод исходных данных'!$D$83-K15)</f>
        <v>0</v>
      </c>
      <c r="O15" s="1063">
        <v>18.2</v>
      </c>
      <c r="P15" s="1063"/>
      <c r="Q15" s="1063">
        <f t="shared" si="4"/>
        <v>0</v>
      </c>
      <c r="R15" s="1063">
        <f>Q15*('Ввод исходных данных'!$D$83-O15)</f>
        <v>0</v>
      </c>
      <c r="S15" s="1064">
        <v>12</v>
      </c>
      <c r="T15" s="1064"/>
      <c r="U15" s="1064">
        <f t="shared" si="5"/>
        <v>0</v>
      </c>
      <c r="V15" s="1064">
        <f>U15*('Ввод исходных данных'!$D$83-S15)</f>
        <v>0</v>
      </c>
      <c r="W15" s="1065">
        <v>3.6</v>
      </c>
      <c r="X15" s="1065"/>
      <c r="Y15" s="1065">
        <f t="shared" si="6"/>
        <v>27.5</v>
      </c>
      <c r="Z15" s="1065">
        <f>Y15*('Ввод исходных данных'!$D$83-W15)</f>
        <v>450.99999999999994</v>
      </c>
      <c r="AA15" s="1066">
        <v>-6.7</v>
      </c>
      <c r="AB15" s="1066"/>
      <c r="AC15" s="1066">
        <f t="shared" si="7"/>
        <v>30</v>
      </c>
      <c r="AD15" s="1066">
        <f>AC15*('Ввод исходных данных'!$D$83-AA15)</f>
        <v>801</v>
      </c>
      <c r="AE15" s="1067">
        <v>-14.2</v>
      </c>
      <c r="AF15" s="1067"/>
      <c r="AG15" s="1067">
        <v>31</v>
      </c>
      <c r="AH15" s="1067">
        <f>AG15*('Ввод исходных данных'!$D$83-AE15)</f>
        <v>1060.2</v>
      </c>
      <c r="AI15" s="1068">
        <v>-17.600000000000001</v>
      </c>
      <c r="AJ15" s="1068"/>
      <c r="AK15" s="1068">
        <v>31</v>
      </c>
      <c r="AL15" s="1068">
        <f>AK15*('Ввод исходных данных'!$D$83-AI15)</f>
        <v>1165.6000000000001</v>
      </c>
      <c r="AM15" s="1069">
        <v>-16.3</v>
      </c>
      <c r="AN15" s="1069"/>
      <c r="AO15" s="1069">
        <v>28</v>
      </c>
      <c r="AP15" s="1069">
        <f>AO15*('Ввод исходных данных'!$D$83-AM15)</f>
        <v>1016.3999999999999</v>
      </c>
      <c r="AQ15" s="1064">
        <v>-8.8000000000000007</v>
      </c>
      <c r="AR15" s="1064"/>
      <c r="AS15" s="1064">
        <f t="shared" si="8"/>
        <v>31</v>
      </c>
      <c r="AT15" s="1064">
        <f>AS15*('Ввод исходных данных'!$D$83-AQ15)</f>
        <v>892.80000000000007</v>
      </c>
      <c r="AU15" s="1070">
        <v>4.5</v>
      </c>
      <c r="AV15" s="1070"/>
      <c r="AW15" s="1070">
        <f t="shared" si="9"/>
        <v>27.5</v>
      </c>
      <c r="AX15" s="1070">
        <f>AW15*('Ввод исходных данных'!$D$83-AU15)</f>
        <v>426.25</v>
      </c>
      <c r="AY15" s="1071">
        <v>13.3</v>
      </c>
      <c r="AZ15" s="1071"/>
      <c r="BA15" s="1071">
        <f t="shared" si="10"/>
        <v>0</v>
      </c>
      <c r="BB15" s="1071">
        <f>BA15*('Ввод исходных данных'!$D$83-AY15)</f>
        <v>0</v>
      </c>
      <c r="BC15" s="1072">
        <v>19.3</v>
      </c>
      <c r="BD15" s="1072"/>
      <c r="BE15" s="1072">
        <f t="shared" si="2"/>
        <v>0</v>
      </c>
      <c r="BF15" s="1073">
        <f>BE15*('Ввод исходных данных'!$D$83-BC15)</f>
        <v>0</v>
      </c>
    </row>
    <row r="16" spans="1:58" ht="15.75" customHeight="1" x14ac:dyDescent="0.25">
      <c r="B16" s="1074" t="s">
        <v>0</v>
      </c>
      <c r="C16" s="1076" t="s">
        <v>7</v>
      </c>
      <c r="D16" s="1053" t="str">
        <f t="shared" si="0"/>
        <v>Алтайский крайТогул</v>
      </c>
      <c r="E16" s="1054">
        <v>225</v>
      </c>
      <c r="F16" s="1055">
        <v>-7.3</v>
      </c>
      <c r="G16" s="1055">
        <v>-37</v>
      </c>
      <c r="H16" s="1057">
        <f>H15</f>
        <v>5</v>
      </c>
      <c r="I16" s="1058">
        <f>E16*('Ввод исходных данных'!$D$83-F16)</f>
        <v>6142.5</v>
      </c>
      <c r="J16" s="1059" t="str">
        <f t="shared" si="1"/>
        <v>6000-7000</v>
      </c>
      <c r="K16" s="1060">
        <v>18.8</v>
      </c>
      <c r="L16" s="1060"/>
      <c r="M16" s="1061">
        <f t="shared" si="3"/>
        <v>0</v>
      </c>
      <c r="N16" s="1062">
        <f>M16*('Ввод исходных данных'!$D$83-K16)</f>
        <v>0</v>
      </c>
      <c r="O16" s="1063">
        <v>15.8</v>
      </c>
      <c r="P16" s="1063"/>
      <c r="Q16" s="1063">
        <f t="shared" si="4"/>
        <v>0</v>
      </c>
      <c r="R16" s="1063">
        <f>Q16*('Ввод исходных данных'!$D$83-O16)</f>
        <v>0</v>
      </c>
      <c r="S16" s="1064">
        <v>10.3</v>
      </c>
      <c r="T16" s="1064"/>
      <c r="U16" s="1064">
        <f t="shared" si="5"/>
        <v>6.5</v>
      </c>
      <c r="V16" s="1064">
        <f>U16*('Ввод исходных данных'!$D$83-S16)</f>
        <v>63.05</v>
      </c>
      <c r="W16" s="1065">
        <v>2.4</v>
      </c>
      <c r="X16" s="1065"/>
      <c r="Y16" s="1065">
        <f t="shared" si="6"/>
        <v>31</v>
      </c>
      <c r="Z16" s="1065">
        <f>Y16*('Ввод исходных данных'!$D$83-W16)</f>
        <v>545.6</v>
      </c>
      <c r="AA16" s="1066">
        <v>-8.1</v>
      </c>
      <c r="AB16" s="1066"/>
      <c r="AC16" s="1066">
        <f t="shared" si="7"/>
        <v>30</v>
      </c>
      <c r="AD16" s="1066">
        <f>AC16*('Ввод исходных данных'!$D$83-AA16)</f>
        <v>843</v>
      </c>
      <c r="AE16" s="1067">
        <v>-15</v>
      </c>
      <c r="AF16" s="1067"/>
      <c r="AG16" s="1067">
        <v>31</v>
      </c>
      <c r="AH16" s="1067">
        <f>AG16*('Ввод исходных данных'!$D$83-AE16)</f>
        <v>1085</v>
      </c>
      <c r="AI16" s="1068">
        <v>-16.5</v>
      </c>
      <c r="AJ16" s="1068"/>
      <c r="AK16" s="1068">
        <v>31</v>
      </c>
      <c r="AL16" s="1068">
        <f>AK16*('Ввод исходных данных'!$D$83-AI16)</f>
        <v>1131.5</v>
      </c>
      <c r="AM16" s="1069">
        <v>-15.3</v>
      </c>
      <c r="AN16" s="1069"/>
      <c r="AO16" s="1069">
        <v>28</v>
      </c>
      <c r="AP16" s="1069">
        <f>AO16*('Ввод исходных данных'!$D$83-AM16)</f>
        <v>988.39999999999986</v>
      </c>
      <c r="AQ16" s="1064">
        <v>-8.6999999999999993</v>
      </c>
      <c r="AR16" s="1064"/>
      <c r="AS16" s="1064">
        <f t="shared" si="8"/>
        <v>31</v>
      </c>
      <c r="AT16" s="1064">
        <f>AS16*('Ввод исходных данных'!$D$83-AQ16)</f>
        <v>889.69999999999993</v>
      </c>
      <c r="AU16" s="1070">
        <v>1.7</v>
      </c>
      <c r="AV16" s="1070"/>
      <c r="AW16" s="1070">
        <f t="shared" si="9"/>
        <v>30</v>
      </c>
      <c r="AX16" s="1070">
        <f>AW16*('Ввод исходных данных'!$D$83-AU16)</f>
        <v>549</v>
      </c>
      <c r="AY16" s="1071">
        <v>10.5</v>
      </c>
      <c r="AZ16" s="1071"/>
      <c r="BA16" s="1071">
        <f t="shared" si="10"/>
        <v>6.5</v>
      </c>
      <c r="BB16" s="1071">
        <f>BA16*('Ввод исходных данных'!$D$83-AY16)</f>
        <v>61.75</v>
      </c>
      <c r="BC16" s="1072">
        <v>16.7</v>
      </c>
      <c r="BD16" s="1072"/>
      <c r="BE16" s="1072">
        <f t="shared" si="2"/>
        <v>0</v>
      </c>
      <c r="BF16" s="1073">
        <f>BE16*('Ввод исходных данных'!$D$83-BC16)</f>
        <v>0</v>
      </c>
    </row>
    <row r="17" spans="2:58" ht="15.75" customHeight="1" x14ac:dyDescent="0.25">
      <c r="B17" s="1051" t="s">
        <v>13</v>
      </c>
      <c r="C17" s="1052" t="s">
        <v>633</v>
      </c>
      <c r="D17" s="1053" t="str">
        <f t="shared" si="0"/>
        <v>Амурская областьАрхара</v>
      </c>
      <c r="E17" s="1054">
        <v>211</v>
      </c>
      <c r="F17" s="1055">
        <v>-12.7</v>
      </c>
      <c r="G17" s="1055">
        <v>-36</v>
      </c>
      <c r="H17" s="1057">
        <v>2.5</v>
      </c>
      <c r="I17" s="1058">
        <f>E17*('Ввод исходных данных'!$D$83-F17)</f>
        <v>6899.7000000000007</v>
      </c>
      <c r="J17" s="1059" t="str">
        <f t="shared" si="1"/>
        <v>6000-7000</v>
      </c>
      <c r="K17" s="1060">
        <v>21.1</v>
      </c>
      <c r="L17" s="1060"/>
      <c r="M17" s="1061">
        <f t="shared" si="3"/>
        <v>0</v>
      </c>
      <c r="N17" s="1062">
        <f>M17*('Ввод исходных данных'!$D$83-K17)</f>
        <v>0</v>
      </c>
      <c r="O17" s="1063">
        <v>18.7</v>
      </c>
      <c r="P17" s="1063"/>
      <c r="Q17" s="1063">
        <f t="shared" si="4"/>
        <v>0</v>
      </c>
      <c r="R17" s="1063">
        <f>Q17*('Ввод исходных данных'!$D$83-O17)</f>
        <v>0</v>
      </c>
      <c r="S17" s="1064">
        <v>11.9</v>
      </c>
      <c r="T17" s="1064"/>
      <c r="U17" s="1064">
        <f t="shared" si="5"/>
        <v>0</v>
      </c>
      <c r="V17" s="1064">
        <f>U17*('Ввод исходных данных'!$D$83-S17)</f>
        <v>0</v>
      </c>
      <c r="W17" s="1065">
        <v>2.2999999999999998</v>
      </c>
      <c r="X17" s="1065"/>
      <c r="Y17" s="1065">
        <f t="shared" si="6"/>
        <v>30</v>
      </c>
      <c r="Z17" s="1065">
        <f>Y17*('Ввод исходных данных'!$D$83-W17)</f>
        <v>531</v>
      </c>
      <c r="AA17" s="1066">
        <v>-11.6</v>
      </c>
      <c r="AB17" s="1066"/>
      <c r="AC17" s="1066">
        <f t="shared" si="7"/>
        <v>30</v>
      </c>
      <c r="AD17" s="1066">
        <f>AC17*('Ввод исходных данных'!$D$83-AA17)</f>
        <v>948</v>
      </c>
      <c r="AE17" s="1067">
        <v>-23.2</v>
      </c>
      <c r="AF17" s="1067"/>
      <c r="AG17" s="1067">
        <v>31</v>
      </c>
      <c r="AH17" s="1067">
        <f>AG17*('Ввод исходных данных'!$D$83-AE17)</f>
        <v>1339.2</v>
      </c>
      <c r="AI17" s="1068">
        <v>-26</v>
      </c>
      <c r="AJ17" s="1068"/>
      <c r="AK17" s="1068">
        <v>31</v>
      </c>
      <c r="AL17" s="1068">
        <f>AK17*('Ввод исходных данных'!$D$83-AI17)</f>
        <v>1426</v>
      </c>
      <c r="AM17" s="1069">
        <v>-20.5</v>
      </c>
      <c r="AN17" s="1069"/>
      <c r="AO17" s="1069">
        <v>28</v>
      </c>
      <c r="AP17" s="1069">
        <f>AO17*('Ввод исходных данных'!$D$83-AM17)</f>
        <v>1134</v>
      </c>
      <c r="AQ17" s="1064">
        <v>-9.4</v>
      </c>
      <c r="AR17" s="1064"/>
      <c r="AS17" s="1064">
        <f t="shared" si="8"/>
        <v>31</v>
      </c>
      <c r="AT17" s="1064">
        <f>AS17*('Ввод исходных данных'!$D$83-AQ17)</f>
        <v>911.4</v>
      </c>
      <c r="AU17" s="1070">
        <v>3.9</v>
      </c>
      <c r="AV17" s="1070"/>
      <c r="AW17" s="1070">
        <f t="shared" si="9"/>
        <v>30</v>
      </c>
      <c r="AX17" s="1070">
        <f>AW17*('Ввод исходных данных'!$D$83-AU17)</f>
        <v>483.00000000000006</v>
      </c>
      <c r="AY17" s="1071">
        <v>12</v>
      </c>
      <c r="AZ17" s="1071"/>
      <c r="BA17" s="1071">
        <f t="shared" si="10"/>
        <v>0</v>
      </c>
      <c r="BB17" s="1071">
        <f>BA17*('Ввод исходных данных'!$D$83-AY17)</f>
        <v>0</v>
      </c>
      <c r="BC17" s="1072">
        <v>18.100000000000001</v>
      </c>
      <c r="BD17" s="1072"/>
      <c r="BE17" s="1072">
        <f t="shared" si="2"/>
        <v>0</v>
      </c>
      <c r="BF17" s="1073">
        <f>BE17*('Ввод исходных данных'!$D$83-BC17)</f>
        <v>0</v>
      </c>
    </row>
    <row r="18" spans="2:58" ht="15.75" customHeight="1" x14ac:dyDescent="0.25">
      <c r="B18" s="1074" t="s">
        <v>13</v>
      </c>
      <c r="C18" s="1076" t="s">
        <v>14</v>
      </c>
      <c r="D18" s="1053" t="str">
        <f t="shared" si="0"/>
        <v>Амурская областьБелогорск</v>
      </c>
      <c r="E18" s="1054">
        <v>223</v>
      </c>
      <c r="F18" s="1055">
        <v>-11.9</v>
      </c>
      <c r="G18" s="1055">
        <v>-37</v>
      </c>
      <c r="H18" s="1057">
        <v>2.7</v>
      </c>
      <c r="I18" s="1058">
        <f>E18*('Ввод исходных данных'!$D$83-F18)</f>
        <v>7113.7</v>
      </c>
      <c r="J18" s="1059" t="str">
        <f t="shared" si="1"/>
        <v>7000-8000</v>
      </c>
      <c r="K18" s="1060">
        <v>21.1</v>
      </c>
      <c r="L18" s="1060"/>
      <c r="M18" s="1061">
        <f t="shared" si="3"/>
        <v>0</v>
      </c>
      <c r="N18" s="1062">
        <f>M18*('Ввод исходных данных'!$D$83-K18)</f>
        <v>0</v>
      </c>
      <c r="O18" s="1063">
        <v>18.7</v>
      </c>
      <c r="P18" s="1063"/>
      <c r="Q18" s="1063">
        <f t="shared" si="4"/>
        <v>0</v>
      </c>
      <c r="R18" s="1063">
        <f>Q18*('Ввод исходных данных'!$D$83-O18)</f>
        <v>0</v>
      </c>
      <c r="S18" s="1064">
        <v>11.7</v>
      </c>
      <c r="T18" s="1064"/>
      <c r="U18" s="1064">
        <f t="shared" si="5"/>
        <v>5.5</v>
      </c>
      <c r="V18" s="1064">
        <f>U18*('Ввод исходных данных'!$D$83-S18)</f>
        <v>45.650000000000006</v>
      </c>
      <c r="W18" s="1065">
        <v>1.3</v>
      </c>
      <c r="X18" s="1065"/>
      <c r="Y18" s="1065">
        <f t="shared" si="6"/>
        <v>31</v>
      </c>
      <c r="Z18" s="1065">
        <f>Y18*('Ввод исходных данных'!$D$83-W18)</f>
        <v>579.69999999999993</v>
      </c>
      <c r="AA18" s="1066">
        <v>-13.5</v>
      </c>
      <c r="AB18" s="1066"/>
      <c r="AC18" s="1066">
        <f t="shared" si="7"/>
        <v>30</v>
      </c>
      <c r="AD18" s="1066">
        <f>AC18*('Ввод исходных данных'!$D$83-AA18)</f>
        <v>1005</v>
      </c>
      <c r="AE18" s="1067">
        <v>-24</v>
      </c>
      <c r="AF18" s="1067"/>
      <c r="AG18" s="1067">
        <v>31</v>
      </c>
      <c r="AH18" s="1067">
        <f>AG18*('Ввод исходных данных'!$D$83-AE18)</f>
        <v>1364</v>
      </c>
      <c r="AI18" s="1068">
        <v>-27.1</v>
      </c>
      <c r="AJ18" s="1068"/>
      <c r="AK18" s="1068">
        <v>31</v>
      </c>
      <c r="AL18" s="1068">
        <f>AK18*('Ввод исходных данных'!$D$83-AI18)</f>
        <v>1460.1000000000001</v>
      </c>
      <c r="AM18" s="1069">
        <v>-20.7</v>
      </c>
      <c r="AN18" s="1069"/>
      <c r="AO18" s="1069">
        <v>28</v>
      </c>
      <c r="AP18" s="1069">
        <f>AO18*('Ввод исходных данных'!$D$83-AM18)</f>
        <v>1139.6000000000001</v>
      </c>
      <c r="AQ18" s="1064">
        <v>-10.9</v>
      </c>
      <c r="AR18" s="1064"/>
      <c r="AS18" s="1064">
        <f t="shared" si="8"/>
        <v>31</v>
      </c>
      <c r="AT18" s="1064">
        <f>AS18*('Ввод исходных данных'!$D$83-AQ18)</f>
        <v>957.9</v>
      </c>
      <c r="AU18" s="1070">
        <v>1.8</v>
      </c>
      <c r="AV18" s="1070"/>
      <c r="AW18" s="1070">
        <f t="shared" si="9"/>
        <v>30</v>
      </c>
      <c r="AX18" s="1070">
        <f>AW18*('Ввод исходных данных'!$D$83-AU18)</f>
        <v>546</v>
      </c>
      <c r="AY18" s="1071">
        <v>10.3</v>
      </c>
      <c r="AZ18" s="1071"/>
      <c r="BA18" s="1071">
        <f t="shared" si="10"/>
        <v>5.5</v>
      </c>
      <c r="BB18" s="1071">
        <f>BA18*('Ввод исходных данных'!$D$83-AY18)</f>
        <v>53.349999999999994</v>
      </c>
      <c r="BC18" s="1072">
        <v>17.399999999999999</v>
      </c>
      <c r="BD18" s="1072"/>
      <c r="BE18" s="1072">
        <f t="shared" si="2"/>
        <v>0</v>
      </c>
      <c r="BF18" s="1073">
        <f>BE18*('Ввод исходных данных'!$D$83-BC18)</f>
        <v>0</v>
      </c>
    </row>
    <row r="19" spans="2:58" ht="15.75" customHeight="1" x14ac:dyDescent="0.25">
      <c r="B19" s="1051" t="s">
        <v>13</v>
      </c>
      <c r="C19" s="1052" t="s">
        <v>15</v>
      </c>
      <c r="D19" s="1053" t="str">
        <f t="shared" si="0"/>
        <v>Амурская областьБлаговещенск</v>
      </c>
      <c r="E19" s="1054">
        <v>210</v>
      </c>
      <c r="F19" s="1055">
        <v>-10.7</v>
      </c>
      <c r="G19" s="1055">
        <v>-33</v>
      </c>
      <c r="H19" s="1057">
        <v>2.6</v>
      </c>
      <c r="I19" s="1058">
        <f>E19*('Ввод исходных данных'!$D$83-F19)</f>
        <v>6447</v>
      </c>
      <c r="J19" s="1059" t="str">
        <f t="shared" si="1"/>
        <v>6000-7000</v>
      </c>
      <c r="K19" s="1060">
        <v>21.7</v>
      </c>
      <c r="L19" s="1060"/>
      <c r="M19" s="1061">
        <f t="shared" si="3"/>
        <v>0</v>
      </c>
      <c r="N19" s="1062">
        <f>M19*('Ввод исходных данных'!$D$83-K19)</f>
        <v>0</v>
      </c>
      <c r="O19" s="1063">
        <v>19.399999999999999</v>
      </c>
      <c r="P19" s="1063"/>
      <c r="Q19" s="1063">
        <f t="shared" si="4"/>
        <v>0</v>
      </c>
      <c r="R19" s="1063">
        <f>Q19*('Ввод исходных данных'!$D$83-O19)</f>
        <v>0</v>
      </c>
      <c r="S19" s="1064">
        <v>12.4</v>
      </c>
      <c r="T19" s="1064"/>
      <c r="U19" s="1064">
        <f t="shared" si="5"/>
        <v>0</v>
      </c>
      <c r="V19" s="1064">
        <f>U19*('Ввод исходных данных'!$D$83-S19)</f>
        <v>0</v>
      </c>
      <c r="W19" s="1065">
        <v>2.9</v>
      </c>
      <c r="X19" s="1065"/>
      <c r="Y19" s="1065">
        <f t="shared" si="6"/>
        <v>29.5</v>
      </c>
      <c r="Z19" s="1065">
        <f>Y19*('Ввод исходных данных'!$D$83-W19)</f>
        <v>504.45000000000005</v>
      </c>
      <c r="AA19" s="1066">
        <v>-10.4</v>
      </c>
      <c r="AB19" s="1066"/>
      <c r="AC19" s="1066">
        <f t="shared" si="7"/>
        <v>30</v>
      </c>
      <c r="AD19" s="1066">
        <f>AC19*('Ввод исходных данных'!$D$83-AA19)</f>
        <v>912</v>
      </c>
      <c r="AE19" s="1067">
        <v>-20.399999999999999</v>
      </c>
      <c r="AF19" s="1067"/>
      <c r="AG19" s="1067">
        <v>31</v>
      </c>
      <c r="AH19" s="1067">
        <f>AG19*('Ввод исходных данных'!$D$83-AE19)</f>
        <v>1252.3999999999999</v>
      </c>
      <c r="AI19" s="1068">
        <v>-22.3</v>
      </c>
      <c r="AJ19" s="1068"/>
      <c r="AK19" s="1068">
        <v>31</v>
      </c>
      <c r="AL19" s="1068">
        <f>AK19*('Ввод исходных данных'!$D$83-AI19)</f>
        <v>1311.3</v>
      </c>
      <c r="AM19" s="1069">
        <v>-17.2</v>
      </c>
      <c r="AN19" s="1069"/>
      <c r="AO19" s="1069">
        <v>28</v>
      </c>
      <c r="AP19" s="1069">
        <f>AO19*('Ввод исходных данных'!$D$83-AM19)</f>
        <v>1041.6000000000001</v>
      </c>
      <c r="AQ19" s="1064">
        <v>-7.2</v>
      </c>
      <c r="AR19" s="1064"/>
      <c r="AS19" s="1064">
        <f t="shared" si="8"/>
        <v>31</v>
      </c>
      <c r="AT19" s="1064">
        <f>AS19*('Ввод исходных данных'!$D$83-AQ19)</f>
        <v>843.19999999999993</v>
      </c>
      <c r="AU19" s="1070">
        <v>4.2</v>
      </c>
      <c r="AV19" s="1070"/>
      <c r="AW19" s="1070">
        <f t="shared" si="9"/>
        <v>29.5</v>
      </c>
      <c r="AX19" s="1070">
        <f>AW19*('Ввод исходных данных'!$D$83-AU19)</f>
        <v>466.1</v>
      </c>
      <c r="AY19" s="1071">
        <v>12.5</v>
      </c>
      <c r="AZ19" s="1071"/>
      <c r="BA19" s="1071">
        <f t="shared" si="10"/>
        <v>0</v>
      </c>
      <c r="BB19" s="1071">
        <f>BA19*('Ввод исходных данных'!$D$83-AY19)</f>
        <v>0</v>
      </c>
      <c r="BC19" s="1072">
        <v>19.100000000000001</v>
      </c>
      <c r="BD19" s="1072"/>
      <c r="BE19" s="1072">
        <f t="shared" si="2"/>
        <v>0</v>
      </c>
      <c r="BF19" s="1073">
        <f>BE19*('Ввод исходных данных'!$D$83-BC19)</f>
        <v>0</v>
      </c>
    </row>
    <row r="20" spans="2:58" ht="15.75" customHeight="1" x14ac:dyDescent="0.25">
      <c r="B20" s="1074" t="s">
        <v>13</v>
      </c>
      <c r="C20" s="1076" t="s">
        <v>16</v>
      </c>
      <c r="D20" s="1053" t="str">
        <f t="shared" si="0"/>
        <v>Амурская областьБомнак</v>
      </c>
      <c r="E20" s="1054">
        <v>240</v>
      </c>
      <c r="F20" s="1055">
        <v>-14.7</v>
      </c>
      <c r="G20" s="1055">
        <v>-40</v>
      </c>
      <c r="H20" s="1057">
        <v>2</v>
      </c>
      <c r="I20" s="1058">
        <f>E20*('Ввод исходных данных'!$D$83-F20)</f>
        <v>8328</v>
      </c>
      <c r="J20" s="1059" t="str">
        <f t="shared" si="1"/>
        <v>8000-9000</v>
      </c>
      <c r="K20" s="1060">
        <v>18.100000000000001</v>
      </c>
      <c r="L20" s="1060"/>
      <c r="M20" s="1061">
        <f t="shared" si="3"/>
        <v>0</v>
      </c>
      <c r="N20" s="1062">
        <f>M20*('Ввод исходных данных'!$D$83-K20)</f>
        <v>0</v>
      </c>
      <c r="O20" s="1063">
        <v>15.5</v>
      </c>
      <c r="P20" s="1063"/>
      <c r="Q20" s="1063">
        <f t="shared" si="4"/>
        <v>0</v>
      </c>
      <c r="R20" s="1063">
        <f>Q20*('Ввод исходных данных'!$D$83-O20)</f>
        <v>0</v>
      </c>
      <c r="S20" s="1064">
        <v>8.4</v>
      </c>
      <c r="T20" s="1064"/>
      <c r="U20" s="1064">
        <f t="shared" si="5"/>
        <v>14</v>
      </c>
      <c r="V20" s="1064">
        <f>U20*('Ввод исходных данных'!$D$83-S20)</f>
        <v>162.4</v>
      </c>
      <c r="W20" s="1065">
        <v>-2.5</v>
      </c>
      <c r="X20" s="1065"/>
      <c r="Y20" s="1065">
        <f t="shared" si="6"/>
        <v>31</v>
      </c>
      <c r="Z20" s="1065">
        <f>Y20*('Ввод исходных данных'!$D$83-W20)</f>
        <v>697.5</v>
      </c>
      <c r="AA20" s="1066">
        <v>-19.2</v>
      </c>
      <c r="AB20" s="1066"/>
      <c r="AC20" s="1066">
        <f t="shared" si="7"/>
        <v>30</v>
      </c>
      <c r="AD20" s="1066">
        <f>AC20*('Ввод исходных данных'!$D$83-AA20)</f>
        <v>1176</v>
      </c>
      <c r="AE20" s="1067">
        <v>-29.5</v>
      </c>
      <c r="AF20" s="1067"/>
      <c r="AG20" s="1067">
        <v>31</v>
      </c>
      <c r="AH20" s="1067">
        <f>AG20*('Ввод исходных данных'!$D$83-AE20)</f>
        <v>1534.5</v>
      </c>
      <c r="AI20" s="1068">
        <v>-30.2</v>
      </c>
      <c r="AJ20" s="1068"/>
      <c r="AK20" s="1068">
        <v>31</v>
      </c>
      <c r="AL20" s="1068">
        <f>AK20*('Ввод исходных данных'!$D$83-AI20)</f>
        <v>1556.2</v>
      </c>
      <c r="AM20" s="1069">
        <v>-23.8</v>
      </c>
      <c r="AN20" s="1069"/>
      <c r="AO20" s="1069">
        <v>28</v>
      </c>
      <c r="AP20" s="1069">
        <f>AO20*('Ввод исходных данных'!$D$83-AM20)</f>
        <v>1226.3999999999999</v>
      </c>
      <c r="AQ20" s="1064">
        <v>-12.4</v>
      </c>
      <c r="AR20" s="1064"/>
      <c r="AS20" s="1064">
        <f t="shared" si="8"/>
        <v>31</v>
      </c>
      <c r="AT20" s="1064">
        <f>AS20*('Ввод исходных данных'!$D$83-AQ20)</f>
        <v>1004.4</v>
      </c>
      <c r="AU20" s="1070">
        <v>-0.4</v>
      </c>
      <c r="AV20" s="1070"/>
      <c r="AW20" s="1070">
        <f t="shared" si="9"/>
        <v>30</v>
      </c>
      <c r="AX20" s="1070">
        <f>AW20*('Ввод исходных данных'!$D$83-AU20)</f>
        <v>612</v>
      </c>
      <c r="AY20" s="1071">
        <v>8.5</v>
      </c>
      <c r="AZ20" s="1071"/>
      <c r="BA20" s="1071">
        <f t="shared" si="10"/>
        <v>14</v>
      </c>
      <c r="BB20" s="1071">
        <f>BA20*('Ввод исходных данных'!$D$83-AY20)</f>
        <v>161</v>
      </c>
      <c r="BC20" s="1072">
        <v>15.5</v>
      </c>
      <c r="BD20" s="1072"/>
      <c r="BE20" s="1072">
        <f t="shared" si="2"/>
        <v>0</v>
      </c>
      <c r="BF20" s="1073">
        <f>BE20*('Ввод исходных данных'!$D$83-BC20)</f>
        <v>0</v>
      </c>
    </row>
    <row r="21" spans="2:58" ht="15.75" customHeight="1" x14ac:dyDescent="0.25">
      <c r="B21" s="1051" t="s">
        <v>13</v>
      </c>
      <c r="C21" s="1052" t="s">
        <v>17</v>
      </c>
      <c r="D21" s="1053" t="str">
        <f t="shared" si="0"/>
        <v>Амурская областьБратолюбовка</v>
      </c>
      <c r="E21" s="1054">
        <v>229</v>
      </c>
      <c r="F21" s="1055">
        <v>-12.4</v>
      </c>
      <c r="G21" s="1055">
        <v>-37</v>
      </c>
      <c r="H21" s="1057">
        <f>H20</f>
        <v>2</v>
      </c>
      <c r="I21" s="1058">
        <f>E21*('Ввод исходных данных'!$D$83-F21)</f>
        <v>7419.5999999999995</v>
      </c>
      <c r="J21" s="1059" t="str">
        <f t="shared" si="1"/>
        <v>7000-8000</v>
      </c>
      <c r="K21" s="1060">
        <v>19.899999999999999</v>
      </c>
      <c r="L21" s="1060"/>
      <c r="M21" s="1061">
        <f t="shared" si="3"/>
        <v>0</v>
      </c>
      <c r="N21" s="1062">
        <f>M21*('Ввод исходных данных'!$D$83-K21)</f>
        <v>0</v>
      </c>
      <c r="O21" s="1063">
        <v>17.600000000000001</v>
      </c>
      <c r="P21" s="1063"/>
      <c r="Q21" s="1063">
        <f t="shared" si="4"/>
        <v>0</v>
      </c>
      <c r="R21" s="1063">
        <f>Q21*('Ввод исходных данных'!$D$83-O21)</f>
        <v>0</v>
      </c>
      <c r="S21" s="1064">
        <v>10.8</v>
      </c>
      <c r="T21" s="1064"/>
      <c r="U21" s="1064">
        <f t="shared" si="5"/>
        <v>8.5</v>
      </c>
      <c r="V21" s="1064">
        <f>U21*('Ввод исходных данных'!$D$83-S21)</f>
        <v>78.199999999999989</v>
      </c>
      <c r="W21" s="1065">
        <v>0.5</v>
      </c>
      <c r="X21" s="1065"/>
      <c r="Y21" s="1065">
        <f t="shared" si="6"/>
        <v>31</v>
      </c>
      <c r="Z21" s="1065">
        <f>Y21*('Ввод исходных данных'!$D$83-W21)</f>
        <v>604.5</v>
      </c>
      <c r="AA21" s="1066">
        <v>-14.3</v>
      </c>
      <c r="AB21" s="1066"/>
      <c r="AC21" s="1066">
        <f t="shared" si="7"/>
        <v>30</v>
      </c>
      <c r="AD21" s="1066">
        <f>AC21*('Ввод исходных данных'!$D$83-AA21)</f>
        <v>1029</v>
      </c>
      <c r="AE21" s="1067">
        <v>-25.3</v>
      </c>
      <c r="AF21" s="1067"/>
      <c r="AG21" s="1067">
        <v>31</v>
      </c>
      <c r="AH21" s="1067">
        <f>AG21*('Ввод исходных данных'!$D$83-AE21)</f>
        <v>1404.3</v>
      </c>
      <c r="AI21" s="1068">
        <v>-28</v>
      </c>
      <c r="AJ21" s="1068"/>
      <c r="AK21" s="1068">
        <v>31</v>
      </c>
      <c r="AL21" s="1068">
        <f>AK21*('Ввод исходных данных'!$D$83-AI21)</f>
        <v>1488</v>
      </c>
      <c r="AM21" s="1069">
        <v>-21.8</v>
      </c>
      <c r="AN21" s="1069"/>
      <c r="AO21" s="1069">
        <v>28</v>
      </c>
      <c r="AP21" s="1069">
        <f>AO21*('Ввод исходных данных'!$D$83-AM21)</f>
        <v>1170.3999999999999</v>
      </c>
      <c r="AQ21" s="1064">
        <v>-12.1</v>
      </c>
      <c r="AR21" s="1064"/>
      <c r="AS21" s="1064">
        <f t="shared" si="8"/>
        <v>31</v>
      </c>
      <c r="AT21" s="1064">
        <f>AS21*('Ввод исходных данных'!$D$83-AQ21)</f>
        <v>995.1</v>
      </c>
      <c r="AU21" s="1070">
        <v>0.8</v>
      </c>
      <c r="AV21" s="1070"/>
      <c r="AW21" s="1070">
        <f t="shared" si="9"/>
        <v>30</v>
      </c>
      <c r="AX21" s="1070">
        <f>AW21*('Ввод исходных данных'!$D$83-AU21)</f>
        <v>576</v>
      </c>
      <c r="AY21" s="1071">
        <v>9.5</v>
      </c>
      <c r="AZ21" s="1071"/>
      <c r="BA21" s="1071">
        <f t="shared" si="10"/>
        <v>8.5</v>
      </c>
      <c r="BB21" s="1071">
        <f>BA21*('Ввод исходных данных'!$D$83-AY21)</f>
        <v>89.25</v>
      </c>
      <c r="BC21" s="1072">
        <v>16.3</v>
      </c>
      <c r="BD21" s="1072"/>
      <c r="BE21" s="1072">
        <f t="shared" si="2"/>
        <v>0</v>
      </c>
      <c r="BF21" s="1073">
        <f>BE21*('Ввод исходных данных'!$D$83-BC21)</f>
        <v>0</v>
      </c>
    </row>
    <row r="22" spans="2:58" ht="15.75" customHeight="1" x14ac:dyDescent="0.25">
      <c r="B22" s="1074" t="s">
        <v>13</v>
      </c>
      <c r="C22" s="1076" t="s">
        <v>18</v>
      </c>
      <c r="D22" s="1053" t="str">
        <f t="shared" si="0"/>
        <v>Амурская областьБысса</v>
      </c>
      <c r="E22" s="1054">
        <v>236</v>
      </c>
      <c r="F22" s="1055">
        <v>-13.6</v>
      </c>
      <c r="G22" s="1055">
        <v>-41</v>
      </c>
      <c r="H22" s="1057">
        <v>1.3</v>
      </c>
      <c r="I22" s="1058">
        <f>E22*('Ввод исходных данных'!$D$83-F22)</f>
        <v>7929.6</v>
      </c>
      <c r="J22" s="1059" t="str">
        <f t="shared" si="1"/>
        <v>7000-8000</v>
      </c>
      <c r="K22" s="1062">
        <v>18.7</v>
      </c>
      <c r="L22" s="1062"/>
      <c r="M22" s="1061">
        <f t="shared" si="3"/>
        <v>0</v>
      </c>
      <c r="N22" s="1062">
        <f>M22*('Ввод исходных данных'!$D$83-K22)</f>
        <v>0</v>
      </c>
      <c r="O22" s="1077">
        <v>16.2</v>
      </c>
      <c r="P22" s="1077"/>
      <c r="Q22" s="1063">
        <f t="shared" si="4"/>
        <v>0</v>
      </c>
      <c r="R22" s="1063">
        <f>Q22*('Ввод исходных данных'!$D$83-O22)</f>
        <v>0</v>
      </c>
      <c r="S22" s="1078">
        <v>9.1</v>
      </c>
      <c r="T22" s="1078"/>
      <c r="U22" s="1064">
        <f t="shared" si="5"/>
        <v>12</v>
      </c>
      <c r="V22" s="1064">
        <f>U22*('Ввод исходных данных'!$D$83-S22)</f>
        <v>130.80000000000001</v>
      </c>
      <c r="W22" s="1079">
        <v>-1</v>
      </c>
      <c r="X22" s="1079"/>
      <c r="Y22" s="1065">
        <f t="shared" si="6"/>
        <v>31</v>
      </c>
      <c r="Z22" s="1065">
        <f>Y22*('Ввод исходных данных'!$D$83-W22)</f>
        <v>651</v>
      </c>
      <c r="AA22" s="1080">
        <v>-16.8</v>
      </c>
      <c r="AB22" s="1080"/>
      <c r="AC22" s="1066">
        <f t="shared" si="7"/>
        <v>30</v>
      </c>
      <c r="AD22" s="1066">
        <f>AC22*('Ввод исходных данных'!$D$83-AA22)</f>
        <v>1104</v>
      </c>
      <c r="AE22" s="1081">
        <v>-28.1</v>
      </c>
      <c r="AF22" s="1081"/>
      <c r="AG22" s="1067">
        <v>31</v>
      </c>
      <c r="AH22" s="1067">
        <f>AG22*('Ввод исходных данных'!$D$83-AE22)</f>
        <v>1491.1000000000001</v>
      </c>
      <c r="AI22" s="1082">
        <v>-30.7</v>
      </c>
      <c r="AJ22" s="1082"/>
      <c r="AK22" s="1068">
        <v>31</v>
      </c>
      <c r="AL22" s="1068">
        <f>AK22*('Ввод исходных данных'!$D$83-AI22)</f>
        <v>1571.7</v>
      </c>
      <c r="AM22" s="1083">
        <v>-24.3</v>
      </c>
      <c r="AN22" s="1083"/>
      <c r="AO22" s="1069">
        <v>28</v>
      </c>
      <c r="AP22" s="1069">
        <f>AO22*('Ввод исходных данных'!$D$83-AM22)</f>
        <v>1240.3999999999999</v>
      </c>
      <c r="AQ22" s="1078">
        <v>-12.8</v>
      </c>
      <c r="AR22" s="1078"/>
      <c r="AS22" s="1064">
        <f t="shared" si="8"/>
        <v>31</v>
      </c>
      <c r="AT22" s="1064">
        <f>AS22*('Ввод исходных данных'!$D$83-AQ22)</f>
        <v>1016.8</v>
      </c>
      <c r="AU22" s="1084">
        <v>-0.4</v>
      </c>
      <c r="AV22" s="1084"/>
      <c r="AW22" s="1070">
        <f t="shared" si="9"/>
        <v>30</v>
      </c>
      <c r="AX22" s="1070">
        <f>AW22*('Ввод исходных данных'!$D$83-AU22)</f>
        <v>612</v>
      </c>
      <c r="AY22" s="1085">
        <v>8.8000000000000007</v>
      </c>
      <c r="AZ22" s="1085"/>
      <c r="BA22" s="1071">
        <f t="shared" si="10"/>
        <v>12</v>
      </c>
      <c r="BB22" s="1071">
        <f>BA22*('Ввод исходных данных'!$D$83-AY22)</f>
        <v>134.39999999999998</v>
      </c>
      <c r="BC22" s="1086">
        <v>15.2</v>
      </c>
      <c r="BD22" s="1086"/>
      <c r="BE22" s="1072">
        <f t="shared" si="2"/>
        <v>0</v>
      </c>
      <c r="BF22" s="1073">
        <f>BE22*('Ввод исходных данных'!$D$83-BC22)</f>
        <v>0</v>
      </c>
    </row>
    <row r="23" spans="2:58" ht="15.75" customHeight="1" x14ac:dyDescent="0.25">
      <c r="B23" s="1051" t="s">
        <v>13</v>
      </c>
      <c r="C23" s="1052" t="s">
        <v>23</v>
      </c>
      <c r="D23" s="1053" t="str">
        <f t="shared" si="0"/>
        <v>Амурская областьГош</v>
      </c>
      <c r="E23" s="1054">
        <v>233</v>
      </c>
      <c r="F23" s="1055">
        <v>-14</v>
      </c>
      <c r="G23" s="1055">
        <v>-42</v>
      </c>
      <c r="H23" s="1057">
        <v>1.5</v>
      </c>
      <c r="I23" s="1058">
        <f>E23*('Ввод исходных данных'!$D$83-F23)</f>
        <v>7922</v>
      </c>
      <c r="J23" s="1059" t="str">
        <f t="shared" si="1"/>
        <v>7000-8000</v>
      </c>
      <c r="K23" s="1060">
        <v>19.3</v>
      </c>
      <c r="L23" s="1060"/>
      <c r="M23" s="1061">
        <f t="shared" si="3"/>
        <v>0</v>
      </c>
      <c r="N23" s="1062">
        <f>M23*('Ввод исходных данных'!$D$83-K23)</f>
        <v>0</v>
      </c>
      <c r="O23" s="1063">
        <v>16.899999999999999</v>
      </c>
      <c r="P23" s="1063"/>
      <c r="Q23" s="1063">
        <f t="shared" si="4"/>
        <v>0</v>
      </c>
      <c r="R23" s="1063">
        <f>Q23*('Ввод исходных данных'!$D$83-O23)</f>
        <v>0</v>
      </c>
      <c r="S23" s="1064">
        <v>9.9</v>
      </c>
      <c r="T23" s="1064"/>
      <c r="U23" s="1064">
        <f t="shared" si="5"/>
        <v>10.5</v>
      </c>
      <c r="V23" s="1064">
        <f>U23*('Ввод исходных данных'!$D$83-S23)</f>
        <v>106.05</v>
      </c>
      <c r="W23" s="1065">
        <v>-0.6</v>
      </c>
      <c r="X23" s="1065"/>
      <c r="Y23" s="1065">
        <f t="shared" si="6"/>
        <v>31</v>
      </c>
      <c r="Z23" s="1065">
        <f>Y23*('Ввод исходных данных'!$D$83-W23)</f>
        <v>638.6</v>
      </c>
      <c r="AA23" s="1066">
        <v>-16.3</v>
      </c>
      <c r="AB23" s="1066"/>
      <c r="AC23" s="1066">
        <f t="shared" si="7"/>
        <v>30</v>
      </c>
      <c r="AD23" s="1066">
        <f>AC23*('Ввод исходных данных'!$D$83-AA23)</f>
        <v>1089</v>
      </c>
      <c r="AE23" s="1067">
        <v>-28.2</v>
      </c>
      <c r="AF23" s="1067"/>
      <c r="AG23" s="1067">
        <v>31</v>
      </c>
      <c r="AH23" s="1067">
        <f>AG23*('Ввод исходных данных'!$D$83-AE23)</f>
        <v>1494.2</v>
      </c>
      <c r="AI23" s="1068">
        <v>-31.2</v>
      </c>
      <c r="AJ23" s="1068"/>
      <c r="AK23" s="1068">
        <v>31</v>
      </c>
      <c r="AL23" s="1068">
        <f>AK23*('Ввод исходных данных'!$D$83-AI23)</f>
        <v>1587.2</v>
      </c>
      <c r="AM23" s="1069">
        <v>-24.6</v>
      </c>
      <c r="AN23" s="1069"/>
      <c r="AO23" s="1069">
        <v>28</v>
      </c>
      <c r="AP23" s="1069">
        <f>AO23*('Ввод исходных данных'!$D$83-AM23)</f>
        <v>1248.8</v>
      </c>
      <c r="AQ23" s="1064">
        <v>-14</v>
      </c>
      <c r="AR23" s="1064"/>
      <c r="AS23" s="1064">
        <f t="shared" si="8"/>
        <v>31</v>
      </c>
      <c r="AT23" s="1064">
        <f>AS23*('Ввод исходных данных'!$D$83-AQ23)</f>
        <v>1054</v>
      </c>
      <c r="AU23" s="1070">
        <v>0.3</v>
      </c>
      <c r="AV23" s="1070"/>
      <c r="AW23" s="1070">
        <f t="shared" si="9"/>
        <v>30</v>
      </c>
      <c r="AX23" s="1070">
        <f>AW23*('Ввод исходных данных'!$D$83-AU23)</f>
        <v>591</v>
      </c>
      <c r="AY23" s="1071">
        <v>9.1</v>
      </c>
      <c r="AZ23" s="1071"/>
      <c r="BA23" s="1071">
        <f t="shared" si="10"/>
        <v>10.5</v>
      </c>
      <c r="BB23" s="1071">
        <f>BA23*('Ввод исходных данных'!$D$83-AY23)</f>
        <v>114.45</v>
      </c>
      <c r="BC23" s="1072">
        <v>15.9</v>
      </c>
      <c r="BD23" s="1072"/>
      <c r="BE23" s="1072">
        <f t="shared" si="2"/>
        <v>0</v>
      </c>
      <c r="BF23" s="1073">
        <f>BE23*('Ввод исходных данных'!$D$83-BC23)</f>
        <v>0</v>
      </c>
    </row>
    <row r="24" spans="2:58" ht="15.75" customHeight="1" x14ac:dyDescent="0.25">
      <c r="B24" s="1074" t="s">
        <v>13</v>
      </c>
      <c r="C24" s="1076" t="s">
        <v>20</v>
      </c>
      <c r="D24" s="1053" t="str">
        <f t="shared" si="0"/>
        <v>Амурская областьДамбуки</v>
      </c>
      <c r="E24" s="1054">
        <v>244</v>
      </c>
      <c r="F24" s="1055">
        <v>-14.3</v>
      </c>
      <c r="G24" s="1055">
        <v>-43</v>
      </c>
      <c r="H24" s="1057">
        <v>5.2</v>
      </c>
      <c r="I24" s="1058">
        <f>E24*('Ввод исходных данных'!$D$83-F24)</f>
        <v>8369.1999999999989</v>
      </c>
      <c r="J24" s="1059" t="str">
        <f t="shared" si="1"/>
        <v>8000-9000</v>
      </c>
      <c r="K24" s="1060">
        <v>17.899999999999999</v>
      </c>
      <c r="L24" s="1060"/>
      <c r="M24" s="1061">
        <f t="shared" si="3"/>
        <v>0</v>
      </c>
      <c r="N24" s="1062">
        <f>M24*('Ввод исходных данных'!$D$83-K24)</f>
        <v>0</v>
      </c>
      <c r="O24" s="1063">
        <v>15.3</v>
      </c>
      <c r="P24" s="1063"/>
      <c r="Q24" s="1063">
        <f t="shared" si="4"/>
        <v>0</v>
      </c>
      <c r="R24" s="1063">
        <f>Q24*('Ввод исходных данных'!$D$83-O24)</f>
        <v>0</v>
      </c>
      <c r="S24" s="1064">
        <v>8.1999999999999993</v>
      </c>
      <c r="T24" s="1064"/>
      <c r="U24" s="1064">
        <f t="shared" si="5"/>
        <v>16</v>
      </c>
      <c r="V24" s="1064">
        <f>U24*('Ввод исходных данных'!$D$83-S24)</f>
        <v>188.8</v>
      </c>
      <c r="W24" s="1065">
        <v>-3.3</v>
      </c>
      <c r="X24" s="1065"/>
      <c r="Y24" s="1065">
        <f t="shared" si="6"/>
        <v>31</v>
      </c>
      <c r="Z24" s="1065">
        <f>Y24*('Ввод исходных данных'!$D$83-W24)</f>
        <v>722.30000000000007</v>
      </c>
      <c r="AA24" s="1066">
        <v>-18.8</v>
      </c>
      <c r="AB24" s="1066"/>
      <c r="AC24" s="1066">
        <f t="shared" si="7"/>
        <v>30</v>
      </c>
      <c r="AD24" s="1066">
        <f>AC24*('Ввод исходных данных'!$D$83-AA24)</f>
        <v>1164</v>
      </c>
      <c r="AE24" s="1067">
        <v>-28.9</v>
      </c>
      <c r="AF24" s="1067"/>
      <c r="AG24" s="1067">
        <v>31</v>
      </c>
      <c r="AH24" s="1067">
        <f>AG24*('Ввод исходных данных'!$D$83-AE24)</f>
        <v>1515.8999999999999</v>
      </c>
      <c r="AI24" s="1068">
        <v>-31.1</v>
      </c>
      <c r="AJ24" s="1068"/>
      <c r="AK24" s="1068">
        <v>31</v>
      </c>
      <c r="AL24" s="1068">
        <f>AK24*('Ввод исходных данных'!$D$83-AI24)</f>
        <v>1584.1000000000001</v>
      </c>
      <c r="AM24" s="1069">
        <v>-24.9</v>
      </c>
      <c r="AN24" s="1069"/>
      <c r="AO24" s="1069">
        <v>28</v>
      </c>
      <c r="AP24" s="1069">
        <f>AO24*('Ввод исходных данных'!$D$83-AM24)</f>
        <v>1257.2</v>
      </c>
      <c r="AQ24" s="1064">
        <v>-15.1</v>
      </c>
      <c r="AR24" s="1064"/>
      <c r="AS24" s="1064">
        <f t="shared" si="8"/>
        <v>31</v>
      </c>
      <c r="AT24" s="1064">
        <f>AS24*('Ввод исходных данных'!$D$83-AQ24)</f>
        <v>1088.1000000000001</v>
      </c>
      <c r="AU24" s="1070">
        <v>-1.9</v>
      </c>
      <c r="AV24" s="1070"/>
      <c r="AW24" s="1070">
        <f t="shared" si="9"/>
        <v>30</v>
      </c>
      <c r="AX24" s="1070">
        <f>AW24*('Ввод исходных данных'!$D$83-AU24)</f>
        <v>657</v>
      </c>
      <c r="AY24" s="1071">
        <v>7.5</v>
      </c>
      <c r="AZ24" s="1071"/>
      <c r="BA24" s="1071">
        <f t="shared" si="10"/>
        <v>16</v>
      </c>
      <c r="BB24" s="1071">
        <f>BA24*('Ввод исходных данных'!$D$83-AY24)</f>
        <v>200</v>
      </c>
      <c r="BC24" s="1072">
        <v>14.4</v>
      </c>
      <c r="BD24" s="1072"/>
      <c r="BE24" s="1072">
        <f t="shared" si="2"/>
        <v>0</v>
      </c>
      <c r="BF24" s="1073">
        <f>BE24*('Ввод исходных данных'!$D$83-BC24)</f>
        <v>0</v>
      </c>
    </row>
    <row r="25" spans="2:58" ht="15.75" customHeight="1" x14ac:dyDescent="0.25">
      <c r="B25" s="1051" t="s">
        <v>13</v>
      </c>
      <c r="C25" s="1052" t="s">
        <v>22</v>
      </c>
      <c r="D25" s="1053" t="str">
        <f t="shared" si="0"/>
        <v>Амурская областьЕрофей Павлович</v>
      </c>
      <c r="E25" s="1054">
        <v>245</v>
      </c>
      <c r="F25" s="1055">
        <v>-12.7</v>
      </c>
      <c r="G25" s="1055">
        <v>-38</v>
      </c>
      <c r="H25" s="1057">
        <f>H24</f>
        <v>5.2</v>
      </c>
      <c r="I25" s="1058">
        <f>E25*('Ввод исходных данных'!$D$83-F25)</f>
        <v>8011.5000000000009</v>
      </c>
      <c r="J25" s="1059" t="str">
        <f t="shared" si="1"/>
        <v>8000-9000</v>
      </c>
      <c r="K25" s="1060">
        <v>18.3</v>
      </c>
      <c r="L25" s="1060"/>
      <c r="M25" s="1061">
        <f t="shared" si="3"/>
        <v>0</v>
      </c>
      <c r="N25" s="1062">
        <f>M25*('Ввод исходных данных'!$D$83-K25)</f>
        <v>0</v>
      </c>
      <c r="O25" s="1063">
        <v>15</v>
      </c>
      <c r="P25" s="1063"/>
      <c r="Q25" s="1063">
        <f t="shared" si="4"/>
        <v>0</v>
      </c>
      <c r="R25" s="1063">
        <f>Q25*('Ввод исходных данных'!$D$83-O25)</f>
        <v>0</v>
      </c>
      <c r="S25" s="1064">
        <v>7.9</v>
      </c>
      <c r="T25" s="1064"/>
      <c r="U25" s="1064">
        <f t="shared" si="5"/>
        <v>16.5</v>
      </c>
      <c r="V25" s="1064">
        <f>U25*('Ввод исходных данных'!$D$83-S25)</f>
        <v>199.65</v>
      </c>
      <c r="W25" s="1065">
        <v>-3.4</v>
      </c>
      <c r="X25" s="1065"/>
      <c r="Y25" s="1065">
        <f t="shared" si="6"/>
        <v>31</v>
      </c>
      <c r="Z25" s="1065">
        <f>Y25*('Ввод исходных данных'!$D$83-W25)</f>
        <v>725.4</v>
      </c>
      <c r="AA25" s="1066">
        <v>-17.600000000000001</v>
      </c>
      <c r="AB25" s="1066"/>
      <c r="AC25" s="1066">
        <f t="shared" si="7"/>
        <v>30</v>
      </c>
      <c r="AD25" s="1066">
        <f>AC25*('Ввод исходных данных'!$D$83-AA25)</f>
        <v>1128</v>
      </c>
      <c r="AE25" s="1067">
        <v>-26.3</v>
      </c>
      <c r="AF25" s="1067"/>
      <c r="AG25" s="1067">
        <v>31</v>
      </c>
      <c r="AH25" s="1067">
        <f>AG25*('Ввод исходных данных'!$D$83-AE25)</f>
        <v>1435.3</v>
      </c>
      <c r="AI25" s="1068">
        <v>-27.6</v>
      </c>
      <c r="AJ25" s="1068"/>
      <c r="AK25" s="1068">
        <v>31</v>
      </c>
      <c r="AL25" s="1068">
        <f>AK25*('Ввод исходных данных'!$D$83-AI25)</f>
        <v>1475.6000000000001</v>
      </c>
      <c r="AM25" s="1069">
        <v>-22</v>
      </c>
      <c r="AN25" s="1069"/>
      <c r="AO25" s="1069">
        <v>28</v>
      </c>
      <c r="AP25" s="1069">
        <f>AO25*('Ввод исходных данных'!$D$83-AM25)</f>
        <v>1176</v>
      </c>
      <c r="AQ25" s="1064">
        <v>-13</v>
      </c>
      <c r="AR25" s="1064"/>
      <c r="AS25" s="1064">
        <f t="shared" si="8"/>
        <v>31</v>
      </c>
      <c r="AT25" s="1064">
        <f>AS25*('Ввод исходных данных'!$D$83-AQ25)</f>
        <v>1023</v>
      </c>
      <c r="AU25" s="1070">
        <v>-1.2</v>
      </c>
      <c r="AV25" s="1070"/>
      <c r="AW25" s="1070">
        <f t="shared" si="9"/>
        <v>30</v>
      </c>
      <c r="AX25" s="1070">
        <f>AW25*('Ввод исходных данных'!$D$83-AU25)</f>
        <v>636</v>
      </c>
      <c r="AY25" s="1071">
        <v>7.5</v>
      </c>
      <c r="AZ25" s="1071"/>
      <c r="BA25" s="1071">
        <f t="shared" si="10"/>
        <v>16.5</v>
      </c>
      <c r="BB25" s="1071">
        <f>BA25*('Ввод исходных данных'!$D$83-AY25)</f>
        <v>206.25</v>
      </c>
      <c r="BC25" s="1072">
        <v>15</v>
      </c>
      <c r="BD25" s="1072"/>
      <c r="BE25" s="1072">
        <f t="shared" si="2"/>
        <v>0</v>
      </c>
      <c r="BF25" s="1073">
        <f>BE25*('Ввод исходных данных'!$D$83-BC25)</f>
        <v>0</v>
      </c>
    </row>
    <row r="26" spans="2:58" ht="15.75" customHeight="1" x14ac:dyDescent="0.25">
      <c r="B26" s="1074" t="s">
        <v>13</v>
      </c>
      <c r="C26" s="1076" t="s">
        <v>34</v>
      </c>
      <c r="D26" s="1053" t="str">
        <f t="shared" si="0"/>
        <v>Амурская областьЗавитинск</v>
      </c>
      <c r="E26" s="1054">
        <v>226</v>
      </c>
      <c r="F26" s="1055">
        <v>-11.8</v>
      </c>
      <c r="G26" s="1055">
        <v>-36</v>
      </c>
      <c r="H26" s="1057">
        <v>3.3</v>
      </c>
      <c r="I26" s="1058">
        <f>E26*('Ввод исходных данных'!$D$83-F26)</f>
        <v>7186.8</v>
      </c>
      <c r="J26" s="1059" t="str">
        <f t="shared" si="1"/>
        <v>7000-8000</v>
      </c>
      <c r="K26" s="1060">
        <v>20.3</v>
      </c>
      <c r="L26" s="1060"/>
      <c r="M26" s="1061">
        <f t="shared" si="3"/>
        <v>0</v>
      </c>
      <c r="N26" s="1062">
        <f>M26*('Ввод исходных данных'!$D$83-K26)</f>
        <v>0</v>
      </c>
      <c r="O26" s="1063">
        <v>18.100000000000001</v>
      </c>
      <c r="P26" s="1063"/>
      <c r="Q26" s="1063">
        <f t="shared" si="4"/>
        <v>0</v>
      </c>
      <c r="R26" s="1063">
        <f>Q26*('Ввод исходных данных'!$D$83-O26)</f>
        <v>0</v>
      </c>
      <c r="S26" s="1064">
        <v>11.3</v>
      </c>
      <c r="T26" s="1064"/>
      <c r="U26" s="1064">
        <f t="shared" si="5"/>
        <v>7</v>
      </c>
      <c r="V26" s="1064">
        <f>U26*('Ввод исходных данных'!$D$83-S26)</f>
        <v>60.899999999999991</v>
      </c>
      <c r="W26" s="1065">
        <v>1.1000000000000001</v>
      </c>
      <c r="X26" s="1065"/>
      <c r="Y26" s="1065">
        <f t="shared" si="6"/>
        <v>31</v>
      </c>
      <c r="Z26" s="1065">
        <f>Y26*('Ввод исходных данных'!$D$83-W26)</f>
        <v>585.9</v>
      </c>
      <c r="AA26" s="1066">
        <v>-13.4</v>
      </c>
      <c r="AB26" s="1066"/>
      <c r="AC26" s="1066">
        <f t="shared" si="7"/>
        <v>30</v>
      </c>
      <c r="AD26" s="1066">
        <f>AC26*('Ввод исходных данных'!$D$83-AA26)</f>
        <v>1002</v>
      </c>
      <c r="AE26" s="1067">
        <v>-24</v>
      </c>
      <c r="AF26" s="1067"/>
      <c r="AG26" s="1067">
        <v>31</v>
      </c>
      <c r="AH26" s="1067">
        <f>AG26*('Ввод исходных данных'!$D$83-AE26)</f>
        <v>1364</v>
      </c>
      <c r="AI26" s="1068">
        <v>-26.9</v>
      </c>
      <c r="AJ26" s="1068"/>
      <c r="AK26" s="1068">
        <v>31</v>
      </c>
      <c r="AL26" s="1068">
        <f>AK26*('Ввод исходных данных'!$D$83-AI26)</f>
        <v>1453.8999999999999</v>
      </c>
      <c r="AM26" s="1069">
        <v>-20.9</v>
      </c>
      <c r="AN26" s="1069"/>
      <c r="AO26" s="1069">
        <v>28</v>
      </c>
      <c r="AP26" s="1069">
        <f>AO26*('Ввод исходных данных'!$D$83-AM26)</f>
        <v>1145.2</v>
      </c>
      <c r="AQ26" s="1064">
        <v>-11.6</v>
      </c>
      <c r="AR26" s="1064"/>
      <c r="AS26" s="1064">
        <f t="shared" si="8"/>
        <v>31</v>
      </c>
      <c r="AT26" s="1064">
        <f>AS26*('Ввод исходных данных'!$D$83-AQ26)</f>
        <v>979.6</v>
      </c>
      <c r="AU26" s="1070">
        <v>1.3</v>
      </c>
      <c r="AV26" s="1070"/>
      <c r="AW26" s="1070">
        <f t="shared" si="9"/>
        <v>30</v>
      </c>
      <c r="AX26" s="1070">
        <f>AW26*('Ввод исходных данных'!$D$83-AU26)</f>
        <v>561</v>
      </c>
      <c r="AY26" s="1071">
        <v>9.6999999999999993</v>
      </c>
      <c r="AZ26" s="1071"/>
      <c r="BA26" s="1071">
        <f t="shared" si="10"/>
        <v>7</v>
      </c>
      <c r="BB26" s="1071">
        <f>BA26*('Ввод исходных данных'!$D$83-AY26)</f>
        <v>72.100000000000009</v>
      </c>
      <c r="BC26" s="1072">
        <v>16.7</v>
      </c>
      <c r="BD26" s="1072"/>
      <c r="BE26" s="1072">
        <f t="shared" si="2"/>
        <v>0</v>
      </c>
      <c r="BF26" s="1073">
        <f>BE26*('Ввод исходных данных'!$D$83-BC26)</f>
        <v>0</v>
      </c>
    </row>
    <row r="27" spans="2:58" ht="15.75" customHeight="1" x14ac:dyDescent="0.25">
      <c r="B27" s="1051" t="s">
        <v>13</v>
      </c>
      <c r="C27" s="1052" t="s">
        <v>35</v>
      </c>
      <c r="D27" s="1053" t="str">
        <f t="shared" si="0"/>
        <v>Амурская областьЗея</v>
      </c>
      <c r="E27" s="1054">
        <v>238</v>
      </c>
      <c r="F27" s="1055">
        <v>-13.8</v>
      </c>
      <c r="G27" s="1055">
        <v>-42</v>
      </c>
      <c r="H27" s="1057">
        <v>3.5</v>
      </c>
      <c r="I27" s="1058">
        <f>E27*('Ввод исходных данных'!$D$83-F27)</f>
        <v>8044.4</v>
      </c>
      <c r="J27" s="1059" t="str">
        <f t="shared" si="1"/>
        <v>8000-9000</v>
      </c>
      <c r="K27" s="1060">
        <v>18.600000000000001</v>
      </c>
      <c r="L27" s="1060"/>
      <c r="M27" s="1061">
        <f t="shared" si="3"/>
        <v>0</v>
      </c>
      <c r="N27" s="1062">
        <f>M27*('Ввод исходных данных'!$D$83-K27)</f>
        <v>0</v>
      </c>
      <c r="O27" s="1063">
        <v>15.7</v>
      </c>
      <c r="P27" s="1063"/>
      <c r="Q27" s="1063">
        <f t="shared" si="4"/>
        <v>0</v>
      </c>
      <c r="R27" s="1063">
        <f>Q27*('Ввод исходных данных'!$D$83-O27)</f>
        <v>0</v>
      </c>
      <c r="S27" s="1064">
        <v>9</v>
      </c>
      <c r="T27" s="1064"/>
      <c r="U27" s="1064">
        <f t="shared" si="5"/>
        <v>13</v>
      </c>
      <c r="V27" s="1064">
        <f>U27*('Ввод исходных данных'!$D$83-S27)</f>
        <v>143</v>
      </c>
      <c r="W27" s="1065">
        <v>-2.4</v>
      </c>
      <c r="X27" s="1065"/>
      <c r="Y27" s="1065">
        <f t="shared" si="6"/>
        <v>31</v>
      </c>
      <c r="Z27" s="1065">
        <f>Y27*('Ввод исходных данных'!$D$83-W27)</f>
        <v>694.4</v>
      </c>
      <c r="AA27" s="1066">
        <v>-17.8</v>
      </c>
      <c r="AB27" s="1066"/>
      <c r="AC27" s="1066">
        <f t="shared" si="7"/>
        <v>30</v>
      </c>
      <c r="AD27" s="1066">
        <f>AC27*('Ввод исходных данных'!$D$83-AA27)</f>
        <v>1134</v>
      </c>
      <c r="AE27" s="1067">
        <v>-28</v>
      </c>
      <c r="AF27" s="1067"/>
      <c r="AG27" s="1067">
        <v>31</v>
      </c>
      <c r="AH27" s="1067">
        <f>AG27*('Ввод исходных данных'!$D$83-AE27)</f>
        <v>1488</v>
      </c>
      <c r="AI27" s="1068">
        <v>-30.1</v>
      </c>
      <c r="AJ27" s="1068"/>
      <c r="AK27" s="1068">
        <v>31</v>
      </c>
      <c r="AL27" s="1068">
        <f>AK27*('Ввод исходных данных'!$D$83-AI27)</f>
        <v>1553.1000000000001</v>
      </c>
      <c r="AM27" s="1069">
        <v>-23.8</v>
      </c>
      <c r="AN27" s="1069"/>
      <c r="AO27" s="1069">
        <v>28</v>
      </c>
      <c r="AP27" s="1069">
        <f>AO27*('Ввод исходных данных'!$D$83-AM27)</f>
        <v>1226.3999999999999</v>
      </c>
      <c r="AQ27" s="1064">
        <v>-13.6</v>
      </c>
      <c r="AR27" s="1064"/>
      <c r="AS27" s="1064">
        <f t="shared" si="8"/>
        <v>31</v>
      </c>
      <c r="AT27" s="1064">
        <f>AS27*('Ввод исходных данных'!$D$83-AQ27)</f>
        <v>1041.6000000000001</v>
      </c>
      <c r="AU27" s="1070">
        <v>-0.6</v>
      </c>
      <c r="AV27" s="1070"/>
      <c r="AW27" s="1070">
        <f t="shared" si="9"/>
        <v>30</v>
      </c>
      <c r="AX27" s="1070">
        <f>AW27*('Ввод исходных данных'!$D$83-AU27)</f>
        <v>618</v>
      </c>
      <c r="AY27" s="1071">
        <v>8.4</v>
      </c>
      <c r="AZ27" s="1071"/>
      <c r="BA27" s="1071">
        <f t="shared" si="10"/>
        <v>13</v>
      </c>
      <c r="BB27" s="1071">
        <f>BA27*('Ввод исходных данных'!$D$83-AY27)</f>
        <v>150.79999999999998</v>
      </c>
      <c r="BC27" s="1072">
        <v>15.3</v>
      </c>
      <c r="BD27" s="1072"/>
      <c r="BE27" s="1072">
        <f t="shared" si="2"/>
        <v>0</v>
      </c>
      <c r="BF27" s="1073">
        <f>BE27*('Ввод исходных данных'!$D$83-BC27)</f>
        <v>0</v>
      </c>
    </row>
    <row r="28" spans="2:58" ht="15.75" customHeight="1" x14ac:dyDescent="0.25">
      <c r="B28" s="1074" t="s">
        <v>13</v>
      </c>
      <c r="C28" s="1076" t="s">
        <v>634</v>
      </c>
      <c r="D28" s="1053" t="str">
        <f t="shared" si="0"/>
        <v>Амурская областьНорский Склад</v>
      </c>
      <c r="E28" s="1054">
        <v>232</v>
      </c>
      <c r="F28" s="1055">
        <v>-14.3</v>
      </c>
      <c r="G28" s="1055">
        <v>-43</v>
      </c>
      <c r="H28" s="1057">
        <v>2.1</v>
      </c>
      <c r="I28" s="1058">
        <f>E28*('Ввод исходных данных'!$D$83-F28)</f>
        <v>7957.5999999999995</v>
      </c>
      <c r="J28" s="1059" t="str">
        <f t="shared" si="1"/>
        <v>7000-8000</v>
      </c>
      <c r="K28" s="1060">
        <v>19.3</v>
      </c>
      <c r="L28" s="1060"/>
      <c r="M28" s="1061">
        <f t="shared" si="3"/>
        <v>0</v>
      </c>
      <c r="N28" s="1062">
        <f>M28*('Ввод исходных данных'!$D$83-K28)</f>
        <v>0</v>
      </c>
      <c r="O28" s="1063">
        <v>17</v>
      </c>
      <c r="P28" s="1063"/>
      <c r="Q28" s="1063">
        <f t="shared" si="4"/>
        <v>0</v>
      </c>
      <c r="R28" s="1063">
        <f>Q28*('Ввод исходных данных'!$D$83-O28)</f>
        <v>0</v>
      </c>
      <c r="S28" s="1064">
        <v>9.9</v>
      </c>
      <c r="T28" s="1064"/>
      <c r="U28" s="1064">
        <f t="shared" si="5"/>
        <v>10</v>
      </c>
      <c r="V28" s="1064">
        <f>U28*('Ввод исходных данных'!$D$83-S28)</f>
        <v>101</v>
      </c>
      <c r="W28" s="1065">
        <v>-0.3</v>
      </c>
      <c r="X28" s="1065"/>
      <c r="Y28" s="1065">
        <f t="shared" si="6"/>
        <v>31</v>
      </c>
      <c r="Z28" s="1065">
        <f>Y28*('Ввод исходных данных'!$D$83-W28)</f>
        <v>629.30000000000007</v>
      </c>
      <c r="AA28" s="1066">
        <v>-16.8</v>
      </c>
      <c r="AB28" s="1066"/>
      <c r="AC28" s="1066">
        <f t="shared" si="7"/>
        <v>30</v>
      </c>
      <c r="AD28" s="1066">
        <f>AC28*('Ввод исходных данных'!$D$83-AA28)</f>
        <v>1104</v>
      </c>
      <c r="AE28" s="1067">
        <v>-29</v>
      </c>
      <c r="AF28" s="1067"/>
      <c r="AG28" s="1067">
        <v>31</v>
      </c>
      <c r="AH28" s="1067">
        <f>AG28*('Ввод исходных данных'!$D$83-AE28)</f>
        <v>1519</v>
      </c>
      <c r="AI28" s="1068">
        <v>-31.8</v>
      </c>
      <c r="AJ28" s="1068"/>
      <c r="AK28" s="1068">
        <v>31</v>
      </c>
      <c r="AL28" s="1068">
        <f>AK28*('Ввод исходных данных'!$D$83-AI28)</f>
        <v>1605.8</v>
      </c>
      <c r="AM28" s="1069">
        <v>-25.1</v>
      </c>
      <c r="AN28" s="1069"/>
      <c r="AO28" s="1069">
        <v>28</v>
      </c>
      <c r="AP28" s="1069">
        <f>AO28*('Ввод исходных данных'!$D$83-AM28)</f>
        <v>1262.8</v>
      </c>
      <c r="AQ28" s="1064">
        <v>-13.3</v>
      </c>
      <c r="AR28" s="1064"/>
      <c r="AS28" s="1064">
        <f t="shared" si="8"/>
        <v>31</v>
      </c>
      <c r="AT28" s="1064">
        <f>AS28*('Ввод исходных данных'!$D$83-AQ28)</f>
        <v>1032.3</v>
      </c>
      <c r="AU28" s="1070">
        <v>0.2</v>
      </c>
      <c r="AV28" s="1070"/>
      <c r="AW28" s="1070">
        <f t="shared" si="9"/>
        <v>30</v>
      </c>
      <c r="AX28" s="1070">
        <f>AW28*('Ввод исходных данных'!$D$83-AU28)</f>
        <v>594</v>
      </c>
      <c r="AY28" s="1071">
        <v>9.4</v>
      </c>
      <c r="AZ28" s="1071"/>
      <c r="BA28" s="1071">
        <f t="shared" si="10"/>
        <v>10</v>
      </c>
      <c r="BB28" s="1071">
        <f>BA28*('Ввод исходных данных'!$D$83-AY28)</f>
        <v>106</v>
      </c>
      <c r="BC28" s="1072">
        <v>16</v>
      </c>
      <c r="BD28" s="1072"/>
      <c r="BE28" s="1072">
        <f t="shared" si="2"/>
        <v>0</v>
      </c>
      <c r="BF28" s="1073">
        <f>BE28*('Ввод исходных данных'!$D$83-BC28)</f>
        <v>0</v>
      </c>
    </row>
    <row r="29" spans="2:58" ht="15.75" customHeight="1" x14ac:dyDescent="0.25">
      <c r="B29" s="1051" t="s">
        <v>13</v>
      </c>
      <c r="C29" s="1052" t="s">
        <v>24</v>
      </c>
      <c r="D29" s="1053" t="str">
        <f t="shared" si="0"/>
        <v>Амурская областьОгорон</v>
      </c>
      <c r="E29" s="1054">
        <v>247</v>
      </c>
      <c r="F29" s="1055">
        <v>-13.3</v>
      </c>
      <c r="G29" s="1055">
        <v>-40</v>
      </c>
      <c r="H29" s="1057">
        <v>3.2</v>
      </c>
      <c r="I29" s="1058">
        <f>E29*('Ввод исходных данных'!$D$83-F29)</f>
        <v>8225.0999999999985</v>
      </c>
      <c r="J29" s="1059" t="str">
        <f t="shared" si="1"/>
        <v>8000-9000</v>
      </c>
      <c r="K29" s="1060">
        <v>17.100000000000001</v>
      </c>
      <c r="L29" s="1060"/>
      <c r="M29" s="1061">
        <f t="shared" si="3"/>
        <v>0</v>
      </c>
      <c r="N29" s="1062">
        <f>M29*('Ввод исходных данных'!$D$83-K29)</f>
        <v>0</v>
      </c>
      <c r="O29" s="1063">
        <v>14.5</v>
      </c>
      <c r="P29" s="1063"/>
      <c r="Q29" s="1063">
        <f t="shared" si="4"/>
        <v>0</v>
      </c>
      <c r="R29" s="1063">
        <f>Q29*('Ввод исходных данных'!$D$83-O29)</f>
        <v>0</v>
      </c>
      <c r="S29" s="1064">
        <v>8</v>
      </c>
      <c r="T29" s="1064"/>
      <c r="U29" s="1064">
        <f t="shared" si="5"/>
        <v>17.5</v>
      </c>
      <c r="V29" s="1064">
        <f>U29*('Ввод исходных данных'!$D$83-S29)</f>
        <v>210</v>
      </c>
      <c r="W29" s="1065">
        <v>-3.3</v>
      </c>
      <c r="X29" s="1065"/>
      <c r="Y29" s="1065">
        <f t="shared" si="6"/>
        <v>31</v>
      </c>
      <c r="Z29" s="1065">
        <f>Y29*('Ввод исходных данных'!$D$83-W29)</f>
        <v>722.30000000000007</v>
      </c>
      <c r="AA29" s="1066">
        <v>-18</v>
      </c>
      <c r="AB29" s="1066"/>
      <c r="AC29" s="1066">
        <f t="shared" si="7"/>
        <v>30</v>
      </c>
      <c r="AD29" s="1066">
        <f>AC29*('Ввод исходных данных'!$D$83-AA29)</f>
        <v>1140</v>
      </c>
      <c r="AE29" s="1067">
        <v>-27.3</v>
      </c>
      <c r="AF29" s="1067"/>
      <c r="AG29" s="1067">
        <v>31</v>
      </c>
      <c r="AH29" s="1067">
        <f>AG29*('Ввод исходных данных'!$D$83-AE29)</f>
        <v>1466.3</v>
      </c>
      <c r="AI29" s="1068">
        <v>-29.3</v>
      </c>
      <c r="AJ29" s="1068"/>
      <c r="AK29" s="1068">
        <v>31</v>
      </c>
      <c r="AL29" s="1068">
        <f>AK29*('Ввод исходных данных'!$D$83-AI29)</f>
        <v>1528.3</v>
      </c>
      <c r="AM29" s="1069">
        <v>-23.1</v>
      </c>
      <c r="AN29" s="1069"/>
      <c r="AO29" s="1069">
        <v>28</v>
      </c>
      <c r="AP29" s="1069">
        <f>AO29*('Ввод исходных данных'!$D$83-AM29)</f>
        <v>1206.8</v>
      </c>
      <c r="AQ29" s="1064">
        <v>-13.9</v>
      </c>
      <c r="AR29" s="1064"/>
      <c r="AS29" s="1064">
        <f t="shared" si="8"/>
        <v>31</v>
      </c>
      <c r="AT29" s="1064">
        <f>AS29*('Ввод исходных данных'!$D$83-AQ29)</f>
        <v>1050.8999999999999</v>
      </c>
      <c r="AU29" s="1070">
        <v>2.2999999999999998</v>
      </c>
      <c r="AV29" s="1070"/>
      <c r="AW29" s="1070">
        <f t="shared" si="9"/>
        <v>30</v>
      </c>
      <c r="AX29" s="1070">
        <f>AW29*('Ввод исходных данных'!$D$83-AU29)</f>
        <v>531</v>
      </c>
      <c r="AY29" s="1071">
        <v>7</v>
      </c>
      <c r="AZ29" s="1071"/>
      <c r="BA29" s="1071">
        <f t="shared" si="10"/>
        <v>17.5</v>
      </c>
      <c r="BB29" s="1071">
        <f>BA29*('Ввод исходных данных'!$D$83-AY29)</f>
        <v>227.5</v>
      </c>
      <c r="BC29" s="1072">
        <v>13.8</v>
      </c>
      <c r="BD29" s="1072"/>
      <c r="BE29" s="1072">
        <f t="shared" si="2"/>
        <v>0</v>
      </c>
      <c r="BF29" s="1073">
        <f>BE29*('Ввод исходных данных'!$D$83-BC29)</f>
        <v>0</v>
      </c>
    </row>
    <row r="30" spans="2:58" ht="15.75" customHeight="1" x14ac:dyDescent="0.25">
      <c r="B30" s="1074" t="s">
        <v>13</v>
      </c>
      <c r="C30" s="1076" t="s">
        <v>25</v>
      </c>
      <c r="D30" s="1053" t="str">
        <f t="shared" si="0"/>
        <v>Амурская областьПоярково</v>
      </c>
      <c r="E30" s="1054">
        <v>222</v>
      </c>
      <c r="F30" s="1055">
        <v>-11.9</v>
      </c>
      <c r="G30" s="1055">
        <v>-37</v>
      </c>
      <c r="H30" s="1057">
        <v>3.4</v>
      </c>
      <c r="I30" s="1058">
        <f>E30*('Ввод исходных данных'!$D$83-F30)</f>
        <v>7081.7999999999993</v>
      </c>
      <c r="J30" s="1059" t="str">
        <f t="shared" si="1"/>
        <v>7000-8000</v>
      </c>
      <c r="K30" s="1060">
        <v>20.9</v>
      </c>
      <c r="L30" s="1060"/>
      <c r="M30" s="1061">
        <f t="shared" si="3"/>
        <v>0</v>
      </c>
      <c r="N30" s="1062">
        <f>M30*('Ввод исходных данных'!$D$83-K30)</f>
        <v>0</v>
      </c>
      <c r="O30" s="1063">
        <v>18.8</v>
      </c>
      <c r="P30" s="1063"/>
      <c r="Q30" s="1063">
        <f t="shared" si="4"/>
        <v>0</v>
      </c>
      <c r="R30" s="1063">
        <f>Q30*('Ввод исходных данных'!$D$83-O30)</f>
        <v>0</v>
      </c>
      <c r="S30" s="1064">
        <v>11.9</v>
      </c>
      <c r="T30" s="1064"/>
      <c r="U30" s="1064">
        <f t="shared" si="5"/>
        <v>5</v>
      </c>
      <c r="V30" s="1064">
        <f>U30*('Ввод исходных данных'!$D$83-S30)</f>
        <v>40.5</v>
      </c>
      <c r="W30" s="1065">
        <v>1.8</v>
      </c>
      <c r="X30" s="1065"/>
      <c r="Y30" s="1065">
        <f t="shared" si="6"/>
        <v>31</v>
      </c>
      <c r="Z30" s="1065">
        <f>Y30*('Ввод исходных данных'!$D$83-W30)</f>
        <v>564.19999999999993</v>
      </c>
      <c r="AA30" s="1066">
        <v>-12.4</v>
      </c>
      <c r="AB30" s="1066"/>
      <c r="AC30" s="1066">
        <f t="shared" si="7"/>
        <v>30</v>
      </c>
      <c r="AD30" s="1066">
        <f>AC30*('Ввод исходных данных'!$D$83-AA30)</f>
        <v>972</v>
      </c>
      <c r="AE30" s="1067">
        <v>-23.7</v>
      </c>
      <c r="AF30" s="1067"/>
      <c r="AG30" s="1067">
        <v>31</v>
      </c>
      <c r="AH30" s="1067">
        <f>AG30*('Ввод исходных данных'!$D$83-AE30)</f>
        <v>1354.7</v>
      </c>
      <c r="AI30" s="1068">
        <v>-26.9</v>
      </c>
      <c r="AJ30" s="1068"/>
      <c r="AK30" s="1068">
        <v>31</v>
      </c>
      <c r="AL30" s="1068">
        <f>AK30*('Ввод исходных данных'!$D$83-AI30)</f>
        <v>1453.8999999999999</v>
      </c>
      <c r="AM30" s="1069">
        <v>-21.6</v>
      </c>
      <c r="AN30" s="1069"/>
      <c r="AO30" s="1069">
        <v>28</v>
      </c>
      <c r="AP30" s="1069">
        <f>AO30*('Ввод исходных данных'!$D$83-AM30)</f>
        <v>1164.8</v>
      </c>
      <c r="AQ30" s="1064">
        <v>-11.5</v>
      </c>
      <c r="AR30" s="1064"/>
      <c r="AS30" s="1064">
        <f t="shared" si="8"/>
        <v>31</v>
      </c>
      <c r="AT30" s="1064">
        <f>AS30*('Ввод исходных данных'!$D$83-AQ30)</f>
        <v>976.5</v>
      </c>
      <c r="AU30" s="1070">
        <v>2.1</v>
      </c>
      <c r="AV30" s="1070"/>
      <c r="AW30" s="1070">
        <f t="shared" si="9"/>
        <v>30</v>
      </c>
      <c r="AX30" s="1070">
        <f>AW30*('Ввод исходных данных'!$D$83-AU30)</f>
        <v>537</v>
      </c>
      <c r="AY30" s="1071">
        <v>10.4</v>
      </c>
      <c r="AZ30" s="1071"/>
      <c r="BA30" s="1071">
        <f t="shared" si="10"/>
        <v>5</v>
      </c>
      <c r="BB30" s="1071">
        <f>BA30*('Ввод исходных данных'!$D$83-AY30)</f>
        <v>48</v>
      </c>
      <c r="BC30" s="1072">
        <v>17.100000000000001</v>
      </c>
      <c r="BD30" s="1072"/>
      <c r="BE30" s="1072">
        <f t="shared" si="2"/>
        <v>0</v>
      </c>
      <c r="BF30" s="1073">
        <f>BE30*('Ввод исходных данных'!$D$83-BC30)</f>
        <v>0</v>
      </c>
    </row>
    <row r="31" spans="2:58" ht="15.75" customHeight="1" x14ac:dyDescent="0.25">
      <c r="B31" s="1051" t="s">
        <v>13</v>
      </c>
      <c r="C31" s="1052" t="s">
        <v>29</v>
      </c>
      <c r="D31" s="1053" t="str">
        <f t="shared" si="0"/>
        <v>Амурская областьСвободный</v>
      </c>
      <c r="E31" s="1054">
        <v>229</v>
      </c>
      <c r="F31" s="1055">
        <v>-12.4</v>
      </c>
      <c r="G31" s="1055">
        <v>-39</v>
      </c>
      <c r="H31" s="1057">
        <f>H30</f>
        <v>3.4</v>
      </c>
      <c r="I31" s="1058">
        <f>E31*('Ввод исходных данных'!$D$83-F31)</f>
        <v>7419.5999999999995</v>
      </c>
      <c r="J31" s="1059" t="str">
        <f t="shared" si="1"/>
        <v>7000-8000</v>
      </c>
      <c r="K31" s="1060">
        <v>20.2</v>
      </c>
      <c r="L31" s="1060"/>
      <c r="M31" s="1061">
        <f t="shared" si="3"/>
        <v>0</v>
      </c>
      <c r="N31" s="1062">
        <f>M31*('Ввод исходных данных'!$D$83-K31)</f>
        <v>0</v>
      </c>
      <c r="O31" s="1063">
        <v>17.7</v>
      </c>
      <c r="P31" s="1063"/>
      <c r="Q31" s="1063">
        <f t="shared" si="4"/>
        <v>0</v>
      </c>
      <c r="R31" s="1063">
        <f>Q31*('Ввод исходных данных'!$D$83-O31)</f>
        <v>0</v>
      </c>
      <c r="S31" s="1064">
        <v>10.6</v>
      </c>
      <c r="T31" s="1064"/>
      <c r="U31" s="1064">
        <f t="shared" si="5"/>
        <v>8.5</v>
      </c>
      <c r="V31" s="1064">
        <f>U31*('Ввод исходных данных'!$D$83-S31)</f>
        <v>79.900000000000006</v>
      </c>
      <c r="W31" s="1065">
        <v>0</v>
      </c>
      <c r="X31" s="1065"/>
      <c r="Y31" s="1065">
        <f t="shared" si="6"/>
        <v>31</v>
      </c>
      <c r="Z31" s="1065">
        <f>Y31*('Ввод исходных данных'!$D$83-W31)</f>
        <v>620</v>
      </c>
      <c r="AA31" s="1066">
        <v>-14.9</v>
      </c>
      <c r="AB31" s="1066"/>
      <c r="AC31" s="1066">
        <f t="shared" si="7"/>
        <v>30</v>
      </c>
      <c r="AD31" s="1066">
        <f>AC31*('Ввод исходных данных'!$D$83-AA31)</f>
        <v>1047</v>
      </c>
      <c r="AE31" s="1067">
        <v>-25.4</v>
      </c>
      <c r="AF31" s="1067"/>
      <c r="AG31" s="1067">
        <v>31</v>
      </c>
      <c r="AH31" s="1067">
        <f>AG31*('Ввод исходных данных'!$D$83-AE31)</f>
        <v>1407.3999999999999</v>
      </c>
      <c r="AI31" s="1068">
        <v>-27.7</v>
      </c>
      <c r="AJ31" s="1068"/>
      <c r="AK31" s="1068">
        <v>31</v>
      </c>
      <c r="AL31" s="1068">
        <f>AK31*('Ввод исходных данных'!$D$83-AI31)</f>
        <v>1478.7</v>
      </c>
      <c r="AM31" s="1069">
        <v>-21.6</v>
      </c>
      <c r="AN31" s="1069"/>
      <c r="AO31" s="1069">
        <v>28</v>
      </c>
      <c r="AP31" s="1069">
        <f>AO31*('Ввод исходных данных'!$D$83-AM31)</f>
        <v>1164.8</v>
      </c>
      <c r="AQ31" s="1064">
        <v>-12.1</v>
      </c>
      <c r="AR31" s="1064"/>
      <c r="AS31" s="1064">
        <f t="shared" si="8"/>
        <v>31</v>
      </c>
      <c r="AT31" s="1064">
        <f>AS31*('Ввод исходных данных'!$D$83-AQ31)</f>
        <v>995.1</v>
      </c>
      <c r="AU31" s="1070">
        <v>1</v>
      </c>
      <c r="AV31" s="1070"/>
      <c r="AW31" s="1070">
        <f t="shared" si="9"/>
        <v>30</v>
      </c>
      <c r="AX31" s="1070">
        <f>AW31*('Ввод исходных данных'!$D$83-AU31)</f>
        <v>570</v>
      </c>
      <c r="AY31" s="1071">
        <v>9.6</v>
      </c>
      <c r="AZ31" s="1071"/>
      <c r="BA31" s="1071">
        <f t="shared" si="10"/>
        <v>8.5</v>
      </c>
      <c r="BB31" s="1071">
        <f>BA31*('Ввод исходных данных'!$D$83-AY31)</f>
        <v>88.4</v>
      </c>
      <c r="BC31" s="1072">
        <v>16.600000000000001</v>
      </c>
      <c r="BD31" s="1072"/>
      <c r="BE31" s="1072">
        <f t="shared" si="2"/>
        <v>0</v>
      </c>
      <c r="BF31" s="1073">
        <f>BE31*('Ввод исходных данных'!$D$83-BC31)</f>
        <v>0</v>
      </c>
    </row>
    <row r="32" spans="2:58" ht="15.75" customHeight="1" x14ac:dyDescent="0.25">
      <c r="B32" s="1074" t="s">
        <v>13</v>
      </c>
      <c r="C32" s="1076" t="s">
        <v>27</v>
      </c>
      <c r="D32" s="1053" t="str">
        <f t="shared" si="0"/>
        <v>Амурская областьСковородино</v>
      </c>
      <c r="E32" s="1054">
        <v>245</v>
      </c>
      <c r="F32" s="1055">
        <v>-13.7</v>
      </c>
      <c r="G32" s="1055">
        <v>-38</v>
      </c>
      <c r="H32" s="1057">
        <v>2.8</v>
      </c>
      <c r="I32" s="1058">
        <f>E32*('Ввод исходных данных'!$D$83-F32)</f>
        <v>8256.5</v>
      </c>
      <c r="J32" s="1059" t="str">
        <f t="shared" si="1"/>
        <v>8000-9000</v>
      </c>
      <c r="K32" s="1060">
        <v>17.8</v>
      </c>
      <c r="L32" s="1060"/>
      <c r="M32" s="1061">
        <f t="shared" si="3"/>
        <v>0</v>
      </c>
      <c r="N32" s="1062">
        <f>M32*('Ввод исходных данных'!$D$83-K32)</f>
        <v>0</v>
      </c>
      <c r="O32" s="1063">
        <v>14.7</v>
      </c>
      <c r="P32" s="1063"/>
      <c r="Q32" s="1063">
        <f t="shared" si="4"/>
        <v>0</v>
      </c>
      <c r="R32" s="1063">
        <f>Q32*('Ввод исходных данных'!$D$83-O32)</f>
        <v>0</v>
      </c>
      <c r="S32" s="1064">
        <v>7.2</v>
      </c>
      <c r="T32" s="1064"/>
      <c r="U32" s="1064">
        <f t="shared" si="5"/>
        <v>16.5</v>
      </c>
      <c r="V32" s="1064">
        <f>U32*('Ввод исходных данных'!$D$83-S32)</f>
        <v>211.20000000000002</v>
      </c>
      <c r="W32" s="1065">
        <v>-3.6</v>
      </c>
      <c r="X32" s="1065"/>
      <c r="Y32" s="1065">
        <f t="shared" si="6"/>
        <v>31</v>
      </c>
      <c r="Z32" s="1065">
        <f>Y32*('Ввод исходных данных'!$D$83-W32)</f>
        <v>731.6</v>
      </c>
      <c r="AA32" s="1066">
        <v>-18.7</v>
      </c>
      <c r="AB32" s="1066"/>
      <c r="AC32" s="1066">
        <f t="shared" si="7"/>
        <v>30</v>
      </c>
      <c r="AD32" s="1066">
        <f>AC32*('Ввод исходных данных'!$D$83-AA32)</f>
        <v>1161</v>
      </c>
      <c r="AE32" s="1067">
        <v>-27.1</v>
      </c>
      <c r="AF32" s="1067"/>
      <c r="AG32" s="1067">
        <v>31</v>
      </c>
      <c r="AH32" s="1067">
        <f>AG32*('Ввод исходных данных'!$D$83-AE32)</f>
        <v>1460.1000000000001</v>
      </c>
      <c r="AI32" s="1068">
        <v>-27.6</v>
      </c>
      <c r="AJ32" s="1068"/>
      <c r="AK32" s="1068">
        <v>31</v>
      </c>
      <c r="AL32" s="1068">
        <f>AK32*('Ввод исходных данных'!$D$83-AI32)</f>
        <v>1475.6000000000001</v>
      </c>
      <c r="AM32" s="1069">
        <v>-23.3</v>
      </c>
      <c r="AN32" s="1069"/>
      <c r="AO32" s="1069">
        <v>28</v>
      </c>
      <c r="AP32" s="1069">
        <f>AO32*('Ввод исходных данных'!$D$83-AM32)</f>
        <v>1212.3999999999999</v>
      </c>
      <c r="AQ32" s="1064">
        <v>-13.3</v>
      </c>
      <c r="AR32" s="1064"/>
      <c r="AS32" s="1064">
        <f t="shared" si="8"/>
        <v>31</v>
      </c>
      <c r="AT32" s="1064">
        <f>AS32*('Ввод исходных данных'!$D$83-AQ32)</f>
        <v>1032.3</v>
      </c>
      <c r="AU32" s="1070">
        <v>-0.6</v>
      </c>
      <c r="AV32" s="1070"/>
      <c r="AW32" s="1070">
        <f t="shared" si="9"/>
        <v>30</v>
      </c>
      <c r="AX32" s="1070">
        <f>AW32*('Ввод исходных данных'!$D$83-AU32)</f>
        <v>618</v>
      </c>
      <c r="AY32" s="1071">
        <v>8.4</v>
      </c>
      <c r="AZ32" s="1071"/>
      <c r="BA32" s="1071">
        <f t="shared" si="10"/>
        <v>16.5</v>
      </c>
      <c r="BB32" s="1071">
        <f>BA32*('Ввод исходных данных'!$D$83-AY32)</f>
        <v>191.4</v>
      </c>
      <c r="BC32" s="1072">
        <v>15.1</v>
      </c>
      <c r="BD32" s="1072"/>
      <c r="BE32" s="1072">
        <f t="shared" si="2"/>
        <v>0</v>
      </c>
      <c r="BF32" s="1073">
        <f>BE32*('Ввод исходных данных'!$D$83-BC32)</f>
        <v>0</v>
      </c>
    </row>
    <row r="33" spans="2:58" ht="15.75" customHeight="1" x14ac:dyDescent="0.25">
      <c r="B33" s="1051" t="s">
        <v>13</v>
      </c>
      <c r="C33" s="1052" t="s">
        <v>28</v>
      </c>
      <c r="D33" s="1053" t="str">
        <f t="shared" si="0"/>
        <v>Амурская областьСредняя Нюкжа</v>
      </c>
      <c r="E33" s="1054">
        <v>262</v>
      </c>
      <c r="F33" s="1055">
        <v>-16.100000000000001</v>
      </c>
      <c r="G33" s="1055">
        <v>-45</v>
      </c>
      <c r="H33" s="1057">
        <f>H32</f>
        <v>2.8</v>
      </c>
      <c r="I33" s="1058">
        <f>E33*('Ввод исходных данных'!$D$83-F33)</f>
        <v>9458.2000000000007</v>
      </c>
      <c r="J33" s="1059" t="str">
        <f t="shared" si="1"/>
        <v>9000-10000</v>
      </c>
      <c r="K33" s="1060">
        <v>16.8</v>
      </c>
      <c r="L33" s="1060"/>
      <c r="M33" s="1061">
        <f t="shared" si="3"/>
        <v>0</v>
      </c>
      <c r="N33" s="1062">
        <f>M33*('Ввод исходных данных'!$D$83-K33)</f>
        <v>0</v>
      </c>
      <c r="O33" s="1063">
        <v>13.4</v>
      </c>
      <c r="P33" s="1063"/>
      <c r="Q33" s="1063">
        <f t="shared" si="4"/>
        <v>0</v>
      </c>
      <c r="R33" s="1063">
        <f>Q33*('Ввод исходных данных'!$D$83-O33)</f>
        <v>0</v>
      </c>
      <c r="S33" s="1064">
        <v>5.7</v>
      </c>
      <c r="T33" s="1064"/>
      <c r="U33" s="1064">
        <f t="shared" si="5"/>
        <v>25</v>
      </c>
      <c r="V33" s="1064">
        <f>U33*('Ввод исходных данных'!$D$83-S33)</f>
        <v>357.5</v>
      </c>
      <c r="W33" s="1065">
        <v>-6.6</v>
      </c>
      <c r="X33" s="1065"/>
      <c r="Y33" s="1065">
        <f t="shared" si="6"/>
        <v>31</v>
      </c>
      <c r="Z33" s="1065">
        <f>Y33*('Ввод исходных данных'!$D$83-W33)</f>
        <v>824.6</v>
      </c>
      <c r="AA33" s="1066">
        <v>-22.9</v>
      </c>
      <c r="AB33" s="1066"/>
      <c r="AC33" s="1066">
        <f t="shared" si="7"/>
        <v>30</v>
      </c>
      <c r="AD33" s="1066">
        <f>AC33*('Ввод исходных данных'!$D$83-AA33)</f>
        <v>1287</v>
      </c>
      <c r="AE33" s="1067">
        <v>-32.9</v>
      </c>
      <c r="AF33" s="1067"/>
      <c r="AG33" s="1067">
        <v>31</v>
      </c>
      <c r="AH33" s="1067">
        <f>AG33*('Ввод исходных данных'!$D$83-AE33)</f>
        <v>1639.8999999999999</v>
      </c>
      <c r="AI33" s="1068">
        <v>-34.700000000000003</v>
      </c>
      <c r="AJ33" s="1068"/>
      <c r="AK33" s="1068">
        <v>31</v>
      </c>
      <c r="AL33" s="1068">
        <f>AK33*('Ввод исходных данных'!$D$83-AI33)</f>
        <v>1695.7</v>
      </c>
      <c r="AM33" s="1069">
        <v>-28.9</v>
      </c>
      <c r="AN33" s="1069"/>
      <c r="AO33" s="1069">
        <v>28</v>
      </c>
      <c r="AP33" s="1069">
        <f>AO33*('Ввод исходных данных'!$D$83-AM33)</f>
        <v>1369.2</v>
      </c>
      <c r="AQ33" s="1064">
        <v>-18.399999999999999</v>
      </c>
      <c r="AR33" s="1064"/>
      <c r="AS33" s="1064">
        <f t="shared" si="8"/>
        <v>31</v>
      </c>
      <c r="AT33" s="1064">
        <f>AS33*('Ввод исходных данных'!$D$83-AQ33)</f>
        <v>1190.3999999999999</v>
      </c>
      <c r="AU33" s="1070">
        <v>-5.4</v>
      </c>
      <c r="AV33" s="1070"/>
      <c r="AW33" s="1070">
        <f t="shared" si="9"/>
        <v>30</v>
      </c>
      <c r="AX33" s="1070">
        <f>AW33*('Ввод исходных данных'!$D$83-AU33)</f>
        <v>762</v>
      </c>
      <c r="AY33" s="1071">
        <v>5.3</v>
      </c>
      <c r="AZ33" s="1071"/>
      <c r="BA33" s="1071">
        <f t="shared" si="10"/>
        <v>25</v>
      </c>
      <c r="BB33" s="1071">
        <f>BA33*('Ввод исходных данных'!$D$83-AY33)</f>
        <v>367.5</v>
      </c>
      <c r="BC33" s="1072">
        <v>13.2</v>
      </c>
      <c r="BD33" s="1072"/>
      <c r="BE33" s="1072">
        <f t="shared" si="2"/>
        <v>0</v>
      </c>
      <c r="BF33" s="1073">
        <f>BE33*('Ввод исходных данных'!$D$83-BC33)</f>
        <v>0</v>
      </c>
    </row>
    <row r="34" spans="2:58" ht="15.75" customHeight="1" x14ac:dyDescent="0.25">
      <c r="B34" s="1074" t="s">
        <v>13</v>
      </c>
      <c r="C34" s="1076" t="s">
        <v>30</v>
      </c>
      <c r="D34" s="1053" t="str">
        <f t="shared" si="0"/>
        <v>Амурская областьТыган-Уркан</v>
      </c>
      <c r="E34" s="1054">
        <v>245</v>
      </c>
      <c r="F34" s="1055">
        <v>-12.4</v>
      </c>
      <c r="G34" s="1055">
        <v>-37</v>
      </c>
      <c r="H34" s="1057">
        <v>5.2</v>
      </c>
      <c r="I34" s="1058">
        <f>E34*('Ввод исходных данных'!$D$83-F34)</f>
        <v>7938</v>
      </c>
      <c r="J34" s="1059" t="str">
        <f t="shared" si="1"/>
        <v>7000-8000</v>
      </c>
      <c r="K34" s="1060">
        <v>18.100000000000001</v>
      </c>
      <c r="L34" s="1060"/>
      <c r="M34" s="1061">
        <f t="shared" si="3"/>
        <v>0</v>
      </c>
      <c r="N34" s="1062">
        <f>M34*('Ввод исходных данных'!$D$83-K34)</f>
        <v>0</v>
      </c>
      <c r="O34" s="1063">
        <v>15.1</v>
      </c>
      <c r="P34" s="1063"/>
      <c r="Q34" s="1063">
        <f t="shared" si="4"/>
        <v>0</v>
      </c>
      <c r="R34" s="1063">
        <f>Q34*('Ввод исходных данных'!$D$83-O34)</f>
        <v>0</v>
      </c>
      <c r="S34" s="1064">
        <v>7.9</v>
      </c>
      <c r="T34" s="1064"/>
      <c r="U34" s="1064">
        <f t="shared" si="5"/>
        <v>16.5</v>
      </c>
      <c r="V34" s="1064">
        <f>U34*('Ввод исходных данных'!$D$83-S34)</f>
        <v>199.65</v>
      </c>
      <c r="W34" s="1065">
        <v>-3.4</v>
      </c>
      <c r="X34" s="1065"/>
      <c r="Y34" s="1065">
        <f t="shared" si="6"/>
        <v>31</v>
      </c>
      <c r="Z34" s="1065">
        <f>Y34*('Ввод исходных данных'!$D$83-W34)</f>
        <v>725.4</v>
      </c>
      <c r="AA34" s="1066">
        <v>-17.2</v>
      </c>
      <c r="AB34" s="1066"/>
      <c r="AC34" s="1066">
        <f t="shared" si="7"/>
        <v>30</v>
      </c>
      <c r="AD34" s="1066">
        <f>AC34*('Ввод исходных данных'!$D$83-AA34)</f>
        <v>1116</v>
      </c>
      <c r="AE34" s="1067">
        <v>-25.2</v>
      </c>
      <c r="AF34" s="1067"/>
      <c r="AG34" s="1067">
        <v>31</v>
      </c>
      <c r="AH34" s="1067">
        <f>AG34*('Ввод исходных данных'!$D$83-AE34)</f>
        <v>1401.2</v>
      </c>
      <c r="AI34" s="1068">
        <v>-26.4</v>
      </c>
      <c r="AJ34" s="1068"/>
      <c r="AK34" s="1068">
        <v>31</v>
      </c>
      <c r="AL34" s="1068">
        <f>AK34*('Ввод исходных данных'!$D$83-AI34)</f>
        <v>1438.3999999999999</v>
      </c>
      <c r="AM34" s="1069">
        <v>-21.6</v>
      </c>
      <c r="AN34" s="1069"/>
      <c r="AO34" s="1069">
        <v>28</v>
      </c>
      <c r="AP34" s="1069">
        <f>AO34*('Ввод исходных данных'!$D$83-AM34)</f>
        <v>1164.8</v>
      </c>
      <c r="AQ34" s="1064">
        <v>-13.4</v>
      </c>
      <c r="AR34" s="1064"/>
      <c r="AS34" s="1064">
        <f t="shared" si="8"/>
        <v>31</v>
      </c>
      <c r="AT34" s="1064">
        <f>AS34*('Ввод исходных данных'!$D$83-AQ34)</f>
        <v>1035.3999999999999</v>
      </c>
      <c r="AU34" s="1070">
        <v>-1.5</v>
      </c>
      <c r="AV34" s="1070"/>
      <c r="AW34" s="1070">
        <f t="shared" si="9"/>
        <v>30</v>
      </c>
      <c r="AX34" s="1070">
        <f>AW34*('Ввод исходных данных'!$D$83-AU34)</f>
        <v>645</v>
      </c>
      <c r="AY34" s="1071">
        <v>7.5</v>
      </c>
      <c r="AZ34" s="1071"/>
      <c r="BA34" s="1071">
        <f t="shared" si="10"/>
        <v>16.5</v>
      </c>
      <c r="BB34" s="1071">
        <f>BA34*('Ввод исходных данных'!$D$83-AY34)</f>
        <v>206.25</v>
      </c>
      <c r="BC34" s="1072">
        <v>14.6</v>
      </c>
      <c r="BD34" s="1072"/>
      <c r="BE34" s="1072">
        <f t="shared" si="2"/>
        <v>0</v>
      </c>
      <c r="BF34" s="1073">
        <f>BE34*('Ввод исходных данных'!$D$83-BC34)</f>
        <v>0</v>
      </c>
    </row>
    <row r="35" spans="2:58" ht="15.75" customHeight="1" x14ac:dyDescent="0.25">
      <c r="B35" s="1051" t="s">
        <v>13</v>
      </c>
      <c r="C35" s="1052" t="s">
        <v>31</v>
      </c>
      <c r="D35" s="1053" t="str">
        <f t="shared" si="0"/>
        <v>Амурская областьТында</v>
      </c>
      <c r="E35" s="1054">
        <v>258</v>
      </c>
      <c r="F35" s="1055">
        <v>-14.7</v>
      </c>
      <c r="G35" s="1055">
        <v>-42</v>
      </c>
      <c r="H35" s="1057">
        <v>5.3</v>
      </c>
      <c r="I35" s="1058">
        <f>E35*('Ввод исходных данных'!$D$83-F35)</f>
        <v>8952.6</v>
      </c>
      <c r="J35" s="1059" t="str">
        <f t="shared" si="1"/>
        <v>8000-9000</v>
      </c>
      <c r="K35" s="1060">
        <v>17.100000000000001</v>
      </c>
      <c r="L35" s="1060"/>
      <c r="M35" s="1061">
        <f t="shared" si="3"/>
        <v>0</v>
      </c>
      <c r="N35" s="1062">
        <f>M35*('Ввод исходных данных'!$D$83-K35)</f>
        <v>0</v>
      </c>
      <c r="O35" s="1063">
        <v>13.9</v>
      </c>
      <c r="P35" s="1063"/>
      <c r="Q35" s="1063">
        <f t="shared" si="4"/>
        <v>0</v>
      </c>
      <c r="R35" s="1063">
        <f>Q35*('Ввод исходных данных'!$D$83-O35)</f>
        <v>0</v>
      </c>
      <c r="S35" s="1064">
        <v>6.3</v>
      </c>
      <c r="T35" s="1064"/>
      <c r="U35" s="1064">
        <f t="shared" si="5"/>
        <v>23</v>
      </c>
      <c r="V35" s="1064">
        <f>U35*('Ввод исходных данных'!$D$83-S35)</f>
        <v>315.09999999999997</v>
      </c>
      <c r="W35" s="1065">
        <v>-5.7</v>
      </c>
      <c r="X35" s="1065"/>
      <c r="Y35" s="1065">
        <f t="shared" si="6"/>
        <v>31</v>
      </c>
      <c r="Z35" s="1065">
        <f>Y35*('Ввод исходных данных'!$D$83-W35)</f>
        <v>796.69999999999993</v>
      </c>
      <c r="AA35" s="1066">
        <v>-21.5</v>
      </c>
      <c r="AB35" s="1066"/>
      <c r="AC35" s="1066">
        <f t="shared" si="7"/>
        <v>30</v>
      </c>
      <c r="AD35" s="1066">
        <f>AC35*('Ввод исходных данных'!$D$83-AA35)</f>
        <v>1245</v>
      </c>
      <c r="AE35" s="1067">
        <v>-30.2</v>
      </c>
      <c r="AF35" s="1067"/>
      <c r="AG35" s="1067">
        <v>31</v>
      </c>
      <c r="AH35" s="1067">
        <f>AG35*('Ввод исходных данных'!$D$83-AE35)</f>
        <v>1556.2</v>
      </c>
      <c r="AI35" s="1068">
        <v>-31.7</v>
      </c>
      <c r="AJ35" s="1068"/>
      <c r="AK35" s="1068">
        <v>31</v>
      </c>
      <c r="AL35" s="1068">
        <f>AK35*('Ввод исходных данных'!$D$83-AI35)</f>
        <v>1602.7</v>
      </c>
      <c r="AM35" s="1069">
        <v>-25.9</v>
      </c>
      <c r="AN35" s="1069"/>
      <c r="AO35" s="1069">
        <v>28</v>
      </c>
      <c r="AP35" s="1069">
        <f>AO35*('Ввод исходных данных'!$D$83-AM35)</f>
        <v>1285.2</v>
      </c>
      <c r="AQ35" s="1064">
        <v>-16.2</v>
      </c>
      <c r="AR35" s="1064"/>
      <c r="AS35" s="1064">
        <f t="shared" si="8"/>
        <v>31</v>
      </c>
      <c r="AT35" s="1064">
        <f>AS35*('Ввод исходных данных'!$D$83-AQ35)</f>
        <v>1122.2</v>
      </c>
      <c r="AU35" s="1070">
        <v>-3.8</v>
      </c>
      <c r="AV35" s="1070"/>
      <c r="AW35" s="1070">
        <f t="shared" si="9"/>
        <v>30</v>
      </c>
      <c r="AX35" s="1070">
        <f>AW35*('Ввод исходных данных'!$D$83-AU35)</f>
        <v>714</v>
      </c>
      <c r="AY35" s="1071">
        <v>6</v>
      </c>
      <c r="AZ35" s="1071"/>
      <c r="BA35" s="1071">
        <f t="shared" si="10"/>
        <v>23</v>
      </c>
      <c r="BB35" s="1071">
        <f>BA35*('Ввод исходных данных'!$D$83-AY35)</f>
        <v>322</v>
      </c>
      <c r="BC35" s="1072">
        <v>13.4</v>
      </c>
      <c r="BD35" s="1072"/>
      <c r="BE35" s="1072">
        <f t="shared" si="2"/>
        <v>0</v>
      </c>
      <c r="BF35" s="1073">
        <f>BE35*('Ввод исходных данных'!$D$83-BC35)</f>
        <v>0</v>
      </c>
    </row>
    <row r="36" spans="2:58" ht="15.75" customHeight="1" x14ac:dyDescent="0.25">
      <c r="B36" s="1074" t="s">
        <v>13</v>
      </c>
      <c r="C36" s="1076" t="s">
        <v>32</v>
      </c>
      <c r="D36" s="1053" t="str">
        <f t="shared" si="0"/>
        <v>Амурская областьУнаха</v>
      </c>
      <c r="E36" s="1054">
        <v>255</v>
      </c>
      <c r="F36" s="1055">
        <v>-14</v>
      </c>
      <c r="G36" s="1055">
        <v>-42</v>
      </c>
      <c r="H36" s="1057">
        <f>H35</f>
        <v>5.3</v>
      </c>
      <c r="I36" s="1058">
        <f>E36*('Ввод исходных данных'!$D$83-F36)</f>
        <v>8670</v>
      </c>
      <c r="J36" s="1059" t="str">
        <f t="shared" si="1"/>
        <v>8000-9000</v>
      </c>
      <c r="K36" s="1060">
        <v>17.2</v>
      </c>
      <c r="L36" s="1060"/>
      <c r="M36" s="1061">
        <f t="shared" si="3"/>
        <v>0</v>
      </c>
      <c r="N36" s="1062">
        <f>M36*('Ввод исходных данных'!$D$83-K36)</f>
        <v>0</v>
      </c>
      <c r="O36" s="1063">
        <v>14.1</v>
      </c>
      <c r="P36" s="1063"/>
      <c r="Q36" s="1063">
        <f t="shared" si="4"/>
        <v>0</v>
      </c>
      <c r="R36" s="1063">
        <f>Q36*('Ввод исходных данных'!$D$83-O36)</f>
        <v>0</v>
      </c>
      <c r="S36" s="1064">
        <v>6.9</v>
      </c>
      <c r="T36" s="1064"/>
      <c r="U36" s="1064">
        <f t="shared" si="5"/>
        <v>21.5</v>
      </c>
      <c r="V36" s="1064">
        <f>U36*('Ввод исходных данных'!$D$83-S36)</f>
        <v>281.64999999999998</v>
      </c>
      <c r="W36" s="1065">
        <v>-5.0999999999999996</v>
      </c>
      <c r="X36" s="1065"/>
      <c r="Y36" s="1065">
        <f t="shared" si="6"/>
        <v>31</v>
      </c>
      <c r="Z36" s="1065">
        <f>Y36*('Ввод исходных данных'!$D$83-W36)</f>
        <v>778.1</v>
      </c>
      <c r="AA36" s="1066">
        <v>-20.2</v>
      </c>
      <c r="AB36" s="1066"/>
      <c r="AC36" s="1066">
        <f t="shared" si="7"/>
        <v>30</v>
      </c>
      <c r="AD36" s="1066">
        <f>AC36*('Ввод исходных данных'!$D$83-AA36)</f>
        <v>1206</v>
      </c>
      <c r="AE36" s="1067">
        <v>-28.3</v>
      </c>
      <c r="AF36" s="1067"/>
      <c r="AG36" s="1067">
        <v>31</v>
      </c>
      <c r="AH36" s="1067">
        <f>AG36*('Ввод исходных данных'!$D$83-AE36)</f>
        <v>1497.3</v>
      </c>
      <c r="AI36" s="1068">
        <v>-30</v>
      </c>
      <c r="AJ36" s="1068"/>
      <c r="AK36" s="1068">
        <v>31</v>
      </c>
      <c r="AL36" s="1068">
        <f>AK36*('Ввод исходных данных'!$D$83-AI36)</f>
        <v>1550</v>
      </c>
      <c r="AM36" s="1069">
        <v>-24.5</v>
      </c>
      <c r="AN36" s="1069"/>
      <c r="AO36" s="1069">
        <v>28</v>
      </c>
      <c r="AP36" s="1069">
        <f>AO36*('Ввод исходных данных'!$D$83-AM36)</f>
        <v>1246</v>
      </c>
      <c r="AQ36" s="1064">
        <v>-15.9</v>
      </c>
      <c r="AR36" s="1064"/>
      <c r="AS36" s="1064">
        <f t="shared" si="8"/>
        <v>31</v>
      </c>
      <c r="AT36" s="1064">
        <f>AS36*('Ввод исходных данных'!$D$83-AQ36)</f>
        <v>1112.8999999999999</v>
      </c>
      <c r="AU36" s="1070">
        <v>-3.5</v>
      </c>
      <c r="AV36" s="1070"/>
      <c r="AW36" s="1070">
        <f t="shared" si="9"/>
        <v>30</v>
      </c>
      <c r="AX36" s="1070">
        <f>AW36*('Ввод исходных данных'!$D$83-AU36)</f>
        <v>705</v>
      </c>
      <c r="AY36" s="1071">
        <v>6.2</v>
      </c>
      <c r="AZ36" s="1071"/>
      <c r="BA36" s="1071">
        <f t="shared" si="10"/>
        <v>21.5</v>
      </c>
      <c r="BB36" s="1071">
        <f>BA36*('Ввод исходных данных'!$D$83-AY36)</f>
        <v>296.7</v>
      </c>
      <c r="BC36" s="1072">
        <v>13.6</v>
      </c>
      <c r="BD36" s="1072"/>
      <c r="BE36" s="1072">
        <f t="shared" si="2"/>
        <v>0</v>
      </c>
      <c r="BF36" s="1073">
        <f>BE36*('Ввод исходных данных'!$D$83-BC36)</f>
        <v>0</v>
      </c>
    </row>
    <row r="37" spans="2:58" ht="15.75" customHeight="1" x14ac:dyDescent="0.25">
      <c r="B37" s="1051" t="s">
        <v>13</v>
      </c>
      <c r="C37" s="1052" t="s">
        <v>33</v>
      </c>
      <c r="D37" s="1053" t="str">
        <f t="shared" si="0"/>
        <v>Амурская областьУсть-Нюкжа</v>
      </c>
      <c r="E37" s="1054">
        <v>252</v>
      </c>
      <c r="F37" s="1055">
        <v>-15.1</v>
      </c>
      <c r="G37" s="1055">
        <v>-43</v>
      </c>
      <c r="H37" s="1057">
        <v>1.7</v>
      </c>
      <c r="I37" s="1058">
        <f>E37*('Ввод исходных данных'!$D$83-F37)</f>
        <v>8845.2000000000007</v>
      </c>
      <c r="J37" s="1059" t="str">
        <f t="shared" si="1"/>
        <v>8000-9000</v>
      </c>
      <c r="K37" s="1060">
        <v>17.600000000000001</v>
      </c>
      <c r="L37" s="1060"/>
      <c r="M37" s="1061">
        <f t="shared" si="3"/>
        <v>0</v>
      </c>
      <c r="N37" s="1062">
        <f>M37*('Ввод исходных данных'!$D$83-K37)</f>
        <v>0</v>
      </c>
      <c r="O37" s="1063">
        <v>14.5</v>
      </c>
      <c r="P37" s="1063"/>
      <c r="Q37" s="1063">
        <f t="shared" si="4"/>
        <v>0</v>
      </c>
      <c r="R37" s="1063">
        <f>Q37*('Ввод исходных данных'!$D$83-O37)</f>
        <v>0</v>
      </c>
      <c r="S37" s="1064">
        <v>6.6</v>
      </c>
      <c r="T37" s="1064"/>
      <c r="U37" s="1064">
        <f t="shared" si="5"/>
        <v>20</v>
      </c>
      <c r="V37" s="1064">
        <f>U37*('Ввод исходных данных'!$D$83-S37)</f>
        <v>268</v>
      </c>
      <c r="W37" s="1065">
        <v>-4.8</v>
      </c>
      <c r="X37" s="1065"/>
      <c r="Y37" s="1065">
        <f t="shared" si="6"/>
        <v>31</v>
      </c>
      <c r="Z37" s="1065">
        <f>Y37*('Ввод исходных данных'!$D$83-W37)</f>
        <v>768.80000000000007</v>
      </c>
      <c r="AA37" s="1066">
        <v>-20.6</v>
      </c>
      <c r="AB37" s="1066"/>
      <c r="AC37" s="1066">
        <f t="shared" si="7"/>
        <v>30</v>
      </c>
      <c r="AD37" s="1066">
        <f>AC37*('Ввод исходных данных'!$D$83-AA37)</f>
        <v>1218</v>
      </c>
      <c r="AE37" s="1067">
        <v>-30.2</v>
      </c>
      <c r="AF37" s="1067"/>
      <c r="AG37" s="1067">
        <v>31</v>
      </c>
      <c r="AH37" s="1067">
        <f>AG37*('Ввод исходных данных'!$D$83-AE37)</f>
        <v>1556.2</v>
      </c>
      <c r="AI37" s="1068">
        <v>-31.3</v>
      </c>
      <c r="AJ37" s="1068"/>
      <c r="AK37" s="1068">
        <v>31</v>
      </c>
      <c r="AL37" s="1068">
        <f>AK37*('Ввод исходных данных'!$D$83-AI37)</f>
        <v>1590.3</v>
      </c>
      <c r="AM37" s="1069">
        <v>-25.3</v>
      </c>
      <c r="AN37" s="1069"/>
      <c r="AO37" s="1069">
        <v>28</v>
      </c>
      <c r="AP37" s="1069">
        <f>AO37*('Ввод исходных данных'!$D$83-AM37)</f>
        <v>1268.3999999999999</v>
      </c>
      <c r="AQ37" s="1064">
        <v>-14.1</v>
      </c>
      <c r="AR37" s="1064"/>
      <c r="AS37" s="1064">
        <f t="shared" si="8"/>
        <v>31</v>
      </c>
      <c r="AT37" s="1064">
        <f>AS37*('Ввод исходных данных'!$D$83-AQ37)</f>
        <v>1057.1000000000001</v>
      </c>
      <c r="AU37" s="1070">
        <v>-2.1</v>
      </c>
      <c r="AV37" s="1070"/>
      <c r="AW37" s="1070">
        <f t="shared" si="9"/>
        <v>30</v>
      </c>
      <c r="AX37" s="1070">
        <f>AW37*('Ввод исходных данных'!$D$83-AU37)</f>
        <v>663</v>
      </c>
      <c r="AY37" s="1071">
        <v>7.1</v>
      </c>
      <c r="AZ37" s="1071"/>
      <c r="BA37" s="1071">
        <f t="shared" si="10"/>
        <v>20</v>
      </c>
      <c r="BB37" s="1071">
        <f>BA37*('Ввод исходных данных'!$D$83-AY37)</f>
        <v>258</v>
      </c>
      <c r="BC37" s="1072">
        <v>14.8</v>
      </c>
      <c r="BD37" s="1072"/>
      <c r="BE37" s="1072">
        <f t="shared" si="2"/>
        <v>0</v>
      </c>
      <c r="BF37" s="1073">
        <f>BE37*('Ввод исходных данных'!$D$83-BC37)</f>
        <v>0</v>
      </c>
    </row>
    <row r="38" spans="2:58" ht="15.75" customHeight="1" x14ac:dyDescent="0.25">
      <c r="B38" s="1074" t="s">
        <v>13</v>
      </c>
      <c r="C38" s="1076" t="s">
        <v>19</v>
      </c>
      <c r="D38" s="1053" t="str">
        <f t="shared" si="0"/>
        <v>Амурская областьЧерняево</v>
      </c>
      <c r="E38" s="1054">
        <v>229</v>
      </c>
      <c r="F38" s="1055">
        <v>-13.1</v>
      </c>
      <c r="G38" s="1055">
        <v>-40</v>
      </c>
      <c r="H38" s="1057">
        <v>3.7</v>
      </c>
      <c r="I38" s="1058">
        <f>E38*('Ввод исходных данных'!$D$83-F38)</f>
        <v>7579.9000000000005</v>
      </c>
      <c r="J38" s="1059" t="str">
        <f t="shared" si="1"/>
        <v>7000-8000</v>
      </c>
      <c r="K38" s="1060">
        <v>19.8</v>
      </c>
      <c r="L38" s="1060"/>
      <c r="M38" s="1061">
        <f t="shared" si="3"/>
        <v>0</v>
      </c>
      <c r="N38" s="1062">
        <f>M38*('Ввод исходных данных'!$D$83-K38)</f>
        <v>0</v>
      </c>
      <c r="O38" s="1063">
        <v>17</v>
      </c>
      <c r="P38" s="1063"/>
      <c r="Q38" s="1063">
        <f t="shared" si="4"/>
        <v>0</v>
      </c>
      <c r="R38" s="1063">
        <f>Q38*('Ввод исходных данных'!$D$83-O38)</f>
        <v>0</v>
      </c>
      <c r="S38" s="1064">
        <v>9.6999999999999993</v>
      </c>
      <c r="T38" s="1064"/>
      <c r="U38" s="1064">
        <f t="shared" si="5"/>
        <v>8.5</v>
      </c>
      <c r="V38" s="1064">
        <f>U38*('Ввод исходных данных'!$D$83-S38)</f>
        <v>87.550000000000011</v>
      </c>
      <c r="W38" s="1065">
        <v>-0.7</v>
      </c>
      <c r="X38" s="1065"/>
      <c r="Y38" s="1065">
        <f t="shared" si="6"/>
        <v>31</v>
      </c>
      <c r="Z38" s="1065">
        <f>Y38*('Ввод исходных данных'!$D$83-W38)</f>
        <v>641.69999999999993</v>
      </c>
      <c r="AA38" s="1066">
        <v>-15.8</v>
      </c>
      <c r="AB38" s="1066"/>
      <c r="AC38" s="1066">
        <f t="shared" si="7"/>
        <v>30</v>
      </c>
      <c r="AD38" s="1066">
        <f>AC38*('Ввод исходных данных'!$D$83-AA38)</f>
        <v>1074</v>
      </c>
      <c r="AE38" s="1067">
        <v>-25.1</v>
      </c>
      <c r="AF38" s="1067"/>
      <c r="AG38" s="1067">
        <v>31</v>
      </c>
      <c r="AH38" s="1067">
        <f>AG38*('Ввод исходных данных'!$D$83-AE38)</f>
        <v>1398.1000000000001</v>
      </c>
      <c r="AI38" s="1068">
        <v>-26.6</v>
      </c>
      <c r="AJ38" s="1068"/>
      <c r="AK38" s="1068">
        <v>31</v>
      </c>
      <c r="AL38" s="1068">
        <f>AK38*('Ввод исходных данных'!$D$83-AI38)</f>
        <v>1444.6000000000001</v>
      </c>
      <c r="AM38" s="1069">
        <v>-21.5</v>
      </c>
      <c r="AN38" s="1069"/>
      <c r="AO38" s="1069">
        <v>28</v>
      </c>
      <c r="AP38" s="1069">
        <f>AO38*('Ввод исходных данных'!$D$83-AM38)</f>
        <v>1162</v>
      </c>
      <c r="AQ38" s="1064">
        <v>-11.2</v>
      </c>
      <c r="AR38" s="1064"/>
      <c r="AS38" s="1064">
        <f t="shared" si="8"/>
        <v>31</v>
      </c>
      <c r="AT38" s="1064">
        <f>AS38*('Ввод исходных данных'!$D$83-AQ38)</f>
        <v>967.19999999999993</v>
      </c>
      <c r="AU38" s="1070">
        <v>1.5</v>
      </c>
      <c r="AV38" s="1070"/>
      <c r="AW38" s="1070">
        <f t="shared" si="9"/>
        <v>30</v>
      </c>
      <c r="AX38" s="1070">
        <f>AW38*('Ввод исходных данных'!$D$83-AU38)</f>
        <v>555</v>
      </c>
      <c r="AY38" s="1071">
        <v>10.199999999999999</v>
      </c>
      <c r="AZ38" s="1071"/>
      <c r="BA38" s="1071">
        <f t="shared" si="10"/>
        <v>8.5</v>
      </c>
      <c r="BB38" s="1071">
        <f>BA38*('Ввод исходных данных'!$D$83-AY38)</f>
        <v>83.300000000000011</v>
      </c>
      <c r="BC38" s="1072">
        <v>17.2</v>
      </c>
      <c r="BD38" s="1072"/>
      <c r="BE38" s="1072">
        <f t="shared" si="2"/>
        <v>0</v>
      </c>
      <c r="BF38" s="1073">
        <f>BE38*('Ввод исходных данных'!$D$83-BC38)</f>
        <v>0</v>
      </c>
    </row>
    <row r="39" spans="2:58" ht="15.75" customHeight="1" x14ac:dyDescent="0.25">
      <c r="B39" s="1051" t="s">
        <v>13</v>
      </c>
      <c r="C39" s="1052" t="s">
        <v>26</v>
      </c>
      <c r="D39" s="1053" t="str">
        <f t="shared" si="0"/>
        <v>Амурская областьШимановск</v>
      </c>
      <c r="E39" s="1054">
        <v>233</v>
      </c>
      <c r="F39" s="1055">
        <v>-12.5</v>
      </c>
      <c r="G39" s="1055">
        <v>-38</v>
      </c>
      <c r="H39" s="1057">
        <v>2.2999999999999998</v>
      </c>
      <c r="I39" s="1058">
        <f>E39*('Ввод исходных данных'!$D$83-F39)</f>
        <v>7572.5</v>
      </c>
      <c r="J39" s="1059" t="str">
        <f t="shared" si="1"/>
        <v>7000-8000</v>
      </c>
      <c r="K39" s="1060">
        <v>19.7</v>
      </c>
      <c r="L39" s="1060"/>
      <c r="M39" s="1061">
        <f t="shared" si="3"/>
        <v>0</v>
      </c>
      <c r="N39" s="1062">
        <f>M39*('Ввод исходных данных'!$D$83-K39)</f>
        <v>0</v>
      </c>
      <c r="O39" s="1063">
        <v>16.899999999999999</v>
      </c>
      <c r="P39" s="1063"/>
      <c r="Q39" s="1063">
        <f t="shared" si="4"/>
        <v>0</v>
      </c>
      <c r="R39" s="1063">
        <f>Q39*('Ввод исходных данных'!$D$83-O39)</f>
        <v>0</v>
      </c>
      <c r="S39" s="1064">
        <v>10</v>
      </c>
      <c r="T39" s="1064"/>
      <c r="U39" s="1064">
        <f t="shared" si="5"/>
        <v>10.5</v>
      </c>
      <c r="V39" s="1064">
        <f>U39*('Ввод исходных данных'!$D$83-S39)</f>
        <v>105</v>
      </c>
      <c r="W39" s="1065">
        <v>-0.8</v>
      </c>
      <c r="X39" s="1065"/>
      <c r="Y39" s="1065">
        <f t="shared" si="6"/>
        <v>31</v>
      </c>
      <c r="Z39" s="1065">
        <f>Y39*('Ввод исходных данных'!$D$83-W39)</f>
        <v>644.80000000000007</v>
      </c>
      <c r="AA39" s="1066">
        <v>-15.7</v>
      </c>
      <c r="AB39" s="1066"/>
      <c r="AC39" s="1066">
        <f t="shared" si="7"/>
        <v>30</v>
      </c>
      <c r="AD39" s="1066">
        <f>AC39*('Ввод исходных данных'!$D$83-AA39)</f>
        <v>1071</v>
      </c>
      <c r="AE39" s="1067">
        <v>-25.3</v>
      </c>
      <c r="AF39" s="1067"/>
      <c r="AG39" s="1067">
        <v>31</v>
      </c>
      <c r="AH39" s="1067">
        <f>AG39*('Ввод исходных данных'!$D$83-AE39)</f>
        <v>1404.3</v>
      </c>
      <c r="AI39" s="1068">
        <v>-27.7</v>
      </c>
      <c r="AJ39" s="1068"/>
      <c r="AK39" s="1068">
        <v>31</v>
      </c>
      <c r="AL39" s="1068">
        <f>AK39*('Ввод исходных данных'!$D$83-AI39)</f>
        <v>1478.7</v>
      </c>
      <c r="AM39" s="1069">
        <v>-21.9</v>
      </c>
      <c r="AN39" s="1069"/>
      <c r="AO39" s="1069">
        <v>28</v>
      </c>
      <c r="AP39" s="1069">
        <f>AO39*('Ввод исходных данных'!$D$83-AM39)</f>
        <v>1173.2</v>
      </c>
      <c r="AQ39" s="1064">
        <v>-12.2</v>
      </c>
      <c r="AR39" s="1064"/>
      <c r="AS39" s="1064">
        <f t="shared" si="8"/>
        <v>31</v>
      </c>
      <c r="AT39" s="1064">
        <f>AS39*('Ввод исходных данных'!$D$83-AQ39)</f>
        <v>998.2</v>
      </c>
      <c r="AU39" s="1070">
        <v>0.6</v>
      </c>
      <c r="AV39" s="1070"/>
      <c r="AW39" s="1070">
        <f t="shared" si="9"/>
        <v>30</v>
      </c>
      <c r="AX39" s="1070">
        <f>AW39*('Ввод исходных данных'!$D$83-AU39)</f>
        <v>582</v>
      </c>
      <c r="AY39" s="1071">
        <v>9.1</v>
      </c>
      <c r="AZ39" s="1071"/>
      <c r="BA39" s="1071">
        <f t="shared" si="10"/>
        <v>10.5</v>
      </c>
      <c r="BB39" s="1071">
        <f>BA39*('Ввод исходных данных'!$D$83-AY39)</f>
        <v>114.45</v>
      </c>
      <c r="BC39" s="1072">
        <v>16.100000000000001</v>
      </c>
      <c r="BD39" s="1072"/>
      <c r="BE39" s="1072">
        <f t="shared" si="2"/>
        <v>0</v>
      </c>
      <c r="BF39" s="1073">
        <f>BE39*('Ввод исходных данных'!$D$83-BC39)</f>
        <v>0</v>
      </c>
    </row>
    <row r="40" spans="2:58" ht="15.75" customHeight="1" x14ac:dyDescent="0.25">
      <c r="B40" s="1074" t="s">
        <v>13</v>
      </c>
      <c r="C40" s="1076" t="s">
        <v>21</v>
      </c>
      <c r="D40" s="1053" t="str">
        <f t="shared" si="0"/>
        <v>Амурская областьЭкимчан</v>
      </c>
      <c r="E40" s="1054">
        <v>249</v>
      </c>
      <c r="F40" s="1055">
        <v>-14.4</v>
      </c>
      <c r="G40" s="1055">
        <v>-42</v>
      </c>
      <c r="H40" s="1057">
        <v>1.6</v>
      </c>
      <c r="I40" s="1058">
        <f>E40*('Ввод исходных данных'!$D$83-F40)</f>
        <v>8565.6</v>
      </c>
      <c r="J40" s="1059" t="str">
        <f t="shared" si="1"/>
        <v>8000-9000</v>
      </c>
      <c r="K40" s="1060">
        <v>17.2</v>
      </c>
      <c r="L40" s="1060"/>
      <c r="M40" s="1061">
        <f t="shared" si="3"/>
        <v>0</v>
      </c>
      <c r="N40" s="1062">
        <f>M40*('Ввод исходных данных'!$D$83-K40)</f>
        <v>0</v>
      </c>
      <c r="O40" s="1063">
        <v>14.6</v>
      </c>
      <c r="P40" s="1063"/>
      <c r="Q40" s="1063">
        <f t="shared" si="4"/>
        <v>0</v>
      </c>
      <c r="R40" s="1063">
        <f>Q40*('Ввод исходных данных'!$D$83-O40)</f>
        <v>0</v>
      </c>
      <c r="S40" s="1064">
        <v>7.5</v>
      </c>
      <c r="T40" s="1064"/>
      <c r="U40" s="1064">
        <f t="shared" si="5"/>
        <v>18.5</v>
      </c>
      <c r="V40" s="1064">
        <f>U40*('Ввод исходных данных'!$D$83-S40)</f>
        <v>231.25</v>
      </c>
      <c r="W40" s="1065">
        <v>-2.9</v>
      </c>
      <c r="X40" s="1065"/>
      <c r="Y40" s="1065">
        <f t="shared" si="6"/>
        <v>31</v>
      </c>
      <c r="Z40" s="1065">
        <f>Y40*('Ввод исходных данных'!$D$83-W40)</f>
        <v>709.9</v>
      </c>
      <c r="AA40" s="1066">
        <v>-18.399999999999999</v>
      </c>
      <c r="AB40" s="1066"/>
      <c r="AC40" s="1066">
        <f t="shared" si="7"/>
        <v>30</v>
      </c>
      <c r="AD40" s="1066">
        <f>AC40*('Ввод исходных данных'!$D$83-AA40)</f>
        <v>1152</v>
      </c>
      <c r="AE40" s="1067">
        <v>-29.6</v>
      </c>
      <c r="AF40" s="1067"/>
      <c r="AG40" s="1067">
        <v>31</v>
      </c>
      <c r="AH40" s="1067">
        <f>AG40*('Ввод исходных данных'!$D$83-AE40)</f>
        <v>1537.6000000000001</v>
      </c>
      <c r="AI40" s="1068">
        <v>-30.8</v>
      </c>
      <c r="AJ40" s="1068"/>
      <c r="AK40" s="1068">
        <v>31</v>
      </c>
      <c r="AL40" s="1068">
        <f>AK40*('Ввод исходных данных'!$D$83-AI40)</f>
        <v>1574.8</v>
      </c>
      <c r="AM40" s="1069">
        <v>-24.3</v>
      </c>
      <c r="AN40" s="1069"/>
      <c r="AO40" s="1069">
        <v>28</v>
      </c>
      <c r="AP40" s="1069">
        <f>AO40*('Ввод исходных данных'!$D$83-AM40)</f>
        <v>1240.3999999999999</v>
      </c>
      <c r="AQ40" s="1064">
        <v>-13.5</v>
      </c>
      <c r="AR40" s="1064"/>
      <c r="AS40" s="1064">
        <f t="shared" si="8"/>
        <v>31</v>
      </c>
      <c r="AT40" s="1064">
        <f>AS40*('Ввод исходных данных'!$D$83-AQ40)</f>
        <v>1038.5</v>
      </c>
      <c r="AU40" s="1070">
        <v>-1.5</v>
      </c>
      <c r="AV40" s="1070"/>
      <c r="AW40" s="1070">
        <f t="shared" si="9"/>
        <v>30</v>
      </c>
      <c r="AX40" s="1070">
        <f>AW40*('Ввод исходных данных'!$D$83-AU40)</f>
        <v>645</v>
      </c>
      <c r="AY40" s="1071">
        <v>7.3</v>
      </c>
      <c r="AZ40" s="1071"/>
      <c r="BA40" s="1071">
        <f t="shared" si="10"/>
        <v>18.5</v>
      </c>
      <c r="BB40" s="1071">
        <f>BA40*('Ввод исходных данных'!$D$83-AY40)</f>
        <v>234.95</v>
      </c>
      <c r="BC40" s="1072">
        <v>14.3</v>
      </c>
      <c r="BD40" s="1072"/>
      <c r="BE40" s="1072">
        <f t="shared" si="2"/>
        <v>0</v>
      </c>
      <c r="BF40" s="1073">
        <f>BE40*('Ввод исходных данных'!$D$83-BC40)</f>
        <v>0</v>
      </c>
    </row>
    <row r="41" spans="2:58" ht="15.75" customHeight="1" x14ac:dyDescent="0.25">
      <c r="B41" s="1051" t="s">
        <v>36</v>
      </c>
      <c r="C41" s="1052" t="s">
        <v>37</v>
      </c>
      <c r="D41" s="1053" t="str">
        <f t="shared" si="0"/>
        <v>Архангельская областьАрхангельск</v>
      </c>
      <c r="E41" s="1054">
        <v>250</v>
      </c>
      <c r="F41" s="1055">
        <v>-4.5</v>
      </c>
      <c r="G41" s="1055">
        <v>-33</v>
      </c>
      <c r="H41" s="1057">
        <v>3.4</v>
      </c>
      <c r="I41" s="1058">
        <f>E41*('Ввод исходных данных'!$D$83-F41)</f>
        <v>6125</v>
      </c>
      <c r="J41" s="1059" t="str">
        <f t="shared" si="1"/>
        <v>6000-7000</v>
      </c>
      <c r="K41" s="1060">
        <v>16</v>
      </c>
      <c r="L41" s="1060"/>
      <c r="M41" s="1061">
        <f t="shared" si="3"/>
        <v>0</v>
      </c>
      <c r="N41" s="1062">
        <f>M41*('Ввод исходных данных'!$D$83-K41)</f>
        <v>0</v>
      </c>
      <c r="O41" s="1063">
        <v>13.2</v>
      </c>
      <c r="P41" s="1063"/>
      <c r="Q41" s="1063">
        <f t="shared" si="4"/>
        <v>0</v>
      </c>
      <c r="R41" s="1063">
        <f>Q41*('Ввод исходных данных'!$D$83-O41)</f>
        <v>0</v>
      </c>
      <c r="S41" s="1064">
        <v>8</v>
      </c>
      <c r="T41" s="1064"/>
      <c r="U41" s="1064">
        <f t="shared" si="5"/>
        <v>19</v>
      </c>
      <c r="V41" s="1064">
        <f>U41*('Ввод исходных данных'!$D$83-S41)</f>
        <v>228</v>
      </c>
      <c r="W41" s="1065">
        <v>1.8</v>
      </c>
      <c r="X41" s="1065"/>
      <c r="Y41" s="1065">
        <f t="shared" si="6"/>
        <v>31</v>
      </c>
      <c r="Z41" s="1065">
        <f>Y41*('Ввод исходных данных'!$D$83-W41)</f>
        <v>564.19999999999993</v>
      </c>
      <c r="AA41" s="1066">
        <v>-4.8</v>
      </c>
      <c r="AB41" s="1066"/>
      <c r="AC41" s="1066">
        <f t="shared" si="7"/>
        <v>30</v>
      </c>
      <c r="AD41" s="1066">
        <f>AC41*('Ввод исходных данных'!$D$83-AA41)</f>
        <v>744</v>
      </c>
      <c r="AE41" s="1067">
        <v>-9.9</v>
      </c>
      <c r="AF41" s="1067"/>
      <c r="AG41" s="1067">
        <v>31</v>
      </c>
      <c r="AH41" s="1067">
        <f>AG41*('Ввод исходных данных'!$D$83-AE41)</f>
        <v>926.9</v>
      </c>
      <c r="AI41" s="1068">
        <v>-13.6</v>
      </c>
      <c r="AJ41" s="1068"/>
      <c r="AK41" s="1068">
        <v>31</v>
      </c>
      <c r="AL41" s="1068">
        <f>AK41*('Ввод исходных данных'!$D$83-AI41)</f>
        <v>1041.6000000000001</v>
      </c>
      <c r="AM41" s="1069">
        <v>-12.1</v>
      </c>
      <c r="AN41" s="1069"/>
      <c r="AO41" s="1069">
        <v>28</v>
      </c>
      <c r="AP41" s="1069">
        <f>AO41*('Ввод исходных данных'!$D$83-AM41)</f>
        <v>898.80000000000007</v>
      </c>
      <c r="AQ41" s="1064">
        <v>-5.7</v>
      </c>
      <c r="AR41" s="1064"/>
      <c r="AS41" s="1064">
        <f t="shared" si="8"/>
        <v>31</v>
      </c>
      <c r="AT41" s="1064">
        <f>AS41*('Ввод исходных данных'!$D$83-AQ41)</f>
        <v>796.69999999999993</v>
      </c>
      <c r="AU41" s="1070">
        <v>0.1</v>
      </c>
      <c r="AV41" s="1070"/>
      <c r="AW41" s="1070">
        <f t="shared" si="9"/>
        <v>30</v>
      </c>
      <c r="AX41" s="1070">
        <f>AW41*('Ввод исходных данных'!$D$83-AU41)</f>
        <v>597</v>
      </c>
      <c r="AY41" s="1071">
        <v>6.6</v>
      </c>
      <c r="AZ41" s="1071"/>
      <c r="BA41" s="1071">
        <f t="shared" si="10"/>
        <v>19</v>
      </c>
      <c r="BB41" s="1071">
        <f>BA41*('Ввод исходных данных'!$D$83-AY41)</f>
        <v>254.6</v>
      </c>
      <c r="BC41" s="1072">
        <v>12.7</v>
      </c>
      <c r="BD41" s="1072"/>
      <c r="BE41" s="1072">
        <f t="shared" si="2"/>
        <v>0</v>
      </c>
      <c r="BF41" s="1073">
        <f>BE41*('Ввод исходных данных'!$D$83-BC41)</f>
        <v>0</v>
      </c>
    </row>
    <row r="42" spans="2:58" ht="15.75" customHeight="1" x14ac:dyDescent="0.25">
      <c r="B42" s="1074" t="s">
        <v>36</v>
      </c>
      <c r="C42" s="1076" t="s">
        <v>38</v>
      </c>
      <c r="D42" s="1053" t="str">
        <f t="shared" si="0"/>
        <v>Архангельская областьБорковская</v>
      </c>
      <c r="E42" s="1054">
        <v>277</v>
      </c>
      <c r="F42" s="1055">
        <v>-6.6</v>
      </c>
      <c r="G42" s="1055">
        <v>-42</v>
      </c>
      <c r="H42" s="1057">
        <f>H41</f>
        <v>3.4</v>
      </c>
      <c r="I42" s="1058">
        <f>E42*('Ввод исходных данных'!$D$83-F42)</f>
        <v>7368.2000000000007</v>
      </c>
      <c r="J42" s="1059" t="str">
        <f t="shared" si="1"/>
        <v>7000-8000</v>
      </c>
      <c r="K42" s="1060">
        <v>13.5</v>
      </c>
      <c r="L42" s="1060"/>
      <c r="M42" s="1061">
        <f t="shared" si="3"/>
        <v>0</v>
      </c>
      <c r="N42" s="1062">
        <f>M42*('Ввод исходных данных'!$D$83-K42)</f>
        <v>0</v>
      </c>
      <c r="O42" s="1063">
        <v>11</v>
      </c>
      <c r="P42" s="1063"/>
      <c r="Q42" s="1063">
        <f t="shared" si="4"/>
        <v>2</v>
      </c>
      <c r="R42" s="1063">
        <f>Q42*('Ввод исходных данных'!$D$83-O42)</f>
        <v>18</v>
      </c>
      <c r="S42" s="1064">
        <v>5.5</v>
      </c>
      <c r="T42" s="1064"/>
      <c r="U42" s="1064">
        <f t="shared" si="5"/>
        <v>30</v>
      </c>
      <c r="V42" s="1064">
        <f>U42*('Ввод исходных данных'!$D$83-S42)</f>
        <v>435</v>
      </c>
      <c r="W42" s="1065">
        <v>-1.7</v>
      </c>
      <c r="X42" s="1065"/>
      <c r="Y42" s="1065">
        <f t="shared" si="6"/>
        <v>31</v>
      </c>
      <c r="Z42" s="1065">
        <f>Y42*('Ввод исходных данных'!$D$83-W42)</f>
        <v>672.69999999999993</v>
      </c>
      <c r="AA42" s="1066">
        <v>-8.1</v>
      </c>
      <c r="AB42" s="1066"/>
      <c r="AC42" s="1066">
        <f t="shared" si="7"/>
        <v>30</v>
      </c>
      <c r="AD42" s="1066">
        <f>AC42*('Ввод исходных данных'!$D$83-AA42)</f>
        <v>843</v>
      </c>
      <c r="AE42" s="1067">
        <v>-13.9</v>
      </c>
      <c r="AF42" s="1067"/>
      <c r="AG42" s="1067">
        <v>31</v>
      </c>
      <c r="AH42" s="1067">
        <f>AG42*('Ввод исходных данных'!$D$83-AE42)</f>
        <v>1050.8999999999999</v>
      </c>
      <c r="AI42" s="1068">
        <v>-17.8</v>
      </c>
      <c r="AJ42" s="1068"/>
      <c r="AK42" s="1068">
        <v>31</v>
      </c>
      <c r="AL42" s="1068">
        <f>AK42*('Ввод исходных данных'!$D$83-AI42)</f>
        <v>1171.8</v>
      </c>
      <c r="AM42" s="1069">
        <v>-16.399999999999999</v>
      </c>
      <c r="AN42" s="1069"/>
      <c r="AO42" s="1069">
        <v>28</v>
      </c>
      <c r="AP42" s="1069">
        <f>AO42*('Ввод исходных данных'!$D$83-AM42)</f>
        <v>1019.1999999999999</v>
      </c>
      <c r="AQ42" s="1064">
        <v>-11.2</v>
      </c>
      <c r="AR42" s="1064"/>
      <c r="AS42" s="1064">
        <f t="shared" si="8"/>
        <v>31</v>
      </c>
      <c r="AT42" s="1064">
        <f>AS42*('Ввод исходных данных'!$D$83-AQ42)</f>
        <v>967.19999999999993</v>
      </c>
      <c r="AU42" s="1070">
        <v>-2.9</v>
      </c>
      <c r="AV42" s="1070"/>
      <c r="AW42" s="1070">
        <f t="shared" si="9"/>
        <v>30</v>
      </c>
      <c r="AX42" s="1070">
        <f>AW42*('Ввод исходных данных'!$D$83-AU42)</f>
        <v>687</v>
      </c>
      <c r="AY42" s="1071">
        <v>3.1</v>
      </c>
      <c r="AZ42" s="1071"/>
      <c r="BA42" s="1071">
        <f t="shared" si="10"/>
        <v>31</v>
      </c>
      <c r="BB42" s="1071">
        <f>BA42*('Ввод исходных данных'!$D$83-AY42)</f>
        <v>523.9</v>
      </c>
      <c r="BC42" s="1072">
        <v>10.199999999999999</v>
      </c>
      <c r="BD42" s="1072"/>
      <c r="BE42" s="1072">
        <f t="shared" si="2"/>
        <v>2</v>
      </c>
      <c r="BF42" s="1073">
        <f>BE42*('Ввод исходных данных'!$D$83-BC42)</f>
        <v>19.600000000000001</v>
      </c>
    </row>
    <row r="43" spans="2:58" ht="15.75" customHeight="1" x14ac:dyDescent="0.25">
      <c r="B43" s="1051" t="s">
        <v>36</v>
      </c>
      <c r="C43" s="1052" t="s">
        <v>39</v>
      </c>
      <c r="D43" s="1053" t="str">
        <f t="shared" si="0"/>
        <v>Архангельская областьЕмецк</v>
      </c>
      <c r="E43" s="1054">
        <v>249</v>
      </c>
      <c r="F43" s="1055">
        <v>-4.7</v>
      </c>
      <c r="G43" s="1055">
        <v>-33</v>
      </c>
      <c r="H43" s="1057">
        <f>H42</f>
        <v>3.4</v>
      </c>
      <c r="I43" s="1058">
        <f>E43*('Ввод исходных данных'!$D$83-F43)</f>
        <v>6150.3</v>
      </c>
      <c r="J43" s="1059" t="str">
        <f t="shared" si="1"/>
        <v>6000-7000</v>
      </c>
      <c r="K43" s="1060">
        <v>16.100000000000001</v>
      </c>
      <c r="L43" s="1060"/>
      <c r="M43" s="1061">
        <f t="shared" si="3"/>
        <v>0</v>
      </c>
      <c r="N43" s="1062">
        <f>M43*('Ввод исходных данных'!$D$83-K43)</f>
        <v>0</v>
      </c>
      <c r="O43" s="1063">
        <v>13.9</v>
      </c>
      <c r="P43" s="1063"/>
      <c r="Q43" s="1063">
        <f t="shared" si="4"/>
        <v>0</v>
      </c>
      <c r="R43" s="1063">
        <f>Q43*('Ввод исходных данных'!$D$83-O43)</f>
        <v>0</v>
      </c>
      <c r="S43" s="1064">
        <v>8</v>
      </c>
      <c r="T43" s="1064"/>
      <c r="U43" s="1064">
        <f t="shared" si="5"/>
        <v>18.5</v>
      </c>
      <c r="V43" s="1064">
        <f>U43*('Ввод исходных данных'!$D$83-S43)</f>
        <v>222</v>
      </c>
      <c r="W43" s="1065">
        <v>1.2</v>
      </c>
      <c r="X43" s="1065"/>
      <c r="Y43" s="1065">
        <f t="shared" si="6"/>
        <v>31</v>
      </c>
      <c r="Z43" s="1065">
        <f>Y43*('Ввод исходных данных'!$D$83-W43)</f>
        <v>582.80000000000007</v>
      </c>
      <c r="AA43" s="1066">
        <v>-4.5</v>
      </c>
      <c r="AB43" s="1066"/>
      <c r="AC43" s="1066">
        <f t="shared" si="7"/>
        <v>30</v>
      </c>
      <c r="AD43" s="1066">
        <f>AC43*('Ввод исходных данных'!$D$83-AA43)</f>
        <v>735</v>
      </c>
      <c r="AE43" s="1067">
        <v>-10.199999999999999</v>
      </c>
      <c r="AF43" s="1067"/>
      <c r="AG43" s="1067">
        <v>31</v>
      </c>
      <c r="AH43" s="1067">
        <f>AG43*('Ввод исходных данных'!$D$83-AE43)</f>
        <v>936.19999999999993</v>
      </c>
      <c r="AI43" s="1068">
        <v>-14.1</v>
      </c>
      <c r="AJ43" s="1068"/>
      <c r="AK43" s="1068">
        <v>31</v>
      </c>
      <c r="AL43" s="1068">
        <f>AK43*('Ввод исходных данных'!$D$83-AI43)</f>
        <v>1057.1000000000001</v>
      </c>
      <c r="AM43" s="1069">
        <v>-12.8</v>
      </c>
      <c r="AN43" s="1069"/>
      <c r="AO43" s="1069">
        <v>28</v>
      </c>
      <c r="AP43" s="1069">
        <f>AO43*('Ввод исходных данных'!$D$83-AM43)</f>
        <v>918.39999999999986</v>
      </c>
      <c r="AQ43" s="1064">
        <v>-7.3</v>
      </c>
      <c r="AR43" s="1064"/>
      <c r="AS43" s="1064">
        <f t="shared" si="8"/>
        <v>31</v>
      </c>
      <c r="AT43" s="1064">
        <f>AS43*('Ввод исходных данных'!$D$83-AQ43)</f>
        <v>846.30000000000007</v>
      </c>
      <c r="AU43" s="1070">
        <v>-0.1</v>
      </c>
      <c r="AV43" s="1070"/>
      <c r="AW43" s="1070">
        <f t="shared" si="9"/>
        <v>30</v>
      </c>
      <c r="AX43" s="1070">
        <f>AW43*('Ввод исходных данных'!$D$83-AU43)</f>
        <v>603</v>
      </c>
      <c r="AY43" s="1071">
        <v>6.6</v>
      </c>
      <c r="AZ43" s="1071"/>
      <c r="BA43" s="1071">
        <f t="shared" si="10"/>
        <v>18.5</v>
      </c>
      <c r="BB43" s="1071">
        <f>BA43*('Ввод исходных данных'!$D$83-AY43)</f>
        <v>247.9</v>
      </c>
      <c r="BC43" s="1072">
        <v>13.4</v>
      </c>
      <c r="BD43" s="1072"/>
      <c r="BE43" s="1072">
        <f t="shared" si="2"/>
        <v>0</v>
      </c>
      <c r="BF43" s="1073">
        <f>BE43*('Ввод исходных данных'!$D$83-BC43)</f>
        <v>0</v>
      </c>
    </row>
    <row r="44" spans="2:58" ht="15.75" customHeight="1" x14ac:dyDescent="0.25">
      <c r="B44" s="1074" t="s">
        <v>36</v>
      </c>
      <c r="C44" s="1076" t="s">
        <v>41</v>
      </c>
      <c r="D44" s="1053" t="str">
        <f t="shared" si="0"/>
        <v>Архангельская областьКойнас</v>
      </c>
      <c r="E44" s="1054">
        <v>262</v>
      </c>
      <c r="F44" s="1055">
        <v>-6.2</v>
      </c>
      <c r="G44" s="1055">
        <v>-41</v>
      </c>
      <c r="H44" s="1057">
        <v>2</v>
      </c>
      <c r="I44" s="1058">
        <f>E44*('Ввод исходных данных'!$D$83-F44)</f>
        <v>6864.4</v>
      </c>
      <c r="J44" s="1059" t="str">
        <f t="shared" si="1"/>
        <v>6000-7000</v>
      </c>
      <c r="K44" s="1060">
        <v>16.100000000000001</v>
      </c>
      <c r="L44" s="1060"/>
      <c r="M44" s="1061">
        <f t="shared" si="3"/>
        <v>0</v>
      </c>
      <c r="N44" s="1062">
        <f>M44*('Ввод исходных данных'!$D$83-K44)</f>
        <v>0</v>
      </c>
      <c r="O44" s="1063">
        <v>12.4</v>
      </c>
      <c r="P44" s="1063"/>
      <c r="Q44" s="1063">
        <f t="shared" si="4"/>
        <v>0</v>
      </c>
      <c r="R44" s="1063">
        <f>Q44*('Ввод исходных данных'!$D$83-O44)</f>
        <v>0</v>
      </c>
      <c r="S44" s="1064">
        <v>6.9</v>
      </c>
      <c r="T44" s="1064"/>
      <c r="U44" s="1064">
        <f t="shared" si="5"/>
        <v>25</v>
      </c>
      <c r="V44" s="1064">
        <f>U44*('Ввод исходных данных'!$D$83-S44)</f>
        <v>327.5</v>
      </c>
      <c r="W44" s="1065">
        <v>0.1</v>
      </c>
      <c r="X44" s="1065"/>
      <c r="Y44" s="1065">
        <f t="shared" si="6"/>
        <v>31</v>
      </c>
      <c r="Z44" s="1065">
        <f>Y44*('Ввод исходных данных'!$D$83-W44)</f>
        <v>616.9</v>
      </c>
      <c r="AA44" s="1066">
        <v>-7.5</v>
      </c>
      <c r="AB44" s="1066"/>
      <c r="AC44" s="1066">
        <f t="shared" si="7"/>
        <v>30</v>
      </c>
      <c r="AD44" s="1066">
        <f>AC44*('Ввод исходных данных'!$D$83-AA44)</f>
        <v>825</v>
      </c>
      <c r="AE44" s="1067">
        <v>-13.1</v>
      </c>
      <c r="AF44" s="1067"/>
      <c r="AG44" s="1067">
        <v>31</v>
      </c>
      <c r="AH44" s="1067">
        <f>AG44*('Ввод исходных данных'!$D$83-AE44)</f>
        <v>1026.1000000000001</v>
      </c>
      <c r="AI44" s="1068">
        <v>-17.2</v>
      </c>
      <c r="AJ44" s="1068"/>
      <c r="AK44" s="1068">
        <v>31</v>
      </c>
      <c r="AL44" s="1068">
        <f>AK44*('Ввод исходных данных'!$D$83-AI44)</f>
        <v>1153.2</v>
      </c>
      <c r="AM44" s="1069">
        <v>-15</v>
      </c>
      <c r="AN44" s="1069"/>
      <c r="AO44" s="1069">
        <v>28</v>
      </c>
      <c r="AP44" s="1069">
        <f>AO44*('Ввод исходных данных'!$D$83-AM44)</f>
        <v>980</v>
      </c>
      <c r="AQ44" s="1064">
        <v>-7.1</v>
      </c>
      <c r="AR44" s="1064"/>
      <c r="AS44" s="1064">
        <f t="shared" si="8"/>
        <v>31</v>
      </c>
      <c r="AT44" s="1064">
        <f>AS44*('Ввод исходных данных'!$D$83-AQ44)</f>
        <v>840.1</v>
      </c>
      <c r="AU44" s="1070">
        <v>-1.1000000000000001</v>
      </c>
      <c r="AV44" s="1070"/>
      <c r="AW44" s="1070">
        <f t="shared" si="9"/>
        <v>30</v>
      </c>
      <c r="AX44" s="1070">
        <f>AW44*('Ввод исходных данных'!$D$83-AU44)</f>
        <v>633</v>
      </c>
      <c r="AY44" s="1071">
        <v>5.4</v>
      </c>
      <c r="AZ44" s="1071"/>
      <c r="BA44" s="1071">
        <f t="shared" si="10"/>
        <v>25</v>
      </c>
      <c r="BB44" s="1071">
        <f>BA44*('Ввод исходных данных'!$D$83-AY44)</f>
        <v>365</v>
      </c>
      <c r="BC44" s="1072">
        <v>12.3</v>
      </c>
      <c r="BD44" s="1072"/>
      <c r="BE44" s="1072">
        <f t="shared" si="2"/>
        <v>0</v>
      </c>
      <c r="BF44" s="1073">
        <f>BE44*('Ввод исходных данных'!$D$83-BC44)</f>
        <v>0</v>
      </c>
    </row>
    <row r="45" spans="2:58" ht="15.75" customHeight="1" x14ac:dyDescent="0.25">
      <c r="B45" s="1051" t="s">
        <v>36</v>
      </c>
      <c r="C45" s="1052" t="s">
        <v>40</v>
      </c>
      <c r="D45" s="1053" t="str">
        <f t="shared" si="0"/>
        <v>Архангельская областьКотлас</v>
      </c>
      <c r="E45" s="1054">
        <v>237</v>
      </c>
      <c r="F45" s="1055">
        <v>-5</v>
      </c>
      <c r="G45" s="1055">
        <v>-31</v>
      </c>
      <c r="H45" s="1057">
        <v>4.5999999999999996</v>
      </c>
      <c r="I45" s="1058">
        <f>E45*('Ввод исходных данных'!$D$83-F45)</f>
        <v>5925</v>
      </c>
      <c r="J45" s="1059" t="str">
        <f t="shared" si="1"/>
        <v>5000-6000</v>
      </c>
      <c r="K45" s="1060">
        <v>17.3</v>
      </c>
      <c r="L45" s="1060"/>
      <c r="M45" s="1061">
        <f t="shared" si="3"/>
        <v>0</v>
      </c>
      <c r="N45" s="1062">
        <f>M45*('Ввод исходных данных'!$D$83-K45)</f>
        <v>0</v>
      </c>
      <c r="O45" s="1063">
        <v>14.2</v>
      </c>
      <c r="P45" s="1063"/>
      <c r="Q45" s="1063">
        <f t="shared" si="4"/>
        <v>0</v>
      </c>
      <c r="R45" s="1063">
        <f>Q45*('Ввод исходных данных'!$D$83-O45)</f>
        <v>0</v>
      </c>
      <c r="S45" s="1064">
        <v>8.4</v>
      </c>
      <c r="T45" s="1064"/>
      <c r="U45" s="1064">
        <f t="shared" si="5"/>
        <v>12.5</v>
      </c>
      <c r="V45" s="1064">
        <f>U45*('Ввод исходных данных'!$D$83-S45)</f>
        <v>145</v>
      </c>
      <c r="W45" s="1065">
        <v>1.9</v>
      </c>
      <c r="X45" s="1065"/>
      <c r="Y45" s="1065">
        <f t="shared" si="6"/>
        <v>31</v>
      </c>
      <c r="Z45" s="1065">
        <f>Y45*('Ввод исходных данных'!$D$83-W45)</f>
        <v>561.1</v>
      </c>
      <c r="AA45" s="1066">
        <v>-5.3</v>
      </c>
      <c r="AB45" s="1066"/>
      <c r="AC45" s="1066">
        <f t="shared" si="7"/>
        <v>30</v>
      </c>
      <c r="AD45" s="1066">
        <f>AC45*('Ввод исходных данных'!$D$83-AA45)</f>
        <v>759</v>
      </c>
      <c r="AE45" s="1067">
        <v>-10.8</v>
      </c>
      <c r="AF45" s="1067"/>
      <c r="AG45" s="1067">
        <v>31</v>
      </c>
      <c r="AH45" s="1067">
        <f>AG45*('Ввод исходных данных'!$D$83-AE45)</f>
        <v>954.80000000000007</v>
      </c>
      <c r="AI45" s="1068">
        <v>-14.1</v>
      </c>
      <c r="AJ45" s="1068"/>
      <c r="AK45" s="1068">
        <v>31</v>
      </c>
      <c r="AL45" s="1068">
        <f>AK45*('Ввод исходных данных'!$D$83-AI45)</f>
        <v>1057.1000000000001</v>
      </c>
      <c r="AM45" s="1069">
        <v>-12.2</v>
      </c>
      <c r="AN45" s="1069"/>
      <c r="AO45" s="1069">
        <v>28</v>
      </c>
      <c r="AP45" s="1069">
        <f>AO45*('Ввод исходных данных'!$D$83-AM45)</f>
        <v>901.60000000000014</v>
      </c>
      <c r="AQ45" s="1064">
        <v>-4.7</v>
      </c>
      <c r="AR45" s="1064"/>
      <c r="AS45" s="1064">
        <f t="shared" si="8"/>
        <v>31</v>
      </c>
      <c r="AT45" s="1064">
        <f>AS45*('Ввод исходных данных'!$D$83-AQ45)</f>
        <v>765.69999999999993</v>
      </c>
      <c r="AU45" s="1070">
        <v>2.2999999999999998</v>
      </c>
      <c r="AV45" s="1070"/>
      <c r="AW45" s="1070">
        <f t="shared" si="9"/>
        <v>30</v>
      </c>
      <c r="AX45" s="1070">
        <f>AW45*('Ввод исходных данных'!$D$83-AU45)</f>
        <v>531</v>
      </c>
      <c r="AY45" s="1071">
        <v>9</v>
      </c>
      <c r="AZ45" s="1071"/>
      <c r="BA45" s="1071">
        <f t="shared" si="10"/>
        <v>12.5</v>
      </c>
      <c r="BB45" s="1071">
        <f>BA45*('Ввод исходных данных'!$D$83-AY45)</f>
        <v>137.5</v>
      </c>
      <c r="BC45" s="1072">
        <v>14.6</v>
      </c>
      <c r="BD45" s="1072"/>
      <c r="BE45" s="1072">
        <f t="shared" si="2"/>
        <v>0</v>
      </c>
      <c r="BF45" s="1073">
        <f>BE45*('Ввод исходных данных'!$D$83-BC45)</f>
        <v>0</v>
      </c>
    </row>
    <row r="46" spans="2:58" ht="15.75" customHeight="1" x14ac:dyDescent="0.25">
      <c r="B46" s="1074" t="s">
        <v>36</v>
      </c>
      <c r="C46" s="1076" t="s">
        <v>42</v>
      </c>
      <c r="D46" s="1053" t="str">
        <f t="shared" si="0"/>
        <v>Архангельская областьМезень</v>
      </c>
      <c r="E46" s="1054">
        <v>268</v>
      </c>
      <c r="F46" s="1055">
        <v>-5.3</v>
      </c>
      <c r="G46" s="1055">
        <v>-35</v>
      </c>
      <c r="H46" s="1057">
        <v>4.5</v>
      </c>
      <c r="I46" s="1058">
        <f>E46*('Ввод исходных данных'!$D$83-F46)</f>
        <v>6780.4000000000005</v>
      </c>
      <c r="J46" s="1059" t="str">
        <f t="shared" si="1"/>
        <v>6000-7000</v>
      </c>
      <c r="K46" s="1060">
        <v>14.5</v>
      </c>
      <c r="L46" s="1060"/>
      <c r="M46" s="1061">
        <f t="shared" si="3"/>
        <v>0</v>
      </c>
      <c r="N46" s="1062">
        <f>M46*('Ввод исходных данных'!$D$83-K46)</f>
        <v>0</v>
      </c>
      <c r="O46" s="1063">
        <v>11.9</v>
      </c>
      <c r="P46" s="1063"/>
      <c r="Q46" s="1063">
        <f t="shared" si="4"/>
        <v>0</v>
      </c>
      <c r="R46" s="1063">
        <f>Q46*('Ввод исходных данных'!$D$83-O46)</f>
        <v>0</v>
      </c>
      <c r="S46" s="1064">
        <v>7.1</v>
      </c>
      <c r="T46" s="1064"/>
      <c r="U46" s="1064">
        <f t="shared" si="5"/>
        <v>28</v>
      </c>
      <c r="V46" s="1064">
        <f>U46*('Ввод исходных данных'!$D$83-S46)</f>
        <v>361.2</v>
      </c>
      <c r="W46" s="1065">
        <v>0.6</v>
      </c>
      <c r="X46" s="1065"/>
      <c r="Y46" s="1065">
        <f t="shared" si="6"/>
        <v>31</v>
      </c>
      <c r="Z46" s="1065">
        <f>Y46*('Ввод исходных данных'!$D$83-W46)</f>
        <v>601.4</v>
      </c>
      <c r="AA46" s="1066">
        <v>-6.3</v>
      </c>
      <c r="AB46" s="1066"/>
      <c r="AC46" s="1066">
        <f t="shared" si="7"/>
        <v>30</v>
      </c>
      <c r="AD46" s="1066">
        <f>AC46*('Ввод исходных данных'!$D$83-AA46)</f>
        <v>789</v>
      </c>
      <c r="AE46" s="1067">
        <v>-11</v>
      </c>
      <c r="AF46" s="1067"/>
      <c r="AG46" s="1067">
        <v>31</v>
      </c>
      <c r="AH46" s="1067">
        <f>AG46*('Ввод исходных данных'!$D$83-AE46)</f>
        <v>961</v>
      </c>
      <c r="AI46" s="1068">
        <v>-14.8</v>
      </c>
      <c r="AJ46" s="1068"/>
      <c r="AK46" s="1068">
        <v>31</v>
      </c>
      <c r="AL46" s="1068">
        <f>AK46*('Ввод исходных данных'!$D$83-AI46)</f>
        <v>1078.8</v>
      </c>
      <c r="AM46" s="1069">
        <v>-13.4</v>
      </c>
      <c r="AN46" s="1069"/>
      <c r="AO46" s="1069">
        <v>28</v>
      </c>
      <c r="AP46" s="1069">
        <f>AO46*('Ввод исходных данных'!$D$83-AM46)</f>
        <v>935.19999999999993</v>
      </c>
      <c r="AQ46" s="1064">
        <v>-7.2</v>
      </c>
      <c r="AR46" s="1064"/>
      <c r="AS46" s="1064">
        <f t="shared" si="8"/>
        <v>31</v>
      </c>
      <c r="AT46" s="1064">
        <f>AS46*('Ввод исходных данных'!$D$83-AQ46)</f>
        <v>843.19999999999993</v>
      </c>
      <c r="AU46" s="1070">
        <v>-2.2000000000000002</v>
      </c>
      <c r="AV46" s="1070"/>
      <c r="AW46" s="1070">
        <f t="shared" si="9"/>
        <v>30</v>
      </c>
      <c r="AX46" s="1070">
        <f>AW46*('Ввод исходных данных'!$D$83-AU46)</f>
        <v>666</v>
      </c>
      <c r="AY46" s="1071">
        <v>4</v>
      </c>
      <c r="AZ46" s="1071"/>
      <c r="BA46" s="1071">
        <f t="shared" si="10"/>
        <v>28</v>
      </c>
      <c r="BB46" s="1071">
        <f>BA46*('Ввод исходных данных'!$D$83-AY46)</f>
        <v>448</v>
      </c>
      <c r="BC46" s="1072">
        <v>10.5</v>
      </c>
      <c r="BD46" s="1072"/>
      <c r="BE46" s="1072">
        <f t="shared" si="2"/>
        <v>0</v>
      </c>
      <c r="BF46" s="1073">
        <f>BE46*('Ввод исходных данных'!$D$83-BC46)</f>
        <v>0</v>
      </c>
    </row>
    <row r="47" spans="2:58" ht="15.75" customHeight="1" x14ac:dyDescent="0.25">
      <c r="B47" s="1051" t="s">
        <v>36</v>
      </c>
      <c r="C47" s="1052" t="s">
        <v>43</v>
      </c>
      <c r="D47" s="1053" t="str">
        <f t="shared" si="0"/>
        <v>Архангельская областьОнега</v>
      </c>
      <c r="E47" s="1054">
        <v>243</v>
      </c>
      <c r="F47" s="1055">
        <v>-4</v>
      </c>
      <c r="G47" s="1055">
        <v>-32</v>
      </c>
      <c r="H47" s="1057">
        <v>3.7</v>
      </c>
      <c r="I47" s="1058">
        <f>E47*('Ввод исходных данных'!$D$83-F47)</f>
        <v>5832</v>
      </c>
      <c r="J47" s="1059" t="str">
        <f t="shared" si="1"/>
        <v>5000-6000</v>
      </c>
      <c r="K47" s="1060">
        <v>16.7</v>
      </c>
      <c r="L47" s="1060"/>
      <c r="M47" s="1061">
        <f t="shared" si="3"/>
        <v>0</v>
      </c>
      <c r="N47" s="1062">
        <f>M47*('Ввод исходных данных'!$D$83-K47)</f>
        <v>0</v>
      </c>
      <c r="O47" s="1063">
        <v>13.9</v>
      </c>
      <c r="P47" s="1063"/>
      <c r="Q47" s="1063">
        <f t="shared" si="4"/>
        <v>0</v>
      </c>
      <c r="R47" s="1063">
        <f>Q47*('Ввод исходных данных'!$D$83-O47)</f>
        <v>0</v>
      </c>
      <c r="S47" s="1064">
        <v>8.6999999999999993</v>
      </c>
      <c r="T47" s="1064"/>
      <c r="U47" s="1064">
        <f t="shared" si="5"/>
        <v>15.5</v>
      </c>
      <c r="V47" s="1064">
        <f>U47*('Ввод исходных данных'!$D$83-S47)</f>
        <v>175.15</v>
      </c>
      <c r="W47" s="1065">
        <v>2.5</v>
      </c>
      <c r="X47" s="1065"/>
      <c r="Y47" s="1065">
        <f t="shared" si="6"/>
        <v>31</v>
      </c>
      <c r="Z47" s="1065">
        <f>Y47*('Ввод исходных данных'!$D$83-W47)</f>
        <v>542.5</v>
      </c>
      <c r="AA47" s="1066">
        <v>-3.8</v>
      </c>
      <c r="AB47" s="1066"/>
      <c r="AC47" s="1066">
        <f t="shared" si="7"/>
        <v>30</v>
      </c>
      <c r="AD47" s="1066">
        <f>AC47*('Ввод исходных данных'!$D$83-AA47)</f>
        <v>714</v>
      </c>
      <c r="AE47" s="1067">
        <v>-8.6999999999999993</v>
      </c>
      <c r="AF47" s="1067"/>
      <c r="AG47" s="1067">
        <v>31</v>
      </c>
      <c r="AH47" s="1067">
        <f>AG47*('Ввод исходных данных'!$D$83-AE47)</f>
        <v>889.69999999999993</v>
      </c>
      <c r="AI47" s="1068">
        <v>-12.3</v>
      </c>
      <c r="AJ47" s="1068"/>
      <c r="AK47" s="1068">
        <v>31</v>
      </c>
      <c r="AL47" s="1068">
        <f>AK47*('Ввод исходных данных'!$D$83-AI47)</f>
        <v>1001.3</v>
      </c>
      <c r="AM47" s="1069">
        <v>-11</v>
      </c>
      <c r="AN47" s="1069"/>
      <c r="AO47" s="1069">
        <v>28</v>
      </c>
      <c r="AP47" s="1069">
        <f>AO47*('Ввод исходных данных'!$D$83-AM47)</f>
        <v>868</v>
      </c>
      <c r="AQ47" s="1064">
        <v>-5</v>
      </c>
      <c r="AR47" s="1064"/>
      <c r="AS47" s="1064">
        <f t="shared" si="8"/>
        <v>31</v>
      </c>
      <c r="AT47" s="1064">
        <f>AS47*('Ввод исходных данных'!$D$83-AQ47)</f>
        <v>775</v>
      </c>
      <c r="AU47" s="1070">
        <v>0.8</v>
      </c>
      <c r="AV47" s="1070"/>
      <c r="AW47" s="1070">
        <f t="shared" si="9"/>
        <v>30</v>
      </c>
      <c r="AX47" s="1070">
        <f>AW47*('Ввод исходных данных'!$D$83-AU47)</f>
        <v>576</v>
      </c>
      <c r="AY47" s="1071">
        <v>7.2</v>
      </c>
      <c r="AZ47" s="1071"/>
      <c r="BA47" s="1071">
        <f t="shared" si="10"/>
        <v>15.5</v>
      </c>
      <c r="BB47" s="1071">
        <f>BA47*('Ввод исходных данных'!$D$83-AY47)</f>
        <v>198.4</v>
      </c>
      <c r="BC47" s="1072">
        <v>13.4</v>
      </c>
      <c r="BD47" s="1072"/>
      <c r="BE47" s="1072">
        <f t="shared" si="2"/>
        <v>0</v>
      </c>
      <c r="BF47" s="1073">
        <f>BE47*('Ввод исходных данных'!$D$83-BC47)</f>
        <v>0</v>
      </c>
    </row>
    <row r="48" spans="2:58" ht="15.75" customHeight="1" x14ac:dyDescent="0.25">
      <c r="B48" s="1076" t="s">
        <v>44</v>
      </c>
      <c r="C48" s="1076" t="s">
        <v>45</v>
      </c>
      <c r="D48" s="1053" t="str">
        <f t="shared" si="0"/>
        <v>Астраханская областьАстрахань</v>
      </c>
      <c r="E48" s="1054">
        <v>164</v>
      </c>
      <c r="F48" s="1055">
        <v>-0.8</v>
      </c>
      <c r="G48" s="1055">
        <v>-21</v>
      </c>
      <c r="H48" s="1057">
        <v>3.8</v>
      </c>
      <c r="I48" s="1058">
        <f>E48*('Ввод исходных данных'!$D$83-F48)</f>
        <v>3411.2000000000003</v>
      </c>
      <c r="J48" s="1059" t="str">
        <f t="shared" si="1"/>
        <v>3000-4000</v>
      </c>
      <c r="K48" s="1060">
        <v>25.4</v>
      </c>
      <c r="L48" s="1060"/>
      <c r="M48" s="1061">
        <f t="shared" si="3"/>
        <v>0</v>
      </c>
      <c r="N48" s="1062">
        <f>M48*('Ввод исходных данных'!$D$83-K48)</f>
        <v>0</v>
      </c>
      <c r="O48" s="1063">
        <v>23.8</v>
      </c>
      <c r="P48" s="1063"/>
      <c r="Q48" s="1063">
        <f t="shared" si="4"/>
        <v>0</v>
      </c>
      <c r="R48" s="1063">
        <f>Q48*('Ввод исходных данных'!$D$83-O48)</f>
        <v>0</v>
      </c>
      <c r="S48" s="1064">
        <v>17.600000000000001</v>
      </c>
      <c r="T48" s="1064"/>
      <c r="U48" s="1064">
        <f t="shared" si="5"/>
        <v>0</v>
      </c>
      <c r="V48" s="1064">
        <f>U48*('Ввод исходных данных'!$D$83-S48)</f>
        <v>0</v>
      </c>
      <c r="W48" s="1065">
        <v>10</v>
      </c>
      <c r="X48" s="1065"/>
      <c r="Y48" s="1065">
        <f t="shared" si="6"/>
        <v>6.5</v>
      </c>
      <c r="Z48" s="1065">
        <f>Y48*('Ввод исходных данных'!$D$83-W48)</f>
        <v>65</v>
      </c>
      <c r="AA48" s="1066">
        <v>3.4</v>
      </c>
      <c r="AB48" s="1066"/>
      <c r="AC48" s="1066">
        <f t="shared" si="7"/>
        <v>30</v>
      </c>
      <c r="AD48" s="1066">
        <f>AC48*('Ввод исходных данных'!$D$83-AA48)</f>
        <v>498.00000000000006</v>
      </c>
      <c r="AE48" s="1067">
        <v>-2</v>
      </c>
      <c r="AF48" s="1067"/>
      <c r="AG48" s="1067">
        <v>31</v>
      </c>
      <c r="AH48" s="1067">
        <f>AG48*('Ввод исходных данных'!$D$83-AE48)</f>
        <v>682</v>
      </c>
      <c r="AI48" s="1068">
        <v>-4.8</v>
      </c>
      <c r="AJ48" s="1068"/>
      <c r="AK48" s="1068">
        <v>31</v>
      </c>
      <c r="AL48" s="1068">
        <f>AK48*('Ввод исходных данных'!$D$83-AI48)</f>
        <v>768.80000000000007</v>
      </c>
      <c r="AM48" s="1069">
        <v>-4.3</v>
      </c>
      <c r="AN48" s="1069"/>
      <c r="AO48" s="1069">
        <v>28</v>
      </c>
      <c r="AP48" s="1069">
        <f>AO48*('Ввод исходных данных'!$D$83-AM48)</f>
        <v>680.4</v>
      </c>
      <c r="AQ48" s="1064">
        <v>2</v>
      </c>
      <c r="AR48" s="1064"/>
      <c r="AS48" s="1064">
        <f t="shared" si="8"/>
        <v>31</v>
      </c>
      <c r="AT48" s="1064">
        <f>AS48*('Ввод исходных данных'!$D$83-AQ48)</f>
        <v>558</v>
      </c>
      <c r="AU48" s="1070">
        <v>11.3</v>
      </c>
      <c r="AV48" s="1070"/>
      <c r="AW48" s="1070">
        <f t="shared" si="9"/>
        <v>6.5</v>
      </c>
      <c r="AX48" s="1070">
        <f>AW48*('Ввод исходных данных'!$D$83-AU48)</f>
        <v>56.55</v>
      </c>
      <c r="AY48" s="1071">
        <v>18</v>
      </c>
      <c r="AZ48" s="1071"/>
      <c r="BA48" s="1071">
        <f t="shared" si="10"/>
        <v>0</v>
      </c>
      <c r="BB48" s="1071">
        <f>BA48*('Ввод исходных данных'!$D$83-AY48)</f>
        <v>0</v>
      </c>
      <c r="BC48" s="1072">
        <v>22.9</v>
      </c>
      <c r="BD48" s="1072"/>
      <c r="BE48" s="1072">
        <f t="shared" si="2"/>
        <v>0</v>
      </c>
      <c r="BF48" s="1073">
        <f>BE48*('Ввод исходных данных'!$D$83-BC48)</f>
        <v>0</v>
      </c>
    </row>
    <row r="49" spans="2:58" ht="15.75" customHeight="1" x14ac:dyDescent="0.25">
      <c r="B49" s="1052" t="s">
        <v>44</v>
      </c>
      <c r="C49" s="1052" t="s">
        <v>46</v>
      </c>
      <c r="D49" s="1053" t="str">
        <f t="shared" si="0"/>
        <v>Астраханская областьВерхний Баскунчак</v>
      </c>
      <c r="E49" s="1054">
        <v>174</v>
      </c>
      <c r="F49" s="1055">
        <v>-2.5</v>
      </c>
      <c r="G49" s="1055">
        <v>-24</v>
      </c>
      <c r="H49" s="1057">
        <v>3.7</v>
      </c>
      <c r="I49" s="1058">
        <f>E49*('Ввод исходных данных'!$D$83-F49)</f>
        <v>3915</v>
      </c>
      <c r="J49" s="1059" t="str">
        <f t="shared" si="1"/>
        <v>3000-4000</v>
      </c>
      <c r="K49" s="1060">
        <v>25.1</v>
      </c>
      <c r="L49" s="1060"/>
      <c r="M49" s="1061">
        <f t="shared" si="3"/>
        <v>0</v>
      </c>
      <c r="N49" s="1062">
        <f>M49*('Ввод исходных данных'!$D$83-K49)</f>
        <v>0</v>
      </c>
      <c r="O49" s="1063">
        <v>23.6</v>
      </c>
      <c r="P49" s="1063"/>
      <c r="Q49" s="1063">
        <f t="shared" si="4"/>
        <v>0</v>
      </c>
      <c r="R49" s="1063">
        <f>Q49*('Ввод исходных данных'!$D$83-O49)</f>
        <v>0</v>
      </c>
      <c r="S49" s="1064">
        <v>16.8</v>
      </c>
      <c r="T49" s="1064"/>
      <c r="U49" s="1064">
        <f t="shared" si="5"/>
        <v>0</v>
      </c>
      <c r="V49" s="1064">
        <f>U49*('Ввод исходных данных'!$D$83-S49)</f>
        <v>0</v>
      </c>
      <c r="W49" s="1065">
        <v>8.5</v>
      </c>
      <c r="X49" s="1065"/>
      <c r="Y49" s="1065">
        <f t="shared" si="6"/>
        <v>11.5</v>
      </c>
      <c r="Z49" s="1065">
        <f>Y49*('Ввод исходных данных'!$D$83-W49)</f>
        <v>132.25</v>
      </c>
      <c r="AA49" s="1066">
        <v>1.2</v>
      </c>
      <c r="AB49" s="1066"/>
      <c r="AC49" s="1066">
        <f t="shared" si="7"/>
        <v>30</v>
      </c>
      <c r="AD49" s="1066">
        <f>AC49*('Ввод исходных данных'!$D$83-AA49)</f>
        <v>564</v>
      </c>
      <c r="AE49" s="1067">
        <v>-4.5999999999999996</v>
      </c>
      <c r="AF49" s="1067"/>
      <c r="AG49" s="1067">
        <v>31</v>
      </c>
      <c r="AH49" s="1067">
        <f>AG49*('Ввод исходных данных'!$D$83-AE49)</f>
        <v>762.6</v>
      </c>
      <c r="AI49" s="1068">
        <v>-7.5</v>
      </c>
      <c r="AJ49" s="1068"/>
      <c r="AK49" s="1068">
        <v>31</v>
      </c>
      <c r="AL49" s="1068">
        <f>AK49*('Ввод исходных данных'!$D$83-AI49)</f>
        <v>852.5</v>
      </c>
      <c r="AM49" s="1069">
        <v>-7</v>
      </c>
      <c r="AN49" s="1069"/>
      <c r="AO49" s="1069">
        <v>28</v>
      </c>
      <c r="AP49" s="1069">
        <f>AO49*('Ввод исходных данных'!$D$83-AM49)</f>
        <v>756</v>
      </c>
      <c r="AQ49" s="1064">
        <v>0.1</v>
      </c>
      <c r="AR49" s="1064"/>
      <c r="AS49" s="1064">
        <f t="shared" si="8"/>
        <v>31</v>
      </c>
      <c r="AT49" s="1064">
        <f>AS49*('Ввод исходных данных'!$D$83-AQ49)</f>
        <v>616.9</v>
      </c>
      <c r="AU49" s="1070">
        <v>10.6</v>
      </c>
      <c r="AV49" s="1070"/>
      <c r="AW49" s="1070">
        <f t="shared" si="9"/>
        <v>11.5</v>
      </c>
      <c r="AX49" s="1070">
        <f>AW49*('Ввод исходных данных'!$D$83-AU49)</f>
        <v>108.10000000000001</v>
      </c>
      <c r="AY49" s="1071">
        <v>17.600000000000001</v>
      </c>
      <c r="AZ49" s="1071"/>
      <c r="BA49" s="1071">
        <f t="shared" si="10"/>
        <v>0</v>
      </c>
      <c r="BB49" s="1071">
        <f>BA49*('Ввод исходных данных'!$D$83-AY49)</f>
        <v>0</v>
      </c>
      <c r="BC49" s="1072">
        <v>22.6</v>
      </c>
      <c r="BD49" s="1072"/>
      <c r="BE49" s="1072">
        <f t="shared" si="2"/>
        <v>0</v>
      </c>
      <c r="BF49" s="1073">
        <f>BE49*('Ввод исходных данных'!$D$83-BC49)</f>
        <v>0</v>
      </c>
    </row>
    <row r="50" spans="2:58" ht="15.75" customHeight="1" x14ac:dyDescent="0.25">
      <c r="B50" s="1076" t="s">
        <v>47</v>
      </c>
      <c r="C50" s="1076" t="s">
        <v>48</v>
      </c>
      <c r="D50" s="1053" t="str">
        <f t="shared" si="0"/>
        <v>Белгородская областьБелгород</v>
      </c>
      <c r="E50" s="1054">
        <v>191</v>
      </c>
      <c r="F50" s="1055">
        <v>-1.9</v>
      </c>
      <c r="G50" s="1055">
        <v>-23</v>
      </c>
      <c r="H50" s="1057">
        <v>5.9</v>
      </c>
      <c r="I50" s="1058">
        <f>E50*('Ввод исходных данных'!$D$83-F50)</f>
        <v>4182.8999999999996</v>
      </c>
      <c r="J50" s="1059" t="str">
        <f t="shared" si="1"/>
        <v>4000-5000</v>
      </c>
      <c r="K50" s="1060">
        <v>19.899999999999999</v>
      </c>
      <c r="L50" s="1060"/>
      <c r="M50" s="1061">
        <f t="shared" si="3"/>
        <v>0</v>
      </c>
      <c r="N50" s="1062">
        <f>M50*('Ввод исходных данных'!$D$83-K50)</f>
        <v>0</v>
      </c>
      <c r="O50" s="1063">
        <v>18.7</v>
      </c>
      <c r="P50" s="1063"/>
      <c r="Q50" s="1063">
        <f t="shared" si="4"/>
        <v>0</v>
      </c>
      <c r="R50" s="1063">
        <f>Q50*('Ввод исходных данных'!$D$83-O50)</f>
        <v>0</v>
      </c>
      <c r="S50" s="1064">
        <v>12.9</v>
      </c>
      <c r="T50" s="1064"/>
      <c r="U50" s="1064">
        <f t="shared" si="5"/>
        <v>0</v>
      </c>
      <c r="V50" s="1064">
        <f>U50*('Ввод исходных данных'!$D$83-S50)</f>
        <v>0</v>
      </c>
      <c r="W50" s="1065">
        <v>6.4</v>
      </c>
      <c r="X50" s="1065"/>
      <c r="Y50" s="1065">
        <f t="shared" si="6"/>
        <v>20</v>
      </c>
      <c r="Z50" s="1065">
        <f>Y50*('Ввод исходных данных'!$D$83-W50)</f>
        <v>272</v>
      </c>
      <c r="AA50" s="1066">
        <v>0.3</v>
      </c>
      <c r="AB50" s="1066"/>
      <c r="AC50" s="1066">
        <f t="shared" si="7"/>
        <v>30</v>
      </c>
      <c r="AD50" s="1066">
        <f>AC50*('Ввод исходных данных'!$D$83-AA50)</f>
        <v>591</v>
      </c>
      <c r="AE50" s="1067">
        <v>-4.5</v>
      </c>
      <c r="AF50" s="1067"/>
      <c r="AG50" s="1067">
        <v>31</v>
      </c>
      <c r="AH50" s="1067">
        <f>AG50*('Ввод исходных данных'!$D$83-AE50)</f>
        <v>759.5</v>
      </c>
      <c r="AI50" s="1068">
        <v>-8.5</v>
      </c>
      <c r="AJ50" s="1068"/>
      <c r="AK50" s="1068">
        <v>31</v>
      </c>
      <c r="AL50" s="1068">
        <f>AK50*('Ввод исходных данных'!$D$83-AI50)</f>
        <v>883.5</v>
      </c>
      <c r="AM50" s="1069">
        <v>-6.4</v>
      </c>
      <c r="AN50" s="1069"/>
      <c r="AO50" s="1069">
        <v>28</v>
      </c>
      <c r="AP50" s="1069">
        <f>AO50*('Ввод исходных данных'!$D$83-AM50)</f>
        <v>739.19999999999993</v>
      </c>
      <c r="AQ50" s="1064">
        <v>-2.5</v>
      </c>
      <c r="AR50" s="1064"/>
      <c r="AS50" s="1064">
        <f t="shared" si="8"/>
        <v>31</v>
      </c>
      <c r="AT50" s="1064">
        <f>AS50*('Ввод исходных данных'!$D$83-AQ50)</f>
        <v>697.5</v>
      </c>
      <c r="AU50" s="1070">
        <v>7.5</v>
      </c>
      <c r="AV50" s="1070"/>
      <c r="AW50" s="1070">
        <f t="shared" si="9"/>
        <v>20</v>
      </c>
      <c r="AX50" s="1070">
        <f>AW50*('Ввод исходных данных'!$D$83-AU50)</f>
        <v>250</v>
      </c>
      <c r="AY50" s="1071">
        <v>14.6</v>
      </c>
      <c r="AZ50" s="1071"/>
      <c r="BA50" s="1071">
        <f t="shared" si="10"/>
        <v>0</v>
      </c>
      <c r="BB50" s="1071">
        <f>BA50*('Ввод исходных данных'!$D$83-AY50)</f>
        <v>0</v>
      </c>
      <c r="BC50" s="1072">
        <v>17.899999999999999</v>
      </c>
      <c r="BD50" s="1072"/>
      <c r="BE50" s="1072">
        <f t="shared" si="2"/>
        <v>0</v>
      </c>
      <c r="BF50" s="1073">
        <f>BE50*('Ввод исходных данных'!$D$83-BC50)</f>
        <v>0</v>
      </c>
    </row>
    <row r="51" spans="2:58" ht="15.75" customHeight="1" x14ac:dyDescent="0.25">
      <c r="B51" s="1052" t="s">
        <v>50</v>
      </c>
      <c r="C51" s="1052" t="s">
        <v>51</v>
      </c>
      <c r="D51" s="1053" t="str">
        <f t="shared" si="0"/>
        <v>Брянская областьБрянск</v>
      </c>
      <c r="E51" s="1054">
        <v>199</v>
      </c>
      <c r="F51" s="1055">
        <v>-2</v>
      </c>
      <c r="G51" s="1055">
        <v>-24</v>
      </c>
      <c r="H51" s="1057">
        <v>3.4</v>
      </c>
      <c r="I51" s="1058">
        <f>E51*('Ввод исходных данных'!$D$83-F51)</f>
        <v>4378</v>
      </c>
      <c r="J51" s="1059" t="str">
        <f t="shared" si="1"/>
        <v>4000-5000</v>
      </c>
      <c r="K51" s="1060">
        <v>18.399999999999999</v>
      </c>
      <c r="L51" s="1060"/>
      <c r="M51" s="1061">
        <f t="shared" si="3"/>
        <v>0</v>
      </c>
      <c r="N51" s="1062">
        <f>M51*('Ввод исходных данных'!$D$83-K51)</f>
        <v>0</v>
      </c>
      <c r="O51" s="1063">
        <v>17.2</v>
      </c>
      <c r="P51" s="1063"/>
      <c r="Q51" s="1063">
        <f t="shared" si="4"/>
        <v>0</v>
      </c>
      <c r="R51" s="1063">
        <f>Q51*('Ввод исходных данных'!$D$83-O51)</f>
        <v>0</v>
      </c>
      <c r="S51" s="1064">
        <v>11.7</v>
      </c>
      <c r="T51" s="1064"/>
      <c r="U51" s="1064">
        <f t="shared" si="5"/>
        <v>0</v>
      </c>
      <c r="V51" s="1064">
        <f>U51*('Ввод исходных данных'!$D$83-S51)</f>
        <v>0</v>
      </c>
      <c r="W51" s="1065">
        <v>5.6</v>
      </c>
      <c r="X51" s="1065"/>
      <c r="Y51" s="1065">
        <f t="shared" si="6"/>
        <v>24</v>
      </c>
      <c r="Z51" s="1065">
        <f>Y51*('Ввод исходных данных'!$D$83-W51)</f>
        <v>345.6</v>
      </c>
      <c r="AA51" s="1066">
        <v>-0.4</v>
      </c>
      <c r="AB51" s="1066"/>
      <c r="AC51" s="1066">
        <f t="shared" si="7"/>
        <v>30</v>
      </c>
      <c r="AD51" s="1066">
        <f>AC51*('Ввод исходных данных'!$D$83-AA51)</f>
        <v>612</v>
      </c>
      <c r="AE51" s="1067">
        <v>-5</v>
      </c>
      <c r="AF51" s="1067"/>
      <c r="AG51" s="1067">
        <v>31</v>
      </c>
      <c r="AH51" s="1067">
        <f>AG51*('Ввод исходных данных'!$D$83-AE51)</f>
        <v>775</v>
      </c>
      <c r="AI51" s="1068">
        <v>-7.4</v>
      </c>
      <c r="AJ51" s="1068"/>
      <c r="AK51" s="1068">
        <v>31</v>
      </c>
      <c r="AL51" s="1068">
        <f>AK51*('Ввод исходных данных'!$D$83-AI51)</f>
        <v>849.4</v>
      </c>
      <c r="AM51" s="1069">
        <v>-6.6</v>
      </c>
      <c r="AN51" s="1069"/>
      <c r="AO51" s="1069">
        <v>28</v>
      </c>
      <c r="AP51" s="1069">
        <f>AO51*('Ввод исходных данных'!$D$83-AM51)</f>
        <v>744.80000000000007</v>
      </c>
      <c r="AQ51" s="1064">
        <v>-1.2</v>
      </c>
      <c r="AR51" s="1064"/>
      <c r="AS51" s="1064">
        <f t="shared" si="8"/>
        <v>31</v>
      </c>
      <c r="AT51" s="1064">
        <f>AS51*('Ввод исходных данных'!$D$83-AQ51)</f>
        <v>657.19999999999993</v>
      </c>
      <c r="AU51" s="1070">
        <v>7</v>
      </c>
      <c r="AV51" s="1070"/>
      <c r="AW51" s="1070">
        <f t="shared" si="9"/>
        <v>24</v>
      </c>
      <c r="AX51" s="1070">
        <f>AW51*('Ввод исходных данных'!$D$83-AU51)</f>
        <v>312</v>
      </c>
      <c r="AY51" s="1071">
        <v>13.6</v>
      </c>
      <c r="AZ51" s="1071"/>
      <c r="BA51" s="1071">
        <f t="shared" si="10"/>
        <v>0</v>
      </c>
      <c r="BB51" s="1071">
        <f>BA51*('Ввод исходных данных'!$D$83-AY51)</f>
        <v>0</v>
      </c>
      <c r="BC51" s="1072">
        <v>16.899999999999999</v>
      </c>
      <c r="BD51" s="1072"/>
      <c r="BE51" s="1072">
        <f t="shared" si="2"/>
        <v>0</v>
      </c>
      <c r="BF51" s="1073">
        <f>BE51*('Ввод исходных данных'!$D$83-BC51)</f>
        <v>0</v>
      </c>
    </row>
    <row r="52" spans="2:58" ht="15.75" customHeight="1" x14ac:dyDescent="0.25">
      <c r="B52" s="1076" t="s">
        <v>409</v>
      </c>
      <c r="C52" s="1076" t="s">
        <v>411</v>
      </c>
      <c r="D52" s="1053" t="str">
        <f t="shared" si="0"/>
        <v>Владимирская областьВладимир</v>
      </c>
      <c r="E52" s="1054">
        <v>213</v>
      </c>
      <c r="F52" s="1055">
        <v>-3.5</v>
      </c>
      <c r="G52" s="1055">
        <v>-28</v>
      </c>
      <c r="H52" s="1057">
        <v>4.5</v>
      </c>
      <c r="I52" s="1058">
        <f>E52*('Ввод исходных данных'!$D$83-F52)</f>
        <v>5005.5</v>
      </c>
      <c r="J52" s="1059" t="str">
        <f t="shared" si="1"/>
        <v>5000-6000</v>
      </c>
      <c r="K52" s="1060">
        <v>17.899999999999999</v>
      </c>
      <c r="L52" s="1060"/>
      <c r="M52" s="1061">
        <f t="shared" si="3"/>
        <v>0</v>
      </c>
      <c r="N52" s="1062">
        <f>M52*('Ввод исходных данных'!$D$83-K52)</f>
        <v>0</v>
      </c>
      <c r="O52" s="1063">
        <v>16.399999999999999</v>
      </c>
      <c r="P52" s="1063"/>
      <c r="Q52" s="1063">
        <f t="shared" si="4"/>
        <v>0</v>
      </c>
      <c r="R52" s="1063">
        <f>Q52*('Ввод исходных данных'!$D$83-O52)</f>
        <v>0</v>
      </c>
      <c r="S52" s="1064">
        <v>10.7</v>
      </c>
      <c r="T52" s="1064"/>
      <c r="U52" s="1064">
        <f t="shared" si="5"/>
        <v>0.5</v>
      </c>
      <c r="V52" s="1064">
        <f>U52*('Ввод исходных данных'!$D$83-S52)</f>
        <v>4.6500000000000004</v>
      </c>
      <c r="W52" s="1065">
        <v>3.7</v>
      </c>
      <c r="X52" s="1065"/>
      <c r="Y52" s="1065">
        <f t="shared" si="6"/>
        <v>31</v>
      </c>
      <c r="Z52" s="1065">
        <f>Y52*('Ввод исходных данных'!$D$83-W52)</f>
        <v>505.3</v>
      </c>
      <c r="AA52" s="1066">
        <v>-2.7</v>
      </c>
      <c r="AB52" s="1066"/>
      <c r="AC52" s="1066">
        <f t="shared" si="7"/>
        <v>30</v>
      </c>
      <c r="AD52" s="1066">
        <f>AC52*('Ввод исходных данных'!$D$83-AA52)</f>
        <v>681</v>
      </c>
      <c r="AE52" s="1067">
        <v>-7.5</v>
      </c>
      <c r="AF52" s="1067"/>
      <c r="AG52" s="1067">
        <v>31</v>
      </c>
      <c r="AH52" s="1067">
        <f>AG52*('Ввод исходных данных'!$D$83-AE52)</f>
        <v>852.5</v>
      </c>
      <c r="AI52" s="1068">
        <v>-11.1</v>
      </c>
      <c r="AJ52" s="1068"/>
      <c r="AK52" s="1068">
        <v>31</v>
      </c>
      <c r="AL52" s="1068">
        <f>AK52*('Ввод исходных данных'!$D$83-AI52)</f>
        <v>964.1</v>
      </c>
      <c r="AM52" s="1069">
        <v>-10</v>
      </c>
      <c r="AN52" s="1069"/>
      <c r="AO52" s="1069">
        <v>28</v>
      </c>
      <c r="AP52" s="1069">
        <f>AO52*('Ввод исходных данных'!$D$83-AM52)</f>
        <v>840</v>
      </c>
      <c r="AQ52" s="1064">
        <v>-4.3</v>
      </c>
      <c r="AR52" s="1064"/>
      <c r="AS52" s="1064">
        <f t="shared" si="8"/>
        <v>31</v>
      </c>
      <c r="AT52" s="1064">
        <f>AS52*('Ввод исходных данных'!$D$83-AQ52)</f>
        <v>753.30000000000007</v>
      </c>
      <c r="AU52" s="1070">
        <v>4.9000000000000004</v>
      </c>
      <c r="AV52" s="1070"/>
      <c r="AW52" s="1070">
        <f t="shared" si="9"/>
        <v>30</v>
      </c>
      <c r="AX52" s="1070">
        <f>AW52*('Ввод исходных данных'!$D$83-AU52)</f>
        <v>453</v>
      </c>
      <c r="AY52" s="1071">
        <v>12.2</v>
      </c>
      <c r="AZ52" s="1071"/>
      <c r="BA52" s="1071">
        <f t="shared" si="10"/>
        <v>0.5</v>
      </c>
      <c r="BB52" s="1071">
        <f>BA52*('Ввод исходных данных'!$D$83-AY52)</f>
        <v>3.9000000000000004</v>
      </c>
      <c r="BC52" s="1072">
        <v>16.600000000000001</v>
      </c>
      <c r="BD52" s="1072"/>
      <c r="BE52" s="1072">
        <f t="shared" si="2"/>
        <v>0</v>
      </c>
      <c r="BF52" s="1073">
        <f>BE52*('Ввод исходных данных'!$D$83-BC52)</f>
        <v>0</v>
      </c>
    </row>
    <row r="53" spans="2:58" ht="15.75" customHeight="1" x14ac:dyDescent="0.25">
      <c r="B53" s="1052" t="s">
        <v>409</v>
      </c>
      <c r="C53" s="1052" t="s">
        <v>410</v>
      </c>
      <c r="D53" s="1053" t="str">
        <f t="shared" si="0"/>
        <v>Владимирская областьМуром</v>
      </c>
      <c r="E53" s="1054">
        <v>214</v>
      </c>
      <c r="F53" s="1055">
        <v>-4</v>
      </c>
      <c r="G53" s="1055">
        <v>-30</v>
      </c>
      <c r="H53" s="1057">
        <f>H52</f>
        <v>4.5</v>
      </c>
      <c r="I53" s="1058">
        <f>E53*('Ввод исходных данных'!$D$83-F53)</f>
        <v>5136</v>
      </c>
      <c r="J53" s="1059" t="str">
        <f t="shared" si="1"/>
        <v>5000-6000</v>
      </c>
      <c r="K53" s="1060">
        <v>18.7</v>
      </c>
      <c r="L53" s="1060"/>
      <c r="M53" s="1061">
        <f t="shared" si="3"/>
        <v>0</v>
      </c>
      <c r="N53" s="1062">
        <f>M53*('Ввод исходных данных'!$D$83-K53)</f>
        <v>0</v>
      </c>
      <c r="O53" s="1063">
        <v>17.2</v>
      </c>
      <c r="P53" s="1063"/>
      <c r="Q53" s="1063">
        <f t="shared" si="4"/>
        <v>0</v>
      </c>
      <c r="R53" s="1063">
        <f>Q53*('Ввод исходных данных'!$D$83-O53)</f>
        <v>0</v>
      </c>
      <c r="S53" s="1064">
        <v>11.3</v>
      </c>
      <c r="T53" s="1064"/>
      <c r="U53" s="1064">
        <f t="shared" si="5"/>
        <v>1</v>
      </c>
      <c r="V53" s="1064">
        <f>U53*('Ввод исходных данных'!$D$83-S53)</f>
        <v>8.6999999999999993</v>
      </c>
      <c r="W53" s="1065">
        <v>4.0999999999999996</v>
      </c>
      <c r="X53" s="1065"/>
      <c r="Y53" s="1065">
        <f t="shared" si="6"/>
        <v>31</v>
      </c>
      <c r="Z53" s="1065">
        <f>Y53*('Ввод исходных данных'!$D$83-W53)</f>
        <v>492.90000000000003</v>
      </c>
      <c r="AA53" s="1066">
        <v>-2.2999999999999998</v>
      </c>
      <c r="AB53" s="1066"/>
      <c r="AC53" s="1066">
        <f t="shared" si="7"/>
        <v>30</v>
      </c>
      <c r="AD53" s="1066">
        <f>AC53*('Ввод исходных данных'!$D$83-AA53)</f>
        <v>669</v>
      </c>
      <c r="AE53" s="1067">
        <v>-8.1999999999999993</v>
      </c>
      <c r="AF53" s="1067"/>
      <c r="AG53" s="1067">
        <v>31</v>
      </c>
      <c r="AH53" s="1067">
        <f>AG53*('Ввод исходных данных'!$D$83-AE53)</f>
        <v>874.19999999999993</v>
      </c>
      <c r="AI53" s="1068">
        <v>-11.5</v>
      </c>
      <c r="AJ53" s="1068"/>
      <c r="AK53" s="1068">
        <v>31</v>
      </c>
      <c r="AL53" s="1068">
        <f>AK53*('Ввод исходных данных'!$D$83-AI53)</f>
        <v>976.5</v>
      </c>
      <c r="AM53" s="1069">
        <v>-10.9</v>
      </c>
      <c r="AN53" s="1069"/>
      <c r="AO53" s="1069">
        <v>28</v>
      </c>
      <c r="AP53" s="1069">
        <f>AO53*('Ввод исходных данных'!$D$83-AM53)</f>
        <v>865.19999999999993</v>
      </c>
      <c r="AQ53" s="1064">
        <v>-4.9000000000000004</v>
      </c>
      <c r="AR53" s="1064"/>
      <c r="AS53" s="1064">
        <f t="shared" si="8"/>
        <v>31</v>
      </c>
      <c r="AT53" s="1064">
        <f>AS53*('Ввод исходных данных'!$D$83-AQ53)</f>
        <v>771.9</v>
      </c>
      <c r="AU53" s="1070">
        <v>4.7</v>
      </c>
      <c r="AV53" s="1070"/>
      <c r="AW53" s="1070">
        <f t="shared" si="9"/>
        <v>30</v>
      </c>
      <c r="AX53" s="1070">
        <f>AW53*('Ввод исходных данных'!$D$83-AU53)</f>
        <v>459</v>
      </c>
      <c r="AY53" s="1071">
        <v>12.5</v>
      </c>
      <c r="AZ53" s="1071"/>
      <c r="BA53" s="1071">
        <f t="shared" si="10"/>
        <v>1</v>
      </c>
      <c r="BB53" s="1071">
        <f>BA53*('Ввод исходных данных'!$D$83-AY53)</f>
        <v>7.5</v>
      </c>
      <c r="BC53" s="1072">
        <v>16.7</v>
      </c>
      <c r="BD53" s="1072"/>
      <c r="BE53" s="1072">
        <f t="shared" si="2"/>
        <v>0</v>
      </c>
      <c r="BF53" s="1073">
        <f>BE53*('Ввод исходных данных'!$D$83-BC53)</f>
        <v>0</v>
      </c>
    </row>
    <row r="54" spans="2:58" ht="15.75" customHeight="1" x14ac:dyDescent="0.25">
      <c r="B54" s="1076" t="s">
        <v>293</v>
      </c>
      <c r="C54" s="1076" t="s">
        <v>417</v>
      </c>
      <c r="D54" s="1053" t="str">
        <f t="shared" si="0"/>
        <v>Волгоградская областьВолгоград</v>
      </c>
      <c r="E54" s="1054">
        <v>176</v>
      </c>
      <c r="F54" s="1055">
        <v>-2.2999999999999998</v>
      </c>
      <c r="G54" s="1055">
        <v>-22</v>
      </c>
      <c r="H54" s="1057">
        <v>5.0999999999999996</v>
      </c>
      <c r="I54" s="1058">
        <f>E54*('Ввод исходных данных'!$D$83-F54)</f>
        <v>3924.8</v>
      </c>
      <c r="J54" s="1059" t="str">
        <f t="shared" si="1"/>
        <v>3000-4000</v>
      </c>
      <c r="K54" s="1060">
        <v>23.9</v>
      </c>
      <c r="L54" s="1060"/>
      <c r="M54" s="1061">
        <f t="shared" si="3"/>
        <v>0</v>
      </c>
      <c r="N54" s="1062">
        <f>M54*('Ввод исходных данных'!$D$83-K54)</f>
        <v>0</v>
      </c>
      <c r="O54" s="1063">
        <v>22.7</v>
      </c>
      <c r="P54" s="1063"/>
      <c r="Q54" s="1063">
        <f t="shared" si="4"/>
        <v>0</v>
      </c>
      <c r="R54" s="1063">
        <f>Q54*('Ввод исходных данных'!$D$83-O54)</f>
        <v>0</v>
      </c>
      <c r="S54" s="1064">
        <v>16.3</v>
      </c>
      <c r="T54" s="1064"/>
      <c r="U54" s="1064">
        <f t="shared" si="5"/>
        <v>0</v>
      </c>
      <c r="V54" s="1064">
        <f>U54*('Ввод исходных данных'!$D$83-S54)</f>
        <v>0</v>
      </c>
      <c r="W54" s="1065">
        <v>8.3000000000000007</v>
      </c>
      <c r="X54" s="1065"/>
      <c r="Y54" s="1065">
        <f t="shared" si="6"/>
        <v>12.5</v>
      </c>
      <c r="Z54" s="1065">
        <f>Y54*('Ввод исходных данных'!$D$83-W54)</f>
        <v>146.25</v>
      </c>
      <c r="AA54" s="1066">
        <v>1.1000000000000001</v>
      </c>
      <c r="AB54" s="1066"/>
      <c r="AC54" s="1066">
        <f t="shared" si="7"/>
        <v>30</v>
      </c>
      <c r="AD54" s="1066">
        <f>AC54*('Ввод исходных данных'!$D$83-AA54)</f>
        <v>567</v>
      </c>
      <c r="AE54" s="1067">
        <v>-4.4000000000000004</v>
      </c>
      <c r="AF54" s="1067"/>
      <c r="AG54" s="1067">
        <v>31</v>
      </c>
      <c r="AH54" s="1067">
        <f>AG54*('Ввод исходных данных'!$D$83-AE54)</f>
        <v>756.4</v>
      </c>
      <c r="AI54" s="1068">
        <v>-6.9</v>
      </c>
      <c r="AJ54" s="1068"/>
      <c r="AK54" s="1068">
        <v>31</v>
      </c>
      <c r="AL54" s="1068">
        <f>AK54*('Ввод исходных данных'!$D$83-AI54)</f>
        <v>833.9</v>
      </c>
      <c r="AM54" s="1069">
        <v>-6.5</v>
      </c>
      <c r="AN54" s="1069"/>
      <c r="AO54" s="1069">
        <v>28</v>
      </c>
      <c r="AP54" s="1069">
        <f>AO54*('Ввод исходных данных'!$D$83-AM54)</f>
        <v>742</v>
      </c>
      <c r="AQ54" s="1064">
        <v>-0.3</v>
      </c>
      <c r="AR54" s="1064"/>
      <c r="AS54" s="1064">
        <f t="shared" si="8"/>
        <v>31</v>
      </c>
      <c r="AT54" s="1064">
        <f>AS54*('Ввод исходных данных'!$D$83-AQ54)</f>
        <v>629.30000000000007</v>
      </c>
      <c r="AU54" s="1070">
        <v>10</v>
      </c>
      <c r="AV54" s="1070"/>
      <c r="AW54" s="1070">
        <f t="shared" si="9"/>
        <v>12.5</v>
      </c>
      <c r="AX54" s="1070">
        <f>AW54*('Ввод исходных данных'!$D$83-AU54)</f>
        <v>125</v>
      </c>
      <c r="AY54" s="1071">
        <v>16.8</v>
      </c>
      <c r="AZ54" s="1071"/>
      <c r="BA54" s="1071">
        <f t="shared" si="10"/>
        <v>0</v>
      </c>
      <c r="BB54" s="1071">
        <f>BA54*('Ввод исходных данных'!$D$83-AY54)</f>
        <v>0</v>
      </c>
      <c r="BC54" s="1072">
        <v>21.4</v>
      </c>
      <c r="BD54" s="1072"/>
      <c r="BE54" s="1072">
        <f t="shared" si="2"/>
        <v>0</v>
      </c>
      <c r="BF54" s="1073">
        <f>BE54*('Ввод исходных данных'!$D$83-BC54)</f>
        <v>0</v>
      </c>
    </row>
    <row r="55" spans="2:58" ht="15.75" customHeight="1" x14ac:dyDescent="0.25">
      <c r="B55" s="1052" t="s">
        <v>293</v>
      </c>
      <c r="C55" s="1052" t="s">
        <v>413</v>
      </c>
      <c r="D55" s="1053" t="str">
        <f t="shared" si="0"/>
        <v>Волгоградская областьКамышин</v>
      </c>
      <c r="E55" s="1054">
        <v>188</v>
      </c>
      <c r="F55" s="1055">
        <v>-4.0999999999999996</v>
      </c>
      <c r="G55" s="1055">
        <v>-26</v>
      </c>
      <c r="H55" s="1057">
        <v>8.5</v>
      </c>
      <c r="I55" s="1058">
        <f>E55*('Ввод исходных данных'!$D$83-F55)</f>
        <v>4530.8</v>
      </c>
      <c r="J55" s="1059" t="str">
        <f t="shared" si="1"/>
        <v>4000-5000</v>
      </c>
      <c r="K55" s="1060">
        <v>23.2</v>
      </c>
      <c r="L55" s="1060"/>
      <c r="M55" s="1061">
        <f t="shared" si="3"/>
        <v>0</v>
      </c>
      <c r="N55" s="1062">
        <f>M55*('Ввод исходных данных'!$D$83-K55)</f>
        <v>0</v>
      </c>
      <c r="O55" s="1063">
        <v>21.5</v>
      </c>
      <c r="P55" s="1063"/>
      <c r="Q55" s="1063">
        <f t="shared" si="4"/>
        <v>0</v>
      </c>
      <c r="R55" s="1063">
        <f>Q55*('Ввод исходных данных'!$D$83-O55)</f>
        <v>0</v>
      </c>
      <c r="S55" s="1064">
        <v>15.1</v>
      </c>
      <c r="T55" s="1064"/>
      <c r="U55" s="1064">
        <f t="shared" si="5"/>
        <v>0</v>
      </c>
      <c r="V55" s="1064">
        <f>U55*('Ввод исходных данных'!$D$83-S55)</f>
        <v>0</v>
      </c>
      <c r="W55" s="1065">
        <v>6.7</v>
      </c>
      <c r="X55" s="1065"/>
      <c r="Y55" s="1065">
        <f t="shared" si="6"/>
        <v>18.5</v>
      </c>
      <c r="Z55" s="1065">
        <f>Y55*('Ввод исходных данных'!$D$83-W55)</f>
        <v>246.05</v>
      </c>
      <c r="AA55" s="1066">
        <v>-0.8</v>
      </c>
      <c r="AB55" s="1066"/>
      <c r="AC55" s="1066">
        <f t="shared" si="7"/>
        <v>30</v>
      </c>
      <c r="AD55" s="1066">
        <f>AC55*('Ввод исходных данных'!$D$83-AA55)</f>
        <v>624</v>
      </c>
      <c r="AE55" s="1067">
        <v>-6.7</v>
      </c>
      <c r="AF55" s="1067"/>
      <c r="AG55" s="1067">
        <v>31</v>
      </c>
      <c r="AH55" s="1067">
        <f>AG55*('Ввод исходных данных'!$D$83-AE55)</f>
        <v>827.69999999999993</v>
      </c>
      <c r="AI55" s="1068">
        <v>-10.4</v>
      </c>
      <c r="AJ55" s="1068"/>
      <c r="AK55" s="1068">
        <v>31</v>
      </c>
      <c r="AL55" s="1068">
        <f>AK55*('Ввод исходных данных'!$D$83-AI55)</f>
        <v>942.4</v>
      </c>
      <c r="AM55" s="1069">
        <v>-9.9</v>
      </c>
      <c r="AN55" s="1069"/>
      <c r="AO55" s="1069">
        <v>28</v>
      </c>
      <c r="AP55" s="1069">
        <f>AO55*('Ввод исходных данных'!$D$83-AM55)</f>
        <v>837.19999999999993</v>
      </c>
      <c r="AQ55" s="1064">
        <v>-4</v>
      </c>
      <c r="AR55" s="1064"/>
      <c r="AS55" s="1064">
        <f t="shared" si="8"/>
        <v>31</v>
      </c>
      <c r="AT55" s="1064">
        <f>AS55*('Ввод исходных данных'!$D$83-AQ55)</f>
        <v>744</v>
      </c>
      <c r="AU55" s="1070">
        <v>7.7</v>
      </c>
      <c r="AV55" s="1070"/>
      <c r="AW55" s="1070">
        <f t="shared" si="9"/>
        <v>18.5</v>
      </c>
      <c r="AX55" s="1070">
        <f>AW55*('Ввод исходных данных'!$D$83-AU55)</f>
        <v>227.55</v>
      </c>
      <c r="AY55" s="1071">
        <v>16.2</v>
      </c>
      <c r="AZ55" s="1071"/>
      <c r="BA55" s="1071">
        <f t="shared" si="10"/>
        <v>0</v>
      </c>
      <c r="BB55" s="1071">
        <f>BA55*('Ввод исходных данных'!$D$83-AY55)</f>
        <v>0</v>
      </c>
      <c r="BC55" s="1072">
        <v>20.7</v>
      </c>
      <c r="BD55" s="1072"/>
      <c r="BE55" s="1072">
        <f t="shared" si="2"/>
        <v>0</v>
      </c>
      <c r="BF55" s="1073">
        <f>BE55*('Ввод исходных данных'!$D$83-BC55)</f>
        <v>0</v>
      </c>
    </row>
    <row r="56" spans="2:58" ht="15.75" customHeight="1" x14ac:dyDescent="0.25">
      <c r="B56" s="1076" t="s">
        <v>293</v>
      </c>
      <c r="C56" s="1076" t="s">
        <v>414</v>
      </c>
      <c r="D56" s="1053" t="str">
        <f t="shared" si="0"/>
        <v>Волгоградская областьКостычевка</v>
      </c>
      <c r="E56" s="1054">
        <v>190</v>
      </c>
      <c r="F56" s="1055">
        <v>-3.9</v>
      </c>
      <c r="G56" s="1055">
        <v>-26</v>
      </c>
      <c r="H56" s="1057">
        <f>H54</f>
        <v>5.0999999999999996</v>
      </c>
      <c r="I56" s="1058">
        <f>E56*('Ввод исходных данных'!$D$83-F56)</f>
        <v>4541</v>
      </c>
      <c r="J56" s="1059" t="str">
        <f t="shared" si="1"/>
        <v>4000-5000</v>
      </c>
      <c r="K56" s="1060">
        <v>22.7</v>
      </c>
      <c r="L56" s="1060"/>
      <c r="M56" s="1061">
        <f t="shared" si="3"/>
        <v>0</v>
      </c>
      <c r="N56" s="1062">
        <f>M56*('Ввод исходных данных'!$D$83-K56)</f>
        <v>0</v>
      </c>
      <c r="O56" s="1063">
        <v>21</v>
      </c>
      <c r="P56" s="1063"/>
      <c r="Q56" s="1063">
        <f t="shared" si="4"/>
        <v>0</v>
      </c>
      <c r="R56" s="1063">
        <f>Q56*('Ввод исходных данных'!$D$83-O56)</f>
        <v>0</v>
      </c>
      <c r="S56" s="1064">
        <v>14.5</v>
      </c>
      <c r="T56" s="1064"/>
      <c r="U56" s="1064">
        <f t="shared" si="5"/>
        <v>0</v>
      </c>
      <c r="V56" s="1064">
        <f>U56*('Ввод исходных данных'!$D$83-S56)</f>
        <v>0</v>
      </c>
      <c r="W56" s="1065">
        <v>6</v>
      </c>
      <c r="X56" s="1065"/>
      <c r="Y56" s="1065">
        <f t="shared" si="6"/>
        <v>19.5</v>
      </c>
      <c r="Z56" s="1065">
        <f>Y56*('Ввод исходных данных'!$D$83-W56)</f>
        <v>273</v>
      </c>
      <c r="AA56" s="1066">
        <v>-1.3</v>
      </c>
      <c r="AB56" s="1066"/>
      <c r="AC56" s="1066">
        <f t="shared" si="7"/>
        <v>30</v>
      </c>
      <c r="AD56" s="1066">
        <f>AC56*('Ввод исходных данных'!$D$83-AA56)</f>
        <v>639</v>
      </c>
      <c r="AE56" s="1067">
        <v>-8.1</v>
      </c>
      <c r="AF56" s="1067"/>
      <c r="AG56" s="1067">
        <v>31</v>
      </c>
      <c r="AH56" s="1067">
        <f>AG56*('Ввод исходных данных'!$D$83-AE56)</f>
        <v>871.1</v>
      </c>
      <c r="AI56" s="1068">
        <v>-11.7</v>
      </c>
      <c r="AJ56" s="1068"/>
      <c r="AK56" s="1068">
        <v>31</v>
      </c>
      <c r="AL56" s="1068">
        <f>AK56*('Ввод исходных данных'!$D$83-AI56)</f>
        <v>982.69999999999993</v>
      </c>
      <c r="AM56" s="1069">
        <v>-11.6</v>
      </c>
      <c r="AN56" s="1069"/>
      <c r="AO56" s="1069">
        <v>28</v>
      </c>
      <c r="AP56" s="1069">
        <f>AO56*('Ввод исходных данных'!$D$83-AM56)</f>
        <v>884.80000000000007</v>
      </c>
      <c r="AQ56" s="1064">
        <v>-5.2</v>
      </c>
      <c r="AR56" s="1064"/>
      <c r="AS56" s="1064">
        <f t="shared" si="8"/>
        <v>31</v>
      </c>
      <c r="AT56" s="1064">
        <f>AS56*('Ввод исходных данных'!$D$83-AQ56)</f>
        <v>781.19999999999993</v>
      </c>
      <c r="AU56" s="1070">
        <v>7.2</v>
      </c>
      <c r="AV56" s="1070"/>
      <c r="AW56" s="1070">
        <f t="shared" si="9"/>
        <v>19.5</v>
      </c>
      <c r="AX56" s="1070">
        <f>AW56*('Ввод исходных данных'!$D$83-AU56)</f>
        <v>249.60000000000002</v>
      </c>
      <c r="AY56" s="1071">
        <v>15.7</v>
      </c>
      <c r="AZ56" s="1071"/>
      <c r="BA56" s="1071">
        <f t="shared" si="10"/>
        <v>0</v>
      </c>
      <c r="BB56" s="1071">
        <f>BA56*('Ввод исходных данных'!$D$83-AY56)</f>
        <v>0</v>
      </c>
      <c r="BC56" s="1072">
        <v>20.2</v>
      </c>
      <c r="BD56" s="1072"/>
      <c r="BE56" s="1072">
        <f t="shared" si="2"/>
        <v>0</v>
      </c>
      <c r="BF56" s="1073">
        <f>BE56*('Ввод исходных данных'!$D$83-BC56)</f>
        <v>0</v>
      </c>
    </row>
    <row r="57" spans="2:58" ht="15.75" customHeight="1" x14ac:dyDescent="0.25">
      <c r="B57" s="1052" t="s">
        <v>293</v>
      </c>
      <c r="C57" s="1052" t="s">
        <v>415</v>
      </c>
      <c r="D57" s="1053" t="str">
        <f t="shared" si="0"/>
        <v>Волгоградская областьКотельниково</v>
      </c>
      <c r="E57" s="1054">
        <v>176</v>
      </c>
      <c r="F57" s="1055">
        <v>-1.6</v>
      </c>
      <c r="G57" s="1055">
        <v>-24</v>
      </c>
      <c r="H57" s="1057">
        <v>4.2</v>
      </c>
      <c r="I57" s="1058">
        <f>E57*('Ввод исходных данных'!$D$83-F57)</f>
        <v>3801.6000000000004</v>
      </c>
      <c r="J57" s="1059" t="str">
        <f t="shared" si="1"/>
        <v>3000-4000</v>
      </c>
      <c r="K57" s="1060">
        <v>24</v>
      </c>
      <c r="L57" s="1060"/>
      <c r="M57" s="1061">
        <f t="shared" si="3"/>
        <v>0</v>
      </c>
      <c r="N57" s="1062">
        <f>M57*('Ввод исходных данных'!$D$83-K57)</f>
        <v>0</v>
      </c>
      <c r="O57" s="1063">
        <v>22.7</v>
      </c>
      <c r="P57" s="1063"/>
      <c r="Q57" s="1063">
        <f t="shared" si="4"/>
        <v>0</v>
      </c>
      <c r="R57" s="1063">
        <f>Q57*('Ввод исходных данных'!$D$83-O57)</f>
        <v>0</v>
      </c>
      <c r="S57" s="1064">
        <v>16.2</v>
      </c>
      <c r="T57" s="1064"/>
      <c r="U57" s="1064">
        <f t="shared" si="5"/>
        <v>0</v>
      </c>
      <c r="V57" s="1064">
        <f>U57*('Ввод исходных данных'!$D$83-S57)</f>
        <v>0</v>
      </c>
      <c r="W57" s="1065">
        <v>8.3000000000000007</v>
      </c>
      <c r="X57" s="1065"/>
      <c r="Y57" s="1065">
        <f t="shared" si="6"/>
        <v>12.5</v>
      </c>
      <c r="Z57" s="1065">
        <f>Y57*('Ввод исходных данных'!$D$83-W57)</f>
        <v>146.25</v>
      </c>
      <c r="AA57" s="1066">
        <v>1.9</v>
      </c>
      <c r="AB57" s="1066"/>
      <c r="AC57" s="1066">
        <f t="shared" si="7"/>
        <v>30</v>
      </c>
      <c r="AD57" s="1066">
        <f>AC57*('Ввод исходных данных'!$D$83-AA57)</f>
        <v>543</v>
      </c>
      <c r="AE57" s="1067">
        <v>-3.7</v>
      </c>
      <c r="AF57" s="1067"/>
      <c r="AG57" s="1067">
        <v>31</v>
      </c>
      <c r="AH57" s="1067">
        <f>AG57*('Ввод исходных данных'!$D$83-AE57)</f>
        <v>734.69999999999993</v>
      </c>
      <c r="AI57" s="1068">
        <v>-7.4</v>
      </c>
      <c r="AJ57" s="1068"/>
      <c r="AK57" s="1068">
        <v>31</v>
      </c>
      <c r="AL57" s="1068">
        <f>AK57*('Ввод исходных данных'!$D$83-AI57)</f>
        <v>849.4</v>
      </c>
      <c r="AM57" s="1069">
        <v>-6.8</v>
      </c>
      <c r="AN57" s="1069"/>
      <c r="AO57" s="1069">
        <v>28</v>
      </c>
      <c r="AP57" s="1069">
        <f>AO57*('Ввод исходных данных'!$D$83-AM57)</f>
        <v>750.4</v>
      </c>
      <c r="AQ57" s="1064">
        <v>-0.8</v>
      </c>
      <c r="AR57" s="1064"/>
      <c r="AS57" s="1064">
        <f t="shared" si="8"/>
        <v>31</v>
      </c>
      <c r="AT57" s="1064">
        <f>AS57*('Ввод исходных данных'!$D$83-AQ57)</f>
        <v>644.80000000000007</v>
      </c>
      <c r="AU57" s="1070">
        <v>9.5</v>
      </c>
      <c r="AV57" s="1070"/>
      <c r="AW57" s="1070">
        <f t="shared" si="9"/>
        <v>12.5</v>
      </c>
      <c r="AX57" s="1070">
        <f>AW57*('Ввод исходных данных'!$D$83-AU57)</f>
        <v>131.25</v>
      </c>
      <c r="AY57" s="1071">
        <v>17</v>
      </c>
      <c r="AZ57" s="1071"/>
      <c r="BA57" s="1071">
        <f t="shared" si="10"/>
        <v>0</v>
      </c>
      <c r="BB57" s="1071">
        <f>BA57*('Ввод исходных данных'!$D$83-AY57)</f>
        <v>0</v>
      </c>
      <c r="BC57" s="1072">
        <v>21.2</v>
      </c>
      <c r="BD57" s="1072"/>
      <c r="BE57" s="1072">
        <f t="shared" si="2"/>
        <v>0</v>
      </c>
      <c r="BF57" s="1073">
        <f>BE57*('Ввод исходных данных'!$D$83-BC57)</f>
        <v>0</v>
      </c>
    </row>
    <row r="58" spans="2:58" ht="15.75" customHeight="1" x14ac:dyDescent="0.25">
      <c r="B58" s="1076" t="s">
        <v>293</v>
      </c>
      <c r="C58" s="1076" t="s">
        <v>416</v>
      </c>
      <c r="D58" s="1053" t="str">
        <f t="shared" si="0"/>
        <v>Волгоградская областьНовоаннинский</v>
      </c>
      <c r="E58" s="1054">
        <v>191</v>
      </c>
      <c r="F58" s="1055">
        <v>-3.4</v>
      </c>
      <c r="G58" s="1055">
        <v>-26</v>
      </c>
      <c r="H58" s="1057">
        <f>H57</f>
        <v>4.2</v>
      </c>
      <c r="I58" s="1058">
        <f>E58*('Ввод исходных данных'!$D$83-F58)</f>
        <v>4469.3999999999996</v>
      </c>
      <c r="J58" s="1059" t="str">
        <f t="shared" si="1"/>
        <v>4000-5000</v>
      </c>
      <c r="K58" s="1060">
        <v>21.4</v>
      </c>
      <c r="L58" s="1060"/>
      <c r="M58" s="1061">
        <f t="shared" si="3"/>
        <v>0</v>
      </c>
      <c r="N58" s="1062">
        <f>M58*('Ввод исходных данных'!$D$83-K58)</f>
        <v>0</v>
      </c>
      <c r="O58" s="1063">
        <v>20.2</v>
      </c>
      <c r="P58" s="1063"/>
      <c r="Q58" s="1063">
        <f t="shared" si="4"/>
        <v>0</v>
      </c>
      <c r="R58" s="1063">
        <f>Q58*('Ввод исходных данных'!$D$83-O58)</f>
        <v>0</v>
      </c>
      <c r="S58" s="1064">
        <v>14</v>
      </c>
      <c r="T58" s="1064"/>
      <c r="U58" s="1064">
        <f t="shared" si="5"/>
        <v>0</v>
      </c>
      <c r="V58" s="1064">
        <f>U58*('Ввод исходных данных'!$D$83-S58)</f>
        <v>0</v>
      </c>
      <c r="W58" s="1065">
        <v>5.9</v>
      </c>
      <c r="X58" s="1065"/>
      <c r="Y58" s="1065">
        <f t="shared" si="6"/>
        <v>20</v>
      </c>
      <c r="Z58" s="1065">
        <f>Y58*('Ввод исходных данных'!$D$83-W58)</f>
        <v>282</v>
      </c>
      <c r="AA58" s="1066">
        <v>-0.5</v>
      </c>
      <c r="AB58" s="1066"/>
      <c r="AC58" s="1066">
        <f t="shared" si="7"/>
        <v>30</v>
      </c>
      <c r="AD58" s="1066">
        <f>AC58*('Ввод исходных данных'!$D$83-AA58)</f>
        <v>615</v>
      </c>
      <c r="AE58" s="1067">
        <v>-5.8</v>
      </c>
      <c r="AF58" s="1067"/>
      <c r="AG58" s="1067">
        <v>31</v>
      </c>
      <c r="AH58" s="1067">
        <f>AG58*('Ввод исходных данных'!$D$83-AE58)</f>
        <v>799.80000000000007</v>
      </c>
      <c r="AI58" s="1068">
        <v>-10</v>
      </c>
      <c r="AJ58" s="1068"/>
      <c r="AK58" s="1068">
        <v>31</v>
      </c>
      <c r="AL58" s="1068">
        <f>AK58*('Ввод исходных данных'!$D$83-AI58)</f>
        <v>930</v>
      </c>
      <c r="AM58" s="1069">
        <v>-9.1</v>
      </c>
      <c r="AN58" s="1069"/>
      <c r="AO58" s="1069">
        <v>28</v>
      </c>
      <c r="AP58" s="1069">
        <f>AO58*('Ввод исходных данных'!$D$83-AM58)</f>
        <v>814.80000000000007</v>
      </c>
      <c r="AQ58" s="1064">
        <v>-3.4</v>
      </c>
      <c r="AR58" s="1064"/>
      <c r="AS58" s="1064">
        <f t="shared" si="8"/>
        <v>31</v>
      </c>
      <c r="AT58" s="1064">
        <f>AS58*('Ввод исходных данных'!$D$83-AQ58)</f>
        <v>725.4</v>
      </c>
      <c r="AU58" s="1070">
        <v>7.8</v>
      </c>
      <c r="AV58" s="1070"/>
      <c r="AW58" s="1070">
        <f t="shared" si="9"/>
        <v>20</v>
      </c>
      <c r="AX58" s="1070">
        <f>AW58*('Ввод исходных данных'!$D$83-AU58)</f>
        <v>244</v>
      </c>
      <c r="AY58" s="1071">
        <v>15.4</v>
      </c>
      <c r="AZ58" s="1071"/>
      <c r="BA58" s="1071">
        <f t="shared" si="10"/>
        <v>0</v>
      </c>
      <c r="BB58" s="1071">
        <f>BA58*('Ввод исходных данных'!$D$83-AY58)</f>
        <v>0</v>
      </c>
      <c r="BC58" s="1072">
        <v>19.600000000000001</v>
      </c>
      <c r="BD58" s="1072"/>
      <c r="BE58" s="1072">
        <f t="shared" si="2"/>
        <v>0</v>
      </c>
      <c r="BF58" s="1073">
        <f>BE58*('Ввод исходных данных'!$D$83-BC58)</f>
        <v>0</v>
      </c>
    </row>
    <row r="59" spans="2:58" ht="15.75" customHeight="1" x14ac:dyDescent="0.25">
      <c r="B59" s="1052" t="s">
        <v>293</v>
      </c>
      <c r="C59" s="1052" t="s">
        <v>412</v>
      </c>
      <c r="D59" s="1053" t="str">
        <f t="shared" si="0"/>
        <v>Волгоградская областьЭльтон</v>
      </c>
      <c r="E59" s="1054">
        <v>177</v>
      </c>
      <c r="F59" s="1055">
        <v>-3.2</v>
      </c>
      <c r="G59" s="1055">
        <v>-25</v>
      </c>
      <c r="H59" s="1057">
        <v>5.7</v>
      </c>
      <c r="I59" s="1058">
        <f>E59*('Ввод исходных данных'!$D$83-F59)</f>
        <v>4106.3999999999996</v>
      </c>
      <c r="J59" s="1059" t="str">
        <f t="shared" si="1"/>
        <v>4000-5000</v>
      </c>
      <c r="K59" s="1060">
        <v>24.9</v>
      </c>
      <c r="L59" s="1060"/>
      <c r="M59" s="1061">
        <f t="shared" si="3"/>
        <v>0</v>
      </c>
      <c r="N59" s="1062">
        <f>M59*('Ввод исходных данных'!$D$83-K59)</f>
        <v>0</v>
      </c>
      <c r="O59" s="1063">
        <v>23.4</v>
      </c>
      <c r="P59" s="1063"/>
      <c r="Q59" s="1063">
        <f t="shared" si="4"/>
        <v>0</v>
      </c>
      <c r="R59" s="1063">
        <f>Q59*('Ввод исходных данных'!$D$83-O59)</f>
        <v>0</v>
      </c>
      <c r="S59" s="1064">
        <v>16.600000000000001</v>
      </c>
      <c r="T59" s="1064"/>
      <c r="U59" s="1064">
        <f t="shared" si="5"/>
        <v>0</v>
      </c>
      <c r="V59" s="1064">
        <f>U59*('Ввод исходных данных'!$D$83-S59)</f>
        <v>0</v>
      </c>
      <c r="W59" s="1065">
        <v>8</v>
      </c>
      <c r="X59" s="1065"/>
      <c r="Y59" s="1065">
        <f t="shared" si="6"/>
        <v>13</v>
      </c>
      <c r="Z59" s="1065">
        <f>Y59*('Ввод исходных данных'!$D$83-W59)</f>
        <v>156</v>
      </c>
      <c r="AA59" s="1066">
        <v>0.6</v>
      </c>
      <c r="AB59" s="1066"/>
      <c r="AC59" s="1066">
        <f t="shared" si="7"/>
        <v>30</v>
      </c>
      <c r="AD59" s="1066">
        <f>AC59*('Ввод исходных данных'!$D$83-AA59)</f>
        <v>582</v>
      </c>
      <c r="AE59" s="1067">
        <v>-5.3</v>
      </c>
      <c r="AF59" s="1067"/>
      <c r="AG59" s="1067">
        <v>31</v>
      </c>
      <c r="AH59" s="1067">
        <f>AG59*('Ввод исходных данных'!$D$83-AE59)</f>
        <v>784.30000000000007</v>
      </c>
      <c r="AI59" s="1068">
        <v>-8.1999999999999993</v>
      </c>
      <c r="AJ59" s="1068"/>
      <c r="AK59" s="1068">
        <v>31</v>
      </c>
      <c r="AL59" s="1068">
        <f>AK59*('Ввод исходных данных'!$D$83-AI59)</f>
        <v>874.19999999999993</v>
      </c>
      <c r="AM59" s="1069">
        <v>-7.9</v>
      </c>
      <c r="AN59" s="1069"/>
      <c r="AO59" s="1069">
        <v>28</v>
      </c>
      <c r="AP59" s="1069">
        <f>AO59*('Ввод исходных данных'!$D$83-AM59)</f>
        <v>781.19999999999993</v>
      </c>
      <c r="AQ59" s="1064">
        <v>-1</v>
      </c>
      <c r="AR59" s="1064"/>
      <c r="AS59" s="1064">
        <f t="shared" si="8"/>
        <v>31</v>
      </c>
      <c r="AT59" s="1064">
        <f>AS59*('Ввод исходных данных'!$D$83-AQ59)</f>
        <v>651</v>
      </c>
      <c r="AU59" s="1070">
        <v>10.199999999999999</v>
      </c>
      <c r="AV59" s="1070"/>
      <c r="AW59" s="1070">
        <f t="shared" si="9"/>
        <v>13</v>
      </c>
      <c r="AX59" s="1070">
        <f>AW59*('Ввод исходных данных'!$D$83-AU59)</f>
        <v>127.4</v>
      </c>
      <c r="AY59" s="1071">
        <v>17.5</v>
      </c>
      <c r="AZ59" s="1071"/>
      <c r="BA59" s="1071">
        <f t="shared" si="10"/>
        <v>0</v>
      </c>
      <c r="BB59" s="1071">
        <f>BA59*('Ввод исходных данных'!$D$83-AY59)</f>
        <v>0</v>
      </c>
      <c r="BC59" s="1072">
        <v>22.5</v>
      </c>
      <c r="BD59" s="1072"/>
      <c r="BE59" s="1072">
        <f t="shared" si="2"/>
        <v>0</v>
      </c>
      <c r="BF59" s="1073">
        <f>BE59*('Ввод исходных данных'!$D$83-BC59)</f>
        <v>0</v>
      </c>
    </row>
    <row r="60" spans="2:58" ht="15.75" customHeight="1" x14ac:dyDescent="0.25">
      <c r="B60" s="1076" t="s">
        <v>419</v>
      </c>
      <c r="C60" s="1076" t="s">
        <v>418</v>
      </c>
      <c r="D60" s="1053" t="str">
        <f t="shared" si="0"/>
        <v>Вологодская областьБабаево</v>
      </c>
      <c r="E60" s="1054">
        <v>231</v>
      </c>
      <c r="F60" s="1055">
        <v>-3.8</v>
      </c>
      <c r="G60" s="1055">
        <v>-31</v>
      </c>
      <c r="H60" s="1057">
        <f>H61</f>
        <v>3.9</v>
      </c>
      <c r="I60" s="1058">
        <f>E60*('Ввод исходных данных'!$D$83-F60)</f>
        <v>5497.8</v>
      </c>
      <c r="J60" s="1059" t="str">
        <f t="shared" si="1"/>
        <v>5000-6000</v>
      </c>
      <c r="K60" s="1060">
        <v>16.8</v>
      </c>
      <c r="L60" s="1060"/>
      <c r="M60" s="1061">
        <f t="shared" si="3"/>
        <v>0</v>
      </c>
      <c r="N60" s="1062">
        <f>M60*('Ввод исходных данных'!$D$83-K60)</f>
        <v>0</v>
      </c>
      <c r="O60" s="1063">
        <v>14.9</v>
      </c>
      <c r="P60" s="1063"/>
      <c r="Q60" s="1063">
        <f t="shared" si="4"/>
        <v>0</v>
      </c>
      <c r="R60" s="1063">
        <f>Q60*('Ввод исходных данных'!$D$83-O60)</f>
        <v>0</v>
      </c>
      <c r="S60" s="1064">
        <v>9.1999999999999993</v>
      </c>
      <c r="T60" s="1064"/>
      <c r="U60" s="1064">
        <f t="shared" si="5"/>
        <v>9.5</v>
      </c>
      <c r="V60" s="1064">
        <f>U60*('Ввод исходных данных'!$D$83-S60)</f>
        <v>102.60000000000001</v>
      </c>
      <c r="W60" s="1065">
        <v>2.9</v>
      </c>
      <c r="X60" s="1065"/>
      <c r="Y60" s="1065">
        <f t="shared" si="6"/>
        <v>31</v>
      </c>
      <c r="Z60" s="1065">
        <f>Y60*('Ввод исходных данных'!$D$83-W60)</f>
        <v>530.1</v>
      </c>
      <c r="AA60" s="1066">
        <v>-2.6</v>
      </c>
      <c r="AB60" s="1066"/>
      <c r="AC60" s="1066">
        <f t="shared" si="7"/>
        <v>30</v>
      </c>
      <c r="AD60" s="1066">
        <f>AC60*('Ввод исходных данных'!$D$83-AA60)</f>
        <v>678</v>
      </c>
      <c r="AE60" s="1067">
        <v>-8</v>
      </c>
      <c r="AF60" s="1067"/>
      <c r="AG60" s="1067">
        <v>31</v>
      </c>
      <c r="AH60" s="1067">
        <f>AG60*('Ввод исходных данных'!$D$83-AE60)</f>
        <v>868</v>
      </c>
      <c r="AI60" s="1068">
        <v>-11.6</v>
      </c>
      <c r="AJ60" s="1068"/>
      <c r="AK60" s="1068">
        <v>31</v>
      </c>
      <c r="AL60" s="1068">
        <f>AK60*('Ввод исходных данных'!$D$83-AI60)</f>
        <v>979.6</v>
      </c>
      <c r="AM60" s="1069">
        <v>-10.5</v>
      </c>
      <c r="AN60" s="1069"/>
      <c r="AO60" s="1069">
        <v>28</v>
      </c>
      <c r="AP60" s="1069">
        <f>AO60*('Ввод исходных данных'!$D$83-AM60)</f>
        <v>854</v>
      </c>
      <c r="AQ60" s="1064">
        <v>-5.4</v>
      </c>
      <c r="AR60" s="1064"/>
      <c r="AS60" s="1064">
        <f t="shared" si="8"/>
        <v>31</v>
      </c>
      <c r="AT60" s="1064">
        <f>AS60*('Ввод исходных данных'!$D$83-AQ60)</f>
        <v>787.4</v>
      </c>
      <c r="AU60" s="1070">
        <v>2.4</v>
      </c>
      <c r="AV60" s="1070"/>
      <c r="AW60" s="1070">
        <f t="shared" si="9"/>
        <v>30</v>
      </c>
      <c r="AX60" s="1070">
        <f>AW60*('Ввод исходных данных'!$D$83-AU60)</f>
        <v>528</v>
      </c>
      <c r="AY60" s="1071">
        <v>9.5</v>
      </c>
      <c r="AZ60" s="1071"/>
      <c r="BA60" s="1071">
        <f t="shared" si="10"/>
        <v>9.5</v>
      </c>
      <c r="BB60" s="1071">
        <f>BA60*('Ввод исходных данных'!$D$83-AY60)</f>
        <v>99.75</v>
      </c>
      <c r="BC60" s="1072">
        <v>14.7</v>
      </c>
      <c r="BD60" s="1072"/>
      <c r="BE60" s="1072">
        <f t="shared" si="2"/>
        <v>0</v>
      </c>
      <c r="BF60" s="1073">
        <f>BE60*('Ввод исходных данных'!$D$83-BC60)</f>
        <v>0</v>
      </c>
    </row>
    <row r="61" spans="2:58" ht="15.75" customHeight="1" x14ac:dyDescent="0.25">
      <c r="B61" s="1052" t="s">
        <v>419</v>
      </c>
      <c r="C61" s="1052" t="s">
        <v>421</v>
      </c>
      <c r="D61" s="1053" t="str">
        <f t="shared" si="0"/>
        <v>Вологодская областьВологда</v>
      </c>
      <c r="E61" s="1054">
        <v>228</v>
      </c>
      <c r="F61" s="1055">
        <v>-4</v>
      </c>
      <c r="G61" s="1055">
        <v>-32</v>
      </c>
      <c r="H61" s="1057">
        <v>3.9</v>
      </c>
      <c r="I61" s="1058">
        <f>E61*('Ввод исходных данных'!$D$83-F61)</f>
        <v>5472</v>
      </c>
      <c r="J61" s="1059" t="str">
        <f t="shared" si="1"/>
        <v>5000-6000</v>
      </c>
      <c r="K61" s="1060">
        <v>17.3</v>
      </c>
      <c r="L61" s="1060"/>
      <c r="M61" s="1061">
        <f t="shared" si="3"/>
        <v>0</v>
      </c>
      <c r="N61" s="1062">
        <f>M61*('Ввод исходных данных'!$D$83-K61)</f>
        <v>0</v>
      </c>
      <c r="O61" s="1063">
        <v>14.7</v>
      </c>
      <c r="P61" s="1063"/>
      <c r="Q61" s="1063">
        <f t="shared" si="4"/>
        <v>0</v>
      </c>
      <c r="R61" s="1063">
        <f>Q61*('Ввод исходных данных'!$D$83-O61)</f>
        <v>0</v>
      </c>
      <c r="S61" s="1064">
        <v>9.1999999999999993</v>
      </c>
      <c r="T61" s="1064"/>
      <c r="U61" s="1064">
        <f t="shared" si="5"/>
        <v>8</v>
      </c>
      <c r="V61" s="1064">
        <f>U61*('Ввод исходных данных'!$D$83-S61)</f>
        <v>86.4</v>
      </c>
      <c r="W61" s="1065">
        <v>3</v>
      </c>
      <c r="X61" s="1065"/>
      <c r="Y61" s="1065">
        <f t="shared" si="6"/>
        <v>31</v>
      </c>
      <c r="Z61" s="1065">
        <f>Y61*('Ввод исходных данных'!$D$83-W61)</f>
        <v>527</v>
      </c>
      <c r="AA61" s="1066">
        <v>-3.4</v>
      </c>
      <c r="AB61" s="1066"/>
      <c r="AC61" s="1066">
        <f t="shared" si="7"/>
        <v>30</v>
      </c>
      <c r="AD61" s="1066">
        <f>AC61*('Ввод исходных данных'!$D$83-AA61)</f>
        <v>702</v>
      </c>
      <c r="AE61" s="1067">
        <v>-8.6999999999999993</v>
      </c>
      <c r="AF61" s="1067"/>
      <c r="AG61" s="1067">
        <v>31</v>
      </c>
      <c r="AH61" s="1067">
        <f>AG61*('Ввод исходных данных'!$D$83-AE61)</f>
        <v>889.69999999999993</v>
      </c>
      <c r="AI61" s="1068">
        <v>-11.7</v>
      </c>
      <c r="AJ61" s="1068"/>
      <c r="AK61" s="1068">
        <v>31</v>
      </c>
      <c r="AL61" s="1068">
        <f>AK61*('Ввод исходных данных'!$D$83-AI61)</f>
        <v>982.69999999999993</v>
      </c>
      <c r="AM61" s="1069">
        <v>-10.5</v>
      </c>
      <c r="AN61" s="1069"/>
      <c r="AO61" s="1069">
        <v>28</v>
      </c>
      <c r="AP61" s="1069">
        <f>AO61*('Ввод исходных данных'!$D$83-AM61)</f>
        <v>854</v>
      </c>
      <c r="AQ61" s="1064">
        <v>-4</v>
      </c>
      <c r="AR61" s="1064"/>
      <c r="AS61" s="1064">
        <f t="shared" si="8"/>
        <v>31</v>
      </c>
      <c r="AT61" s="1064">
        <f>AS61*('Ввод исходных данных'!$D$83-AQ61)</f>
        <v>744</v>
      </c>
      <c r="AU61" s="1070">
        <v>3.3</v>
      </c>
      <c r="AV61" s="1070"/>
      <c r="AW61" s="1070">
        <f t="shared" si="9"/>
        <v>30</v>
      </c>
      <c r="AX61" s="1070">
        <f>AW61*('Ввод исходных данных'!$D$83-AU61)</f>
        <v>501</v>
      </c>
      <c r="AY61" s="1071">
        <v>10.4</v>
      </c>
      <c r="AZ61" s="1071"/>
      <c r="BA61" s="1071">
        <f t="shared" si="10"/>
        <v>8</v>
      </c>
      <c r="BB61" s="1071">
        <f>BA61*('Ввод исходных данных'!$D$83-AY61)</f>
        <v>76.8</v>
      </c>
      <c r="BC61" s="1072">
        <v>15</v>
      </c>
      <c r="BD61" s="1072"/>
      <c r="BE61" s="1072">
        <f t="shared" si="2"/>
        <v>0</v>
      </c>
      <c r="BF61" s="1073">
        <f>BE61*('Ввод исходных данных'!$D$83-BC61)</f>
        <v>0</v>
      </c>
    </row>
    <row r="62" spans="2:58" ht="15.75" customHeight="1" x14ac:dyDescent="0.25">
      <c r="B62" s="1076" t="s">
        <v>419</v>
      </c>
      <c r="C62" s="1076" t="s">
        <v>635</v>
      </c>
      <c r="D62" s="1053" t="str">
        <f t="shared" si="0"/>
        <v>Вологодская областьВытегра</v>
      </c>
      <c r="E62" s="1054">
        <v>230</v>
      </c>
      <c r="F62" s="1055">
        <v>-3.4</v>
      </c>
      <c r="G62" s="1055">
        <v>-32</v>
      </c>
      <c r="H62" s="1057">
        <v>3.5</v>
      </c>
      <c r="I62" s="1058">
        <f>E62*('Ввод исходных данных'!$D$83-F62)</f>
        <v>5382</v>
      </c>
      <c r="J62" s="1059" t="str">
        <f t="shared" si="1"/>
        <v>5000-6000</v>
      </c>
      <c r="K62" s="1060">
        <v>17.2</v>
      </c>
      <c r="L62" s="1060"/>
      <c r="M62" s="1061">
        <f t="shared" si="3"/>
        <v>0</v>
      </c>
      <c r="N62" s="1062">
        <f>M62*('Ввод исходных данных'!$D$83-K62)</f>
        <v>0</v>
      </c>
      <c r="O62" s="1063">
        <v>14.8</v>
      </c>
      <c r="P62" s="1063"/>
      <c r="Q62" s="1063">
        <f t="shared" si="4"/>
        <v>0</v>
      </c>
      <c r="R62" s="1063">
        <f>Q62*('Ввод исходных данных'!$D$83-O62)</f>
        <v>0</v>
      </c>
      <c r="S62" s="1064">
        <v>9.5</v>
      </c>
      <c r="T62" s="1064"/>
      <c r="U62" s="1064">
        <f t="shared" si="5"/>
        <v>9</v>
      </c>
      <c r="V62" s="1064">
        <f>U62*('Ввод исходных данных'!$D$83-S62)</f>
        <v>94.5</v>
      </c>
      <c r="W62" s="1065">
        <v>3.7</v>
      </c>
      <c r="X62" s="1065"/>
      <c r="Y62" s="1065">
        <f t="shared" si="6"/>
        <v>31</v>
      </c>
      <c r="Z62" s="1065">
        <f>Y62*('Ввод исходных данных'!$D$83-W62)</f>
        <v>505.3</v>
      </c>
      <c r="AA62" s="1066">
        <v>-2.6</v>
      </c>
      <c r="AB62" s="1066"/>
      <c r="AC62" s="1066">
        <f t="shared" si="7"/>
        <v>30</v>
      </c>
      <c r="AD62" s="1066">
        <f>AC62*('Ввод исходных данных'!$D$83-AA62)</f>
        <v>678</v>
      </c>
      <c r="AE62" s="1067">
        <v>-7.6</v>
      </c>
      <c r="AF62" s="1067"/>
      <c r="AG62" s="1067">
        <v>31</v>
      </c>
      <c r="AH62" s="1067">
        <f>AG62*('Ввод исходных данных'!$D$83-AE62)</f>
        <v>855.6</v>
      </c>
      <c r="AI62" s="1068">
        <v>-10.9</v>
      </c>
      <c r="AJ62" s="1068"/>
      <c r="AK62" s="1068">
        <v>31</v>
      </c>
      <c r="AL62" s="1068">
        <f>AK62*('Ввод исходных данных'!$D$83-AI62)</f>
        <v>957.9</v>
      </c>
      <c r="AM62" s="1069">
        <v>-9.9</v>
      </c>
      <c r="AN62" s="1069"/>
      <c r="AO62" s="1069">
        <v>28</v>
      </c>
      <c r="AP62" s="1069">
        <f>AO62*('Ввод исходных данных'!$D$83-AM62)</f>
        <v>837.19999999999993</v>
      </c>
      <c r="AQ62" s="1064">
        <v>-3.9</v>
      </c>
      <c r="AR62" s="1064"/>
      <c r="AS62" s="1064">
        <f t="shared" si="8"/>
        <v>31</v>
      </c>
      <c r="AT62" s="1064">
        <f>AS62*('Ввод исходных данных'!$D$83-AQ62)</f>
        <v>740.9</v>
      </c>
      <c r="AU62" s="1070">
        <v>2.6</v>
      </c>
      <c r="AV62" s="1070"/>
      <c r="AW62" s="1070">
        <f t="shared" si="9"/>
        <v>30</v>
      </c>
      <c r="AX62" s="1070">
        <f>AW62*('Ввод исходных данных'!$D$83-AU62)</f>
        <v>522</v>
      </c>
      <c r="AY62" s="1071">
        <v>9.3000000000000007</v>
      </c>
      <c r="AZ62" s="1071"/>
      <c r="BA62" s="1071">
        <f t="shared" si="10"/>
        <v>9</v>
      </c>
      <c r="BB62" s="1071">
        <f>BA62*('Ввод исходных данных'!$D$83-AY62)</f>
        <v>96.3</v>
      </c>
      <c r="BC62" s="1072">
        <v>14.4</v>
      </c>
      <c r="BD62" s="1072"/>
      <c r="BE62" s="1072">
        <f t="shared" si="2"/>
        <v>0</v>
      </c>
      <c r="BF62" s="1073">
        <f>BE62*('Ввод исходных данных'!$D$83-BC62)</f>
        <v>0</v>
      </c>
    </row>
    <row r="63" spans="2:58" ht="15.75" customHeight="1" x14ac:dyDescent="0.25">
      <c r="B63" s="1052" t="s">
        <v>419</v>
      </c>
      <c r="C63" s="1052" t="s">
        <v>636</v>
      </c>
      <c r="D63" s="1053" t="str">
        <f t="shared" si="0"/>
        <v>Вологодская областьНикольск</v>
      </c>
      <c r="E63" s="1054">
        <v>231</v>
      </c>
      <c r="F63" s="1055">
        <v>-4.7</v>
      </c>
      <c r="G63" s="1055">
        <v>-35</v>
      </c>
      <c r="H63" s="1057">
        <v>2.6</v>
      </c>
      <c r="I63" s="1058">
        <f>E63*('Ввод исходных данных'!$D$83-F63)</f>
        <v>5705.7</v>
      </c>
      <c r="J63" s="1059" t="str">
        <f t="shared" si="1"/>
        <v>5000-6000</v>
      </c>
      <c r="K63" s="1060">
        <v>17.399999999999999</v>
      </c>
      <c r="L63" s="1060"/>
      <c r="M63" s="1061">
        <f t="shared" si="3"/>
        <v>0</v>
      </c>
      <c r="N63" s="1062">
        <f>M63*('Ввод исходных данных'!$D$83-K63)</f>
        <v>0</v>
      </c>
      <c r="O63" s="1063">
        <v>14.6</v>
      </c>
      <c r="P63" s="1063"/>
      <c r="Q63" s="1063">
        <f t="shared" si="4"/>
        <v>0</v>
      </c>
      <c r="R63" s="1063">
        <f>Q63*('Ввод исходных данных'!$D$83-O63)</f>
        <v>0</v>
      </c>
      <c r="S63" s="1064">
        <v>8.8000000000000007</v>
      </c>
      <c r="T63" s="1064"/>
      <c r="U63" s="1064">
        <f t="shared" si="5"/>
        <v>9.5</v>
      </c>
      <c r="V63" s="1064">
        <f>U63*('Ввод исходных данных'!$D$83-S63)</f>
        <v>106.39999999999999</v>
      </c>
      <c r="W63" s="1065">
        <v>2.2000000000000002</v>
      </c>
      <c r="X63" s="1065"/>
      <c r="Y63" s="1065">
        <f t="shared" si="6"/>
        <v>31</v>
      </c>
      <c r="Z63" s="1065">
        <f>Y63*('Ввод исходных данных'!$D$83-W63)</f>
        <v>551.80000000000007</v>
      </c>
      <c r="AA63" s="1066">
        <v>-4.5999999999999996</v>
      </c>
      <c r="AB63" s="1066"/>
      <c r="AC63" s="1066">
        <f t="shared" si="7"/>
        <v>30</v>
      </c>
      <c r="AD63" s="1066">
        <f>AC63*('Ввод исходных данных'!$D$83-AA63)</f>
        <v>738</v>
      </c>
      <c r="AE63" s="1067">
        <v>-10.1</v>
      </c>
      <c r="AF63" s="1067"/>
      <c r="AG63" s="1067">
        <v>31</v>
      </c>
      <c r="AH63" s="1067">
        <f>AG63*('Ввод исходных данных'!$D$83-AE63)</f>
        <v>933.1</v>
      </c>
      <c r="AI63" s="1068">
        <v>-13.3</v>
      </c>
      <c r="AJ63" s="1068"/>
      <c r="AK63" s="1068">
        <v>31</v>
      </c>
      <c r="AL63" s="1068">
        <f>AK63*('Ввод исходных данных'!$D$83-AI63)</f>
        <v>1032.3</v>
      </c>
      <c r="AM63" s="1069">
        <v>-11.5</v>
      </c>
      <c r="AN63" s="1069"/>
      <c r="AO63" s="1069">
        <v>28</v>
      </c>
      <c r="AP63" s="1069">
        <f>AO63*('Ввод исходных данных'!$D$83-AM63)</f>
        <v>882</v>
      </c>
      <c r="AQ63" s="1064">
        <v>-4.4000000000000004</v>
      </c>
      <c r="AR63" s="1064"/>
      <c r="AS63" s="1064">
        <f t="shared" si="8"/>
        <v>31</v>
      </c>
      <c r="AT63" s="1064">
        <f>AS63*('Ввод исходных данных'!$D$83-AQ63)</f>
        <v>756.4</v>
      </c>
      <c r="AU63" s="1070">
        <v>3</v>
      </c>
      <c r="AV63" s="1070"/>
      <c r="AW63" s="1070">
        <f t="shared" si="9"/>
        <v>30</v>
      </c>
      <c r="AX63" s="1070">
        <f>AW63*('Ввод исходных данных'!$D$83-AU63)</f>
        <v>510</v>
      </c>
      <c r="AY63" s="1071">
        <v>9.9</v>
      </c>
      <c r="AZ63" s="1071"/>
      <c r="BA63" s="1071">
        <f t="shared" si="10"/>
        <v>9.5</v>
      </c>
      <c r="BB63" s="1071">
        <f>BA63*('Ввод исходных данных'!$D$83-AY63)</f>
        <v>95.95</v>
      </c>
      <c r="BC63" s="1072">
        <v>15</v>
      </c>
      <c r="BD63" s="1072"/>
      <c r="BE63" s="1072">
        <f t="shared" si="2"/>
        <v>0</v>
      </c>
      <c r="BF63" s="1073">
        <f>BE63*('Ввод исходных данных'!$D$83-BC63)</f>
        <v>0</v>
      </c>
    </row>
    <row r="64" spans="2:58" ht="15.75" customHeight="1" x14ac:dyDescent="0.25">
      <c r="B64" s="1076" t="s">
        <v>419</v>
      </c>
      <c r="C64" s="1076" t="s">
        <v>420</v>
      </c>
      <c r="D64" s="1053" t="str">
        <f t="shared" si="0"/>
        <v>Вологодская областьТотьма</v>
      </c>
      <c r="E64" s="1054">
        <v>232</v>
      </c>
      <c r="F64" s="1055">
        <v>-4.5</v>
      </c>
      <c r="G64" s="1055">
        <v>-32</v>
      </c>
      <c r="H64" s="1057">
        <v>3.1</v>
      </c>
      <c r="I64" s="1058">
        <f>E64*('Ввод исходных данных'!$D$83-F64)</f>
        <v>5684</v>
      </c>
      <c r="J64" s="1059" t="str">
        <f t="shared" si="1"/>
        <v>5000-6000</v>
      </c>
      <c r="K64" s="1060">
        <v>17.2</v>
      </c>
      <c r="L64" s="1060"/>
      <c r="M64" s="1061">
        <f t="shared" si="3"/>
        <v>0</v>
      </c>
      <c r="N64" s="1062">
        <f>M64*('Ввод исходных данных'!$D$83-K64)</f>
        <v>0</v>
      </c>
      <c r="O64" s="1063">
        <v>14.4</v>
      </c>
      <c r="P64" s="1063"/>
      <c r="Q64" s="1063">
        <f t="shared" si="4"/>
        <v>0</v>
      </c>
      <c r="R64" s="1063">
        <f>Q64*('Ввод исходных данных'!$D$83-O64)</f>
        <v>0</v>
      </c>
      <c r="S64" s="1064">
        <v>8.6999999999999993</v>
      </c>
      <c r="T64" s="1064"/>
      <c r="U64" s="1064">
        <f t="shared" si="5"/>
        <v>10</v>
      </c>
      <c r="V64" s="1064">
        <f>U64*('Ввод исходных данных'!$D$83-S64)</f>
        <v>113</v>
      </c>
      <c r="W64" s="1065">
        <v>2.4</v>
      </c>
      <c r="X64" s="1065"/>
      <c r="Y64" s="1065">
        <f t="shared" si="6"/>
        <v>31</v>
      </c>
      <c r="Z64" s="1065">
        <f>Y64*('Ввод исходных данных'!$D$83-W64)</f>
        <v>545.6</v>
      </c>
      <c r="AA64" s="1066">
        <v>-4.3</v>
      </c>
      <c r="AB64" s="1066"/>
      <c r="AC64" s="1066">
        <f t="shared" si="7"/>
        <v>30</v>
      </c>
      <c r="AD64" s="1066">
        <f>AC64*('Ввод исходных данных'!$D$83-AA64)</f>
        <v>729</v>
      </c>
      <c r="AE64" s="1067">
        <v>-9.6999999999999993</v>
      </c>
      <c r="AF64" s="1067"/>
      <c r="AG64" s="1067">
        <v>31</v>
      </c>
      <c r="AH64" s="1067">
        <f>AG64*('Ввод исходных данных'!$D$83-AE64)</f>
        <v>920.69999999999993</v>
      </c>
      <c r="AI64" s="1068">
        <v>-12.8</v>
      </c>
      <c r="AJ64" s="1068"/>
      <c r="AK64" s="1068">
        <v>31</v>
      </c>
      <c r="AL64" s="1068">
        <f>AK64*('Ввод исходных данных'!$D$83-AI64)</f>
        <v>1016.8</v>
      </c>
      <c r="AM64" s="1069">
        <v>-11</v>
      </c>
      <c r="AN64" s="1069"/>
      <c r="AO64" s="1069">
        <v>28</v>
      </c>
      <c r="AP64" s="1069">
        <f>AO64*('Ввод исходных данных'!$D$83-AM64)</f>
        <v>868</v>
      </c>
      <c r="AQ64" s="1064">
        <v>-4.0999999999999996</v>
      </c>
      <c r="AR64" s="1064"/>
      <c r="AS64" s="1064">
        <f t="shared" si="8"/>
        <v>31</v>
      </c>
      <c r="AT64" s="1064">
        <f>AS64*('Ввод исходных данных'!$D$83-AQ64)</f>
        <v>747.1</v>
      </c>
      <c r="AU64" s="1070">
        <v>2.8</v>
      </c>
      <c r="AV64" s="1070"/>
      <c r="AW64" s="1070">
        <f t="shared" si="9"/>
        <v>30</v>
      </c>
      <c r="AX64" s="1070">
        <f>AW64*('Ввод исходных данных'!$D$83-AU64)</f>
        <v>516</v>
      </c>
      <c r="AY64" s="1071">
        <v>9.8000000000000007</v>
      </c>
      <c r="AZ64" s="1071"/>
      <c r="BA64" s="1071">
        <f t="shared" si="10"/>
        <v>10</v>
      </c>
      <c r="BB64" s="1071">
        <f>BA64*('Ввод исходных данных'!$D$83-AY64)</f>
        <v>102</v>
      </c>
      <c r="BC64" s="1072">
        <v>14.7</v>
      </c>
      <c r="BD64" s="1072"/>
      <c r="BE64" s="1072">
        <f t="shared" si="2"/>
        <v>0</v>
      </c>
      <c r="BF64" s="1073">
        <f>BE64*('Ввод исходных данных'!$D$83-BC64)</f>
        <v>0</v>
      </c>
    </row>
    <row r="65" spans="2:58" ht="15.75" customHeight="1" x14ac:dyDescent="0.25">
      <c r="B65" s="1052" t="s">
        <v>422</v>
      </c>
      <c r="C65" s="1052" t="s">
        <v>423</v>
      </c>
      <c r="D65" s="1053" t="str">
        <f t="shared" si="0"/>
        <v>Воронежская областьВоронеж</v>
      </c>
      <c r="E65" s="1054">
        <v>190</v>
      </c>
      <c r="F65" s="1055">
        <v>-2.5</v>
      </c>
      <c r="G65" s="1055">
        <v>-24</v>
      </c>
      <c r="H65" s="1057">
        <v>4</v>
      </c>
      <c r="I65" s="1058">
        <f>E65*('Ввод исходных данных'!$D$83-F65)</f>
        <v>4275</v>
      </c>
      <c r="J65" s="1059" t="str">
        <f t="shared" si="1"/>
        <v>4000-5000</v>
      </c>
      <c r="K65" s="1060">
        <v>20.100000000000001</v>
      </c>
      <c r="L65" s="1060"/>
      <c r="M65" s="1061">
        <f t="shared" si="3"/>
        <v>0</v>
      </c>
      <c r="N65" s="1062">
        <f>M65*('Ввод исходных данных'!$D$83-K65)</f>
        <v>0</v>
      </c>
      <c r="O65" s="1063">
        <v>18.899999999999999</v>
      </c>
      <c r="P65" s="1063"/>
      <c r="Q65" s="1063">
        <f t="shared" si="4"/>
        <v>0</v>
      </c>
      <c r="R65" s="1063">
        <f>Q65*('Ввод исходных данных'!$D$83-O65)</f>
        <v>0</v>
      </c>
      <c r="S65" s="1064">
        <v>13.1</v>
      </c>
      <c r="T65" s="1064"/>
      <c r="U65" s="1064">
        <f t="shared" si="5"/>
        <v>0</v>
      </c>
      <c r="V65" s="1064">
        <f>U65*('Ввод исходных данных'!$D$83-S65)</f>
        <v>0</v>
      </c>
      <c r="W65" s="1065">
        <v>6.5</v>
      </c>
      <c r="X65" s="1065"/>
      <c r="Y65" s="1065">
        <f t="shared" si="6"/>
        <v>19.5</v>
      </c>
      <c r="Z65" s="1065">
        <f>Y65*('Ввод исходных данных'!$D$83-W65)</f>
        <v>263.25</v>
      </c>
      <c r="AA65" s="1066">
        <v>-0.1</v>
      </c>
      <c r="AB65" s="1066"/>
      <c r="AC65" s="1066">
        <f t="shared" si="7"/>
        <v>30</v>
      </c>
      <c r="AD65" s="1066">
        <f>AC65*('Ввод исходных данных'!$D$83-AA65)</f>
        <v>603</v>
      </c>
      <c r="AE65" s="1067">
        <v>-5.2</v>
      </c>
      <c r="AF65" s="1067"/>
      <c r="AG65" s="1067">
        <v>31</v>
      </c>
      <c r="AH65" s="1067">
        <f>AG65*('Ввод исходных данных'!$D$83-AE65)</f>
        <v>781.19999999999993</v>
      </c>
      <c r="AI65" s="1068">
        <v>-7.5</v>
      </c>
      <c r="AJ65" s="1068"/>
      <c r="AK65" s="1068">
        <v>31</v>
      </c>
      <c r="AL65" s="1068">
        <f>AK65*('Ввод исходных данных'!$D$83-AI65)</f>
        <v>852.5</v>
      </c>
      <c r="AM65" s="1069">
        <v>-7.2</v>
      </c>
      <c r="AN65" s="1069"/>
      <c r="AO65" s="1069">
        <v>28</v>
      </c>
      <c r="AP65" s="1069">
        <f>AO65*('Ввод исходных данных'!$D$83-AM65)</f>
        <v>761.6</v>
      </c>
      <c r="AQ65" s="1064">
        <v>-1.4</v>
      </c>
      <c r="AR65" s="1064"/>
      <c r="AS65" s="1064">
        <f t="shared" si="8"/>
        <v>31</v>
      </c>
      <c r="AT65" s="1064">
        <f>AS65*('Ввод исходных данных'!$D$83-AQ65)</f>
        <v>663.4</v>
      </c>
      <c r="AU65" s="1070">
        <v>8.1999999999999993</v>
      </c>
      <c r="AV65" s="1070"/>
      <c r="AW65" s="1070">
        <f t="shared" si="9"/>
        <v>19.5</v>
      </c>
      <c r="AX65" s="1070">
        <f>AW65*('Ввод исходных данных'!$D$83-AU65)</f>
        <v>230.10000000000002</v>
      </c>
      <c r="AY65" s="1071">
        <v>14.9</v>
      </c>
      <c r="AZ65" s="1071"/>
      <c r="BA65" s="1071">
        <f t="shared" si="10"/>
        <v>0</v>
      </c>
      <c r="BB65" s="1071">
        <f>BA65*('Ввод исходных данных'!$D$83-AY65)</f>
        <v>0</v>
      </c>
      <c r="BC65" s="1072">
        <v>18.399999999999999</v>
      </c>
      <c r="BD65" s="1072"/>
      <c r="BE65" s="1072">
        <f t="shared" si="2"/>
        <v>0</v>
      </c>
      <c r="BF65" s="1073">
        <f>BE65*('Ввод исходных данных'!$D$83-BC65)</f>
        <v>0</v>
      </c>
    </row>
    <row r="66" spans="2:58" ht="15.75" customHeight="1" x14ac:dyDescent="0.25">
      <c r="B66" s="1076" t="s">
        <v>95</v>
      </c>
      <c r="C66" s="1076" t="s">
        <v>96</v>
      </c>
      <c r="D66" s="1053" t="str">
        <f t="shared" si="0"/>
        <v>Еврейская автономная областьБиробиджан</v>
      </c>
      <c r="E66" s="1054">
        <v>219</v>
      </c>
      <c r="F66" s="1055">
        <v>-10.4</v>
      </c>
      <c r="G66" s="1055">
        <v>-32</v>
      </c>
      <c r="H66" s="1057">
        <f>H440</f>
        <v>3.9</v>
      </c>
      <c r="I66" s="1058">
        <f>E66*('Ввод исходных данных'!$D$83-F66)</f>
        <v>6657.5999999999995</v>
      </c>
      <c r="J66" s="1059" t="str">
        <f t="shared" si="1"/>
        <v>6000-7000</v>
      </c>
      <c r="K66" s="1060">
        <v>20.3</v>
      </c>
      <c r="L66" s="1060"/>
      <c r="M66" s="1061">
        <f t="shared" si="3"/>
        <v>0</v>
      </c>
      <c r="N66" s="1062">
        <f>M66*('Ввод исходных данных'!$D$83-K66)</f>
        <v>0</v>
      </c>
      <c r="O66" s="1063">
        <v>19</v>
      </c>
      <c r="P66" s="1063"/>
      <c r="Q66" s="1063">
        <f t="shared" si="4"/>
        <v>0</v>
      </c>
      <c r="R66" s="1063">
        <f>Q66*('Ввод исходных данных'!$D$83-O66)</f>
        <v>0</v>
      </c>
      <c r="S66" s="1064">
        <v>12.4</v>
      </c>
      <c r="T66" s="1064"/>
      <c r="U66" s="1064">
        <f t="shared" si="5"/>
        <v>3.5</v>
      </c>
      <c r="V66" s="1064">
        <f>U66*('Ввод исходных данных'!$D$83-S66)</f>
        <v>26.599999999999998</v>
      </c>
      <c r="W66" s="1065">
        <v>3</v>
      </c>
      <c r="X66" s="1065"/>
      <c r="Y66" s="1065">
        <f t="shared" si="6"/>
        <v>31</v>
      </c>
      <c r="Z66" s="1065">
        <f>Y66*('Ввод исходных данных'!$D$83-W66)</f>
        <v>527</v>
      </c>
      <c r="AA66" s="1066">
        <v>-9.8000000000000007</v>
      </c>
      <c r="AB66" s="1066"/>
      <c r="AC66" s="1066">
        <f t="shared" si="7"/>
        <v>30</v>
      </c>
      <c r="AD66" s="1066">
        <f>AC66*('Ввод исходных данных'!$D$83-AA66)</f>
        <v>894</v>
      </c>
      <c r="AE66" s="1067">
        <v>-19.600000000000001</v>
      </c>
      <c r="AF66" s="1067"/>
      <c r="AG66" s="1067">
        <v>31</v>
      </c>
      <c r="AH66" s="1067">
        <f>AG66*('Ввод исходных данных'!$D$83-AE66)</f>
        <v>1227.6000000000001</v>
      </c>
      <c r="AI66" s="1068">
        <v>-22.6</v>
      </c>
      <c r="AJ66" s="1068"/>
      <c r="AK66" s="1068">
        <v>31</v>
      </c>
      <c r="AL66" s="1068">
        <f>AK66*('Ввод исходных данных'!$D$83-AI66)</f>
        <v>1320.6000000000001</v>
      </c>
      <c r="AM66" s="1069">
        <v>-17.5</v>
      </c>
      <c r="AN66" s="1069"/>
      <c r="AO66" s="1069">
        <v>28</v>
      </c>
      <c r="AP66" s="1069">
        <f>AO66*('Ввод исходных данных'!$D$83-AM66)</f>
        <v>1050</v>
      </c>
      <c r="AQ66" s="1064">
        <v>-9</v>
      </c>
      <c r="AR66" s="1064"/>
      <c r="AS66" s="1064">
        <f t="shared" si="8"/>
        <v>31</v>
      </c>
      <c r="AT66" s="1064">
        <f>AS66*('Ввод исходных данных'!$D$83-AQ66)</f>
        <v>899</v>
      </c>
      <c r="AU66" s="1070">
        <v>3</v>
      </c>
      <c r="AV66" s="1070"/>
      <c r="AW66" s="1070">
        <f t="shared" si="9"/>
        <v>30</v>
      </c>
      <c r="AX66" s="1070">
        <f>AW66*('Ввод исходных данных'!$D$83-AU66)</f>
        <v>510</v>
      </c>
      <c r="AY66" s="1071">
        <v>10.7</v>
      </c>
      <c r="AZ66" s="1071"/>
      <c r="BA66" s="1071">
        <f t="shared" si="10"/>
        <v>3.5</v>
      </c>
      <c r="BB66" s="1071">
        <f>BA66*('Ввод исходных данных'!$D$83-AY66)</f>
        <v>32.550000000000004</v>
      </c>
      <c r="BC66" s="1072">
        <v>16.7</v>
      </c>
      <c r="BD66" s="1072"/>
      <c r="BE66" s="1072">
        <f t="shared" si="2"/>
        <v>0</v>
      </c>
      <c r="BF66" s="1073">
        <f>BE66*('Ввод исходных данных'!$D$83-BC66)</f>
        <v>0</v>
      </c>
    </row>
    <row r="67" spans="2:58" ht="15.75" customHeight="1" x14ac:dyDescent="0.25">
      <c r="B67" s="1052" t="s">
        <v>95</v>
      </c>
      <c r="C67" s="1052" t="s">
        <v>97</v>
      </c>
      <c r="D67" s="1053" t="str">
        <f t="shared" si="0"/>
        <v>Еврейская автономная областьОблучье</v>
      </c>
      <c r="E67" s="1054">
        <v>227</v>
      </c>
      <c r="F67" s="1055">
        <v>-11.5</v>
      </c>
      <c r="G67" s="1055">
        <v>-36</v>
      </c>
      <c r="H67" s="1057">
        <f>H66</f>
        <v>3.9</v>
      </c>
      <c r="I67" s="1058">
        <f>E67*('Ввод исходных данных'!$D$83-F67)</f>
        <v>7150.5</v>
      </c>
      <c r="J67" s="1059" t="str">
        <f t="shared" si="1"/>
        <v>7000-8000</v>
      </c>
      <c r="K67" s="1060">
        <v>19.8</v>
      </c>
      <c r="L67" s="1060"/>
      <c r="M67" s="1061">
        <f t="shared" si="3"/>
        <v>0</v>
      </c>
      <c r="N67" s="1062">
        <f>M67*('Ввод исходных данных'!$D$83-K67)</f>
        <v>0</v>
      </c>
      <c r="O67" s="1063">
        <v>17.899999999999999</v>
      </c>
      <c r="P67" s="1063"/>
      <c r="Q67" s="1063">
        <f t="shared" si="4"/>
        <v>0</v>
      </c>
      <c r="R67" s="1063">
        <f>Q67*('Ввод исходных данных'!$D$83-O67)</f>
        <v>0</v>
      </c>
      <c r="S67" s="1064">
        <v>11</v>
      </c>
      <c r="T67" s="1064"/>
      <c r="U67" s="1064">
        <f t="shared" si="5"/>
        <v>7.5</v>
      </c>
      <c r="V67" s="1064">
        <f>U67*('Ввод исходных данных'!$D$83-S67)</f>
        <v>67.5</v>
      </c>
      <c r="W67" s="1065">
        <v>1.1000000000000001</v>
      </c>
      <c r="X67" s="1065"/>
      <c r="Y67" s="1065">
        <f t="shared" si="6"/>
        <v>31</v>
      </c>
      <c r="Z67" s="1065">
        <f>Y67*('Ввод исходных данных'!$D$83-W67)</f>
        <v>585.9</v>
      </c>
      <c r="AA67" s="1066">
        <v>-12.6</v>
      </c>
      <c r="AB67" s="1066"/>
      <c r="AC67" s="1066">
        <f t="shared" si="7"/>
        <v>30</v>
      </c>
      <c r="AD67" s="1066">
        <f>AC67*('Ввод исходных данных'!$D$83-AA67)</f>
        <v>978</v>
      </c>
      <c r="AE67" s="1067">
        <v>-23.6</v>
      </c>
      <c r="AF67" s="1067"/>
      <c r="AG67" s="1067">
        <v>31</v>
      </c>
      <c r="AH67" s="1067">
        <f>AG67*('Ввод исходных данных'!$D$83-AE67)</f>
        <v>1351.6000000000001</v>
      </c>
      <c r="AI67" s="1068">
        <v>-26.5</v>
      </c>
      <c r="AJ67" s="1068"/>
      <c r="AK67" s="1068">
        <v>31</v>
      </c>
      <c r="AL67" s="1068">
        <f>AK67*('Ввод исходных данных'!$D$83-AI67)</f>
        <v>1441.5</v>
      </c>
      <c r="AM67" s="1069">
        <v>-21.1</v>
      </c>
      <c r="AN67" s="1069"/>
      <c r="AO67" s="1069">
        <v>28</v>
      </c>
      <c r="AP67" s="1069">
        <f>AO67*('Ввод исходных данных'!$D$83-AM67)</f>
        <v>1150.8</v>
      </c>
      <c r="AQ67" s="1064">
        <v>-11.4</v>
      </c>
      <c r="AR67" s="1064"/>
      <c r="AS67" s="1064">
        <f t="shared" si="8"/>
        <v>31</v>
      </c>
      <c r="AT67" s="1064">
        <f>AS67*('Ввод исходных данных'!$D$83-AQ67)</f>
        <v>973.4</v>
      </c>
      <c r="AU67" s="1070">
        <v>1.4</v>
      </c>
      <c r="AV67" s="1070"/>
      <c r="AW67" s="1070">
        <f t="shared" si="9"/>
        <v>30</v>
      </c>
      <c r="AX67" s="1070">
        <f>AW67*('Ввод исходных данных'!$D$83-AU67)</f>
        <v>558</v>
      </c>
      <c r="AY67" s="1071">
        <v>9.6</v>
      </c>
      <c r="AZ67" s="1071"/>
      <c r="BA67" s="1071">
        <f t="shared" si="10"/>
        <v>7.5</v>
      </c>
      <c r="BB67" s="1071">
        <f>BA67*('Ввод исходных данных'!$D$83-AY67)</f>
        <v>78</v>
      </c>
      <c r="BC67" s="1072">
        <v>16.2</v>
      </c>
      <c r="BD67" s="1072"/>
      <c r="BE67" s="1072">
        <f t="shared" si="2"/>
        <v>0</v>
      </c>
      <c r="BF67" s="1073">
        <f>BE67*('Ввод исходных данных'!$D$83-BC67)</f>
        <v>0</v>
      </c>
    </row>
    <row r="68" spans="2:58" ht="15.75" customHeight="1" x14ac:dyDescent="0.25">
      <c r="B68" s="1076" t="s">
        <v>255</v>
      </c>
      <c r="C68" s="1076" t="s">
        <v>429</v>
      </c>
      <c r="D68" s="1053" t="str">
        <f t="shared" si="0"/>
        <v>Забайкальский крайАгинское</v>
      </c>
      <c r="E68" s="1054">
        <v>238</v>
      </c>
      <c r="F68" s="1055">
        <v>-10.4</v>
      </c>
      <c r="G68" s="1055">
        <v>-36</v>
      </c>
      <c r="H68" s="1057">
        <f>H75</f>
        <v>3.6</v>
      </c>
      <c r="I68" s="1058">
        <f>E68*('Ввод исходных данных'!$D$83-F68)</f>
        <v>7235.2</v>
      </c>
      <c r="J68" s="1059" t="str">
        <f t="shared" si="1"/>
        <v>7000-8000</v>
      </c>
      <c r="K68" s="1060">
        <v>18.399999999999999</v>
      </c>
      <c r="L68" s="1060"/>
      <c r="M68" s="1061">
        <f t="shared" si="3"/>
        <v>0</v>
      </c>
      <c r="N68" s="1062">
        <f>M68*('Ввод исходных данных'!$D$83-K68)</f>
        <v>0</v>
      </c>
      <c r="O68" s="1063">
        <v>15.5</v>
      </c>
      <c r="P68" s="1063"/>
      <c r="Q68" s="1063">
        <f t="shared" si="4"/>
        <v>0</v>
      </c>
      <c r="R68" s="1063">
        <f>Q68*('Ввод исходных данных'!$D$83-O68)</f>
        <v>0</v>
      </c>
      <c r="S68" s="1064">
        <v>8.4</v>
      </c>
      <c r="T68" s="1064"/>
      <c r="U68" s="1064">
        <f t="shared" si="5"/>
        <v>13</v>
      </c>
      <c r="V68" s="1064">
        <f>U68*('Ввод исходных данных'!$D$83-S68)</f>
        <v>150.79999999999998</v>
      </c>
      <c r="W68" s="1065">
        <v>-0.6</v>
      </c>
      <c r="X68" s="1065"/>
      <c r="Y68" s="1065">
        <f t="shared" si="6"/>
        <v>31</v>
      </c>
      <c r="Z68" s="1065">
        <f>Y68*('Ввод исходных данных'!$D$83-W68)</f>
        <v>638.6</v>
      </c>
      <c r="AA68" s="1066">
        <v>-13</v>
      </c>
      <c r="AB68" s="1066"/>
      <c r="AC68" s="1066">
        <f t="shared" si="7"/>
        <v>30</v>
      </c>
      <c r="AD68" s="1066">
        <f>AC68*('Ввод исходных данных'!$D$83-AA68)</f>
        <v>990</v>
      </c>
      <c r="AE68" s="1067">
        <v>-21.3</v>
      </c>
      <c r="AF68" s="1067"/>
      <c r="AG68" s="1067">
        <v>31</v>
      </c>
      <c r="AH68" s="1067">
        <f>AG68*('Ввод исходных данных'!$D$83-AE68)</f>
        <v>1280.3</v>
      </c>
      <c r="AI68" s="1068">
        <v>-23.3</v>
      </c>
      <c r="AJ68" s="1068"/>
      <c r="AK68" s="1068">
        <v>31</v>
      </c>
      <c r="AL68" s="1068">
        <f>AK68*('Ввод исходных данных'!$D$83-AI68)</f>
        <v>1342.3</v>
      </c>
      <c r="AM68" s="1069">
        <v>-20.399999999999999</v>
      </c>
      <c r="AN68" s="1069"/>
      <c r="AO68" s="1069">
        <v>28</v>
      </c>
      <c r="AP68" s="1069">
        <f>AO68*('Ввод исходных данных'!$D$83-AM68)</f>
        <v>1131.2</v>
      </c>
      <c r="AQ68" s="1064">
        <v>-11.5</v>
      </c>
      <c r="AR68" s="1064"/>
      <c r="AS68" s="1064">
        <f t="shared" si="8"/>
        <v>31</v>
      </c>
      <c r="AT68" s="1064">
        <f>AS68*('Ввод исходных данных'!$D$83-AQ68)</f>
        <v>976.5</v>
      </c>
      <c r="AU68" s="1070">
        <v>0.4</v>
      </c>
      <c r="AV68" s="1070"/>
      <c r="AW68" s="1070">
        <f t="shared" si="9"/>
        <v>30</v>
      </c>
      <c r="AX68" s="1070">
        <f>AW68*('Ввод исходных данных'!$D$83-AU68)</f>
        <v>588</v>
      </c>
      <c r="AY68" s="1071">
        <v>8.8000000000000007</v>
      </c>
      <c r="AZ68" s="1071"/>
      <c r="BA68" s="1071">
        <f t="shared" si="10"/>
        <v>13</v>
      </c>
      <c r="BB68" s="1071">
        <f>BA68*('Ввод исходных данных'!$D$83-AY68)</f>
        <v>145.6</v>
      </c>
      <c r="BC68" s="1072">
        <v>15.6</v>
      </c>
      <c r="BD68" s="1072"/>
      <c r="BE68" s="1072">
        <f t="shared" si="2"/>
        <v>0</v>
      </c>
      <c r="BF68" s="1073">
        <f>BE68*('Ввод исходных данных'!$D$83-BC68)</f>
        <v>0</v>
      </c>
    </row>
    <row r="69" spans="2:58" ht="15.75" customHeight="1" x14ac:dyDescent="0.25">
      <c r="B69" s="1052" t="s">
        <v>255</v>
      </c>
      <c r="C69" s="1052" t="s">
        <v>430</v>
      </c>
      <c r="D69" s="1053" t="str">
        <f t="shared" si="0"/>
        <v>Забайкальский крайАкша</v>
      </c>
      <c r="E69" s="1054">
        <v>237</v>
      </c>
      <c r="F69" s="1055">
        <v>-9.6</v>
      </c>
      <c r="G69" s="1055">
        <v>-34</v>
      </c>
      <c r="H69" s="1057">
        <v>5.2</v>
      </c>
      <c r="I69" s="1058">
        <f>E69*('Ввод исходных данных'!$D$83-F69)</f>
        <v>7015.2000000000007</v>
      </c>
      <c r="J69" s="1059" t="str">
        <f t="shared" si="1"/>
        <v>7000-8000</v>
      </c>
      <c r="K69" s="1060">
        <v>18.100000000000001</v>
      </c>
      <c r="L69" s="1060"/>
      <c r="M69" s="1061">
        <f t="shared" si="3"/>
        <v>0</v>
      </c>
      <c r="N69" s="1062">
        <f>M69*('Ввод исходных данных'!$D$83-K69)</f>
        <v>0</v>
      </c>
      <c r="O69" s="1063">
        <v>15.5</v>
      </c>
      <c r="P69" s="1063"/>
      <c r="Q69" s="1063">
        <f t="shared" si="4"/>
        <v>0</v>
      </c>
      <c r="R69" s="1063">
        <f>Q69*('Ввод исходных данных'!$D$83-O69)</f>
        <v>0</v>
      </c>
      <c r="S69" s="1064">
        <v>8.4</v>
      </c>
      <c r="T69" s="1064"/>
      <c r="U69" s="1064">
        <f t="shared" si="5"/>
        <v>12.5</v>
      </c>
      <c r="V69" s="1064">
        <f>U69*('Ввод исходных данных'!$D$83-S69)</f>
        <v>145</v>
      </c>
      <c r="W69" s="1065">
        <v>-0.1</v>
      </c>
      <c r="X69" s="1065"/>
      <c r="Y69" s="1065">
        <f t="shared" si="6"/>
        <v>31</v>
      </c>
      <c r="Z69" s="1065">
        <f>Y69*('Ввод исходных данных'!$D$83-W69)</f>
        <v>623.1</v>
      </c>
      <c r="AA69" s="1066">
        <v>-12.1</v>
      </c>
      <c r="AB69" s="1066"/>
      <c r="AC69" s="1066">
        <f t="shared" si="7"/>
        <v>30</v>
      </c>
      <c r="AD69" s="1066">
        <f>AC69*('Ввод исходных данных'!$D$83-AA69)</f>
        <v>963</v>
      </c>
      <c r="AE69" s="1067">
        <v>-20.3</v>
      </c>
      <c r="AF69" s="1067"/>
      <c r="AG69" s="1067">
        <v>31</v>
      </c>
      <c r="AH69" s="1067">
        <f>AG69*('Ввод исходных данных'!$D$83-AE69)</f>
        <v>1249.3</v>
      </c>
      <c r="AI69" s="1068">
        <v>-22.6</v>
      </c>
      <c r="AJ69" s="1068"/>
      <c r="AK69" s="1068">
        <v>31</v>
      </c>
      <c r="AL69" s="1068">
        <f>AK69*('Ввод исходных данных'!$D$83-AI69)</f>
        <v>1320.6000000000001</v>
      </c>
      <c r="AM69" s="1069">
        <v>-19.100000000000001</v>
      </c>
      <c r="AN69" s="1069"/>
      <c r="AO69" s="1069">
        <v>28</v>
      </c>
      <c r="AP69" s="1069">
        <f>AO69*('Ввод исходных данных'!$D$83-AM69)</f>
        <v>1094.8</v>
      </c>
      <c r="AQ69" s="1064">
        <v>-9.4</v>
      </c>
      <c r="AR69" s="1064"/>
      <c r="AS69" s="1064">
        <f t="shared" si="8"/>
        <v>31</v>
      </c>
      <c r="AT69" s="1064">
        <f>AS69*('Ввод исходных данных'!$D$83-AQ69)</f>
        <v>911.4</v>
      </c>
      <c r="AU69" s="1070">
        <v>1</v>
      </c>
      <c r="AV69" s="1070"/>
      <c r="AW69" s="1070">
        <f t="shared" si="9"/>
        <v>30</v>
      </c>
      <c r="AX69" s="1070">
        <f>AW69*('Ввод исходных данных'!$D$83-AU69)</f>
        <v>570</v>
      </c>
      <c r="AY69" s="1071">
        <v>9</v>
      </c>
      <c r="AZ69" s="1071"/>
      <c r="BA69" s="1071">
        <f t="shared" si="10"/>
        <v>12.5</v>
      </c>
      <c r="BB69" s="1071">
        <f>BA69*('Ввод исходных данных'!$D$83-AY69)</f>
        <v>137.5</v>
      </c>
      <c r="BC69" s="1072">
        <v>15.4</v>
      </c>
      <c r="BD69" s="1072"/>
      <c r="BE69" s="1072">
        <f t="shared" si="2"/>
        <v>0</v>
      </c>
      <c r="BF69" s="1073">
        <f>BE69*('Ввод исходных данных'!$D$83-BC69)</f>
        <v>0</v>
      </c>
    </row>
    <row r="70" spans="2:58" ht="15.75" customHeight="1" x14ac:dyDescent="0.25">
      <c r="B70" s="1076" t="s">
        <v>255</v>
      </c>
      <c r="C70" s="1076" t="s">
        <v>637</v>
      </c>
      <c r="D70" s="1053" t="str">
        <f t="shared" si="0"/>
        <v>Забайкальский крайАлександровский Завод</v>
      </c>
      <c r="E70" s="1054">
        <v>250</v>
      </c>
      <c r="F70" s="1055">
        <v>-12</v>
      </c>
      <c r="G70" s="1055">
        <v>-38</v>
      </c>
      <c r="H70" s="1057">
        <v>3.6</v>
      </c>
      <c r="I70" s="1058">
        <f>E70*('Ввод исходных данных'!$D$83-F70)</f>
        <v>8000</v>
      </c>
      <c r="J70" s="1059" t="str">
        <f t="shared" si="1"/>
        <v>8000-8000</v>
      </c>
      <c r="K70" s="1060">
        <v>16.7</v>
      </c>
      <c r="L70" s="1060"/>
      <c r="M70" s="1061">
        <f t="shared" si="3"/>
        <v>0</v>
      </c>
      <c r="N70" s="1062">
        <f>M70*('Ввод исходных данных'!$D$83-K70)</f>
        <v>0</v>
      </c>
      <c r="O70" s="1063">
        <v>14.1</v>
      </c>
      <c r="P70" s="1063"/>
      <c r="Q70" s="1063">
        <f t="shared" si="4"/>
        <v>0</v>
      </c>
      <c r="R70" s="1063">
        <f>Q70*('Ввод исходных данных'!$D$83-O70)</f>
        <v>0</v>
      </c>
      <c r="S70" s="1064">
        <v>7</v>
      </c>
      <c r="T70" s="1064"/>
      <c r="U70" s="1064">
        <f t="shared" si="5"/>
        <v>19</v>
      </c>
      <c r="V70" s="1064">
        <f>U70*('Ввод исходных данных'!$D$83-S70)</f>
        <v>247</v>
      </c>
      <c r="W70" s="1065">
        <v>-2.4</v>
      </c>
      <c r="X70" s="1065"/>
      <c r="Y70" s="1065">
        <f t="shared" si="6"/>
        <v>31</v>
      </c>
      <c r="Z70" s="1065">
        <f>Y70*('Ввод исходных данных'!$D$83-W70)</f>
        <v>694.4</v>
      </c>
      <c r="AA70" s="1066">
        <v>-15.5</v>
      </c>
      <c r="AB70" s="1066"/>
      <c r="AC70" s="1066">
        <f t="shared" si="7"/>
        <v>30</v>
      </c>
      <c r="AD70" s="1066">
        <f>AC70*('Ввод исходных данных'!$D$83-AA70)</f>
        <v>1065</v>
      </c>
      <c r="AE70" s="1067">
        <v>-24.6</v>
      </c>
      <c r="AF70" s="1067"/>
      <c r="AG70" s="1067">
        <v>31</v>
      </c>
      <c r="AH70" s="1067">
        <f>AG70*('Ввод исходных данных'!$D$83-AE70)</f>
        <v>1382.6000000000001</v>
      </c>
      <c r="AI70" s="1068">
        <v>-26.8</v>
      </c>
      <c r="AJ70" s="1068"/>
      <c r="AK70" s="1068">
        <v>31</v>
      </c>
      <c r="AL70" s="1068">
        <f>AK70*('Ввод исходных данных'!$D$83-AI70)</f>
        <v>1450.8</v>
      </c>
      <c r="AM70" s="1069">
        <v>-23.5</v>
      </c>
      <c r="AN70" s="1069"/>
      <c r="AO70" s="1069">
        <v>28</v>
      </c>
      <c r="AP70" s="1069">
        <f>AO70*('Ввод исходных данных'!$D$83-AM70)</f>
        <v>1218</v>
      </c>
      <c r="AQ70" s="1064">
        <v>-13.9</v>
      </c>
      <c r="AR70" s="1064"/>
      <c r="AS70" s="1064">
        <f t="shared" si="8"/>
        <v>31</v>
      </c>
      <c r="AT70" s="1064">
        <f>AS70*('Ввод исходных данных'!$D$83-AQ70)</f>
        <v>1050.8999999999999</v>
      </c>
      <c r="AU70" s="1070">
        <v>-1.4</v>
      </c>
      <c r="AV70" s="1070"/>
      <c r="AW70" s="1070">
        <f t="shared" si="9"/>
        <v>30</v>
      </c>
      <c r="AX70" s="1070">
        <f>AW70*('Ввод исходных данных'!$D$83-AU70)</f>
        <v>642</v>
      </c>
      <c r="AY70" s="1071">
        <v>7.4</v>
      </c>
      <c r="AZ70" s="1071"/>
      <c r="BA70" s="1071">
        <f t="shared" si="10"/>
        <v>19</v>
      </c>
      <c r="BB70" s="1071">
        <f>BA70*('Ввод исходных данных'!$D$83-AY70)</f>
        <v>239.4</v>
      </c>
      <c r="BC70" s="1072">
        <v>14.1</v>
      </c>
      <c r="BD70" s="1072"/>
      <c r="BE70" s="1072">
        <f t="shared" si="2"/>
        <v>0</v>
      </c>
      <c r="BF70" s="1073">
        <f>BE70*('Ввод исходных данных'!$D$83-BC70)</f>
        <v>0</v>
      </c>
    </row>
    <row r="71" spans="2:58" ht="15.75" customHeight="1" x14ac:dyDescent="0.25">
      <c r="B71" s="1052" t="s">
        <v>255</v>
      </c>
      <c r="C71" s="1052" t="s">
        <v>431</v>
      </c>
      <c r="D71" s="1053" t="str">
        <f t="shared" si="0"/>
        <v>Забайкальский крайБорзя</v>
      </c>
      <c r="E71" s="1054">
        <v>232</v>
      </c>
      <c r="F71" s="1055">
        <v>-12.4</v>
      </c>
      <c r="G71" s="1055">
        <v>-38</v>
      </c>
      <c r="H71" s="1057">
        <v>1.9</v>
      </c>
      <c r="I71" s="1058">
        <f>E71*('Ввод исходных данных'!$D$83-F71)</f>
        <v>7516.7999999999993</v>
      </c>
      <c r="J71" s="1059" t="str">
        <f t="shared" si="1"/>
        <v>7000-8000</v>
      </c>
      <c r="K71" s="1060">
        <v>19.2</v>
      </c>
      <c r="L71" s="1060"/>
      <c r="M71" s="1061">
        <f t="shared" si="3"/>
        <v>0</v>
      </c>
      <c r="N71" s="1062">
        <f>M71*('Ввод исходных данных'!$D$83-K71)</f>
        <v>0</v>
      </c>
      <c r="O71" s="1063">
        <v>16.7</v>
      </c>
      <c r="P71" s="1063"/>
      <c r="Q71" s="1063">
        <f t="shared" si="4"/>
        <v>0</v>
      </c>
      <c r="R71" s="1063">
        <f>Q71*('Ввод исходных данных'!$D$83-O71)</f>
        <v>0</v>
      </c>
      <c r="S71" s="1064">
        <v>9.3000000000000007</v>
      </c>
      <c r="T71" s="1064"/>
      <c r="U71" s="1064">
        <f t="shared" si="5"/>
        <v>10</v>
      </c>
      <c r="V71" s="1064">
        <f>U71*('Ввод исходных данных'!$D$83-S71)</f>
        <v>107</v>
      </c>
      <c r="W71" s="1065">
        <v>-0.4</v>
      </c>
      <c r="X71" s="1065"/>
      <c r="Y71" s="1065">
        <f t="shared" si="6"/>
        <v>31</v>
      </c>
      <c r="Z71" s="1065">
        <f>Y71*('Ввод исходных данных'!$D$83-W71)</f>
        <v>632.4</v>
      </c>
      <c r="AA71" s="1066">
        <v>-13.5</v>
      </c>
      <c r="AB71" s="1066"/>
      <c r="AC71" s="1066">
        <f t="shared" si="7"/>
        <v>30</v>
      </c>
      <c r="AD71" s="1066">
        <f>AC71*('Ввод исходных данных'!$D$83-AA71)</f>
        <v>1005</v>
      </c>
      <c r="AE71" s="1067">
        <v>-23.4</v>
      </c>
      <c r="AF71" s="1067"/>
      <c r="AG71" s="1067">
        <v>31</v>
      </c>
      <c r="AH71" s="1067">
        <f>AG71*('Ввод исходных данных'!$D$83-AE71)</f>
        <v>1345.3999999999999</v>
      </c>
      <c r="AI71" s="1068">
        <v>-26.4</v>
      </c>
      <c r="AJ71" s="1068"/>
      <c r="AK71" s="1068">
        <v>31</v>
      </c>
      <c r="AL71" s="1068">
        <f>AK71*('Ввод исходных данных'!$D$83-AI71)</f>
        <v>1438.3999999999999</v>
      </c>
      <c r="AM71" s="1069">
        <v>-22</v>
      </c>
      <c r="AN71" s="1069"/>
      <c r="AO71" s="1069">
        <v>28</v>
      </c>
      <c r="AP71" s="1069">
        <f>AO71*('Ввод исходных данных'!$D$83-AM71)</f>
        <v>1176</v>
      </c>
      <c r="AQ71" s="1064">
        <v>-10.9</v>
      </c>
      <c r="AR71" s="1064"/>
      <c r="AS71" s="1064">
        <f t="shared" si="8"/>
        <v>31</v>
      </c>
      <c r="AT71" s="1064">
        <f>AS71*('Ввод исходных данных'!$D$83-AQ71)</f>
        <v>957.9</v>
      </c>
      <c r="AU71" s="1070">
        <v>1.3</v>
      </c>
      <c r="AV71" s="1070"/>
      <c r="AW71" s="1070">
        <f t="shared" si="9"/>
        <v>30</v>
      </c>
      <c r="AX71" s="1070">
        <f>AW71*('Ввод исходных данных'!$D$83-AU71)</f>
        <v>561</v>
      </c>
      <c r="AY71" s="1071">
        <v>9.9</v>
      </c>
      <c r="AZ71" s="1071"/>
      <c r="BA71" s="1071">
        <f t="shared" si="10"/>
        <v>10</v>
      </c>
      <c r="BB71" s="1071">
        <f>BA71*('Ввод исходных данных'!$D$83-AY71)</f>
        <v>101</v>
      </c>
      <c r="BC71" s="1072">
        <v>16.8</v>
      </c>
      <c r="BD71" s="1072"/>
      <c r="BE71" s="1072">
        <f t="shared" si="2"/>
        <v>0</v>
      </c>
      <c r="BF71" s="1073">
        <f>BE71*('Ввод исходных данных'!$D$83-BC71)</f>
        <v>0</v>
      </c>
    </row>
    <row r="72" spans="2:58" ht="15.75" customHeight="1" x14ac:dyDescent="0.25">
      <c r="B72" s="1076" t="s">
        <v>255</v>
      </c>
      <c r="C72" s="1076" t="s">
        <v>434</v>
      </c>
      <c r="D72" s="1053" t="str">
        <f t="shared" si="0"/>
        <v>Забайкальский крайДарасун</v>
      </c>
      <c r="E72" s="1054">
        <v>247</v>
      </c>
      <c r="F72" s="1055">
        <v>-9.5</v>
      </c>
      <c r="G72" s="1055">
        <v>-34</v>
      </c>
      <c r="H72" s="1057">
        <v>3.6</v>
      </c>
      <c r="I72" s="1058">
        <f>E72*('Ввод исходных данных'!$D$83-F72)</f>
        <v>7286.5</v>
      </c>
      <c r="J72" s="1059" t="str">
        <f t="shared" si="1"/>
        <v>7000-8000</v>
      </c>
      <c r="K72" s="1060">
        <v>16.899999999999999</v>
      </c>
      <c r="L72" s="1060"/>
      <c r="M72" s="1061">
        <f t="shared" si="3"/>
        <v>0</v>
      </c>
      <c r="N72" s="1062">
        <f>M72*('Ввод исходных данных'!$D$83-K72)</f>
        <v>0</v>
      </c>
      <c r="O72" s="1063">
        <v>14.2</v>
      </c>
      <c r="P72" s="1063"/>
      <c r="Q72" s="1063">
        <f t="shared" si="4"/>
        <v>0</v>
      </c>
      <c r="R72" s="1063">
        <f>Q72*('Ввод исходных данных'!$D$83-O72)</f>
        <v>0</v>
      </c>
      <c r="S72" s="1064">
        <v>7</v>
      </c>
      <c r="T72" s="1064"/>
      <c r="U72" s="1064">
        <f t="shared" si="5"/>
        <v>17.5</v>
      </c>
      <c r="V72" s="1064">
        <f>U72*('Ввод исходных данных'!$D$83-S72)</f>
        <v>227.5</v>
      </c>
      <c r="W72" s="1065">
        <v>-1.4</v>
      </c>
      <c r="X72" s="1065"/>
      <c r="Y72" s="1065">
        <f t="shared" si="6"/>
        <v>31</v>
      </c>
      <c r="Z72" s="1065">
        <f>Y72*('Ввод исходных данных'!$D$83-W72)</f>
        <v>663.4</v>
      </c>
      <c r="AA72" s="1066">
        <v>-12.6</v>
      </c>
      <c r="AB72" s="1066"/>
      <c r="AC72" s="1066">
        <f t="shared" si="7"/>
        <v>30</v>
      </c>
      <c r="AD72" s="1066">
        <f>AC72*('Ввод исходных данных'!$D$83-AA72)</f>
        <v>978</v>
      </c>
      <c r="AE72" s="1067">
        <v>-19.899999999999999</v>
      </c>
      <c r="AF72" s="1067"/>
      <c r="AG72" s="1067">
        <v>31</v>
      </c>
      <c r="AH72" s="1067">
        <f>AG72*('Ввод исходных данных'!$D$83-AE72)</f>
        <v>1236.8999999999999</v>
      </c>
      <c r="AI72" s="1068">
        <v>-22</v>
      </c>
      <c r="AJ72" s="1068"/>
      <c r="AK72" s="1068">
        <v>31</v>
      </c>
      <c r="AL72" s="1068">
        <f>AK72*('Ввод исходных данных'!$D$83-AI72)</f>
        <v>1302</v>
      </c>
      <c r="AM72" s="1069">
        <v>-19.600000000000001</v>
      </c>
      <c r="AN72" s="1069"/>
      <c r="AO72" s="1069">
        <v>28</v>
      </c>
      <c r="AP72" s="1069">
        <f>AO72*('Ввод исходных данных'!$D$83-AM72)</f>
        <v>1108.8</v>
      </c>
      <c r="AQ72" s="1064">
        <v>-10.4</v>
      </c>
      <c r="AR72" s="1064"/>
      <c r="AS72" s="1064">
        <f t="shared" si="8"/>
        <v>31</v>
      </c>
      <c r="AT72" s="1064">
        <f>AS72*('Ввод исходных данных'!$D$83-AQ72)</f>
        <v>942.4</v>
      </c>
      <c r="AU72" s="1070">
        <v>-0.4</v>
      </c>
      <c r="AV72" s="1070"/>
      <c r="AW72" s="1070">
        <f t="shared" si="9"/>
        <v>30</v>
      </c>
      <c r="AX72" s="1070">
        <f>AW72*('Ввод исходных данных'!$D$83-AU72)</f>
        <v>612</v>
      </c>
      <c r="AY72" s="1071">
        <v>8</v>
      </c>
      <c r="AZ72" s="1071"/>
      <c r="BA72" s="1071">
        <f t="shared" si="10"/>
        <v>17.5</v>
      </c>
      <c r="BB72" s="1071">
        <f>BA72*('Ввод исходных данных'!$D$83-AY72)</f>
        <v>210</v>
      </c>
      <c r="BC72" s="1072">
        <v>14.4</v>
      </c>
      <c r="BD72" s="1072"/>
      <c r="BE72" s="1072">
        <f t="shared" si="2"/>
        <v>0</v>
      </c>
      <c r="BF72" s="1073">
        <f>BE72*('Ввод исходных данных'!$D$83-BC72)</f>
        <v>0</v>
      </c>
    </row>
    <row r="73" spans="2:58" ht="15.75" customHeight="1" x14ac:dyDescent="0.25">
      <c r="B73" s="1052" t="s">
        <v>255</v>
      </c>
      <c r="C73" s="1052" t="s">
        <v>435</v>
      </c>
      <c r="D73" s="1053" t="str">
        <f t="shared" ref="D73:D136" si="11">CONCATENATE(B73,C73)</f>
        <v>Забайкальский крайКалакан</v>
      </c>
      <c r="E73" s="1054">
        <v>257</v>
      </c>
      <c r="F73" s="1055">
        <v>-16.3</v>
      </c>
      <c r="G73" s="1055">
        <v>-45</v>
      </c>
      <c r="H73" s="1057">
        <v>2.4</v>
      </c>
      <c r="I73" s="1058">
        <f>E73*('Ввод исходных данных'!$D$83-F73)</f>
        <v>9329.0999999999985</v>
      </c>
      <c r="J73" s="1059" t="str">
        <f t="shared" ref="J73:J136" si="12">CONCATENATE(ROUNDDOWN(I73/1000,0)*1000,"-",ROUNDUP(I73/1000,0)*1000)</f>
        <v>9000-10000</v>
      </c>
      <c r="K73" s="1060">
        <v>16.600000000000001</v>
      </c>
      <c r="L73" s="1060"/>
      <c r="M73" s="1061">
        <f t="shared" si="3"/>
        <v>0</v>
      </c>
      <c r="N73" s="1062">
        <f>M73*('Ввод исходных данных'!$D$83-K73)</f>
        <v>0</v>
      </c>
      <c r="O73" s="1063">
        <v>13.4</v>
      </c>
      <c r="P73" s="1063"/>
      <c r="Q73" s="1063">
        <f t="shared" si="4"/>
        <v>0</v>
      </c>
      <c r="R73" s="1063">
        <f>Q73*('Ввод исходных данных'!$D$83-O73)</f>
        <v>0</v>
      </c>
      <c r="S73" s="1064">
        <v>5.7</v>
      </c>
      <c r="T73" s="1064"/>
      <c r="U73" s="1064">
        <f t="shared" si="5"/>
        <v>22.5</v>
      </c>
      <c r="V73" s="1064">
        <f>U73*('Ввод исходных данных'!$D$83-S73)</f>
        <v>321.75</v>
      </c>
      <c r="W73" s="1065">
        <v>-5.8</v>
      </c>
      <c r="X73" s="1065"/>
      <c r="Y73" s="1065">
        <f t="shared" si="6"/>
        <v>31</v>
      </c>
      <c r="Z73" s="1065">
        <f>Y73*('Ввод исходных данных'!$D$83-W73)</f>
        <v>799.80000000000007</v>
      </c>
      <c r="AA73" s="1066">
        <v>-21.7</v>
      </c>
      <c r="AB73" s="1066"/>
      <c r="AC73" s="1066">
        <f t="shared" si="7"/>
        <v>30</v>
      </c>
      <c r="AD73" s="1066">
        <f>AC73*('Ввод исходных данных'!$D$83-AA73)</f>
        <v>1251</v>
      </c>
      <c r="AE73" s="1067">
        <v>-32.5</v>
      </c>
      <c r="AF73" s="1067"/>
      <c r="AG73" s="1067">
        <v>31</v>
      </c>
      <c r="AH73" s="1067">
        <f>AG73*('Ввод исходных данных'!$D$83-AE73)</f>
        <v>1627.5</v>
      </c>
      <c r="AI73" s="1068">
        <v>-34.299999999999997</v>
      </c>
      <c r="AJ73" s="1068"/>
      <c r="AK73" s="1068">
        <v>31</v>
      </c>
      <c r="AL73" s="1068">
        <f>AK73*('Ввод исходных данных'!$D$83-AI73)</f>
        <v>1683.3</v>
      </c>
      <c r="AM73" s="1069">
        <v>-27.6</v>
      </c>
      <c r="AN73" s="1069"/>
      <c r="AO73" s="1069">
        <v>28</v>
      </c>
      <c r="AP73" s="1069">
        <f>AO73*('Ввод исходных данных'!$D$83-AM73)</f>
        <v>1332.8</v>
      </c>
      <c r="AQ73" s="1064">
        <v>-16.2</v>
      </c>
      <c r="AR73" s="1064"/>
      <c r="AS73" s="1064">
        <f t="shared" si="8"/>
        <v>31</v>
      </c>
      <c r="AT73" s="1064">
        <f>AS73*('Ввод исходных данных'!$D$83-AQ73)</f>
        <v>1122.2</v>
      </c>
      <c r="AU73" s="1070">
        <v>-2.7</v>
      </c>
      <c r="AV73" s="1070"/>
      <c r="AW73" s="1070">
        <f t="shared" si="9"/>
        <v>30</v>
      </c>
      <c r="AX73" s="1070">
        <f>AW73*('Ввод исходных данных'!$D$83-AU73)</f>
        <v>681</v>
      </c>
      <c r="AY73" s="1071">
        <v>6.6</v>
      </c>
      <c r="AZ73" s="1071"/>
      <c r="BA73" s="1071">
        <f t="shared" si="10"/>
        <v>22.5</v>
      </c>
      <c r="BB73" s="1071">
        <f>BA73*('Ввод исходных данных'!$D$83-AY73)</f>
        <v>301.5</v>
      </c>
      <c r="BC73" s="1072">
        <v>13.9</v>
      </c>
      <c r="BD73" s="1072"/>
      <c r="BE73" s="1072">
        <f t="shared" si="2"/>
        <v>0</v>
      </c>
      <c r="BF73" s="1073">
        <f>BE73*('Ввод исходных данных'!$D$83-BC73)</f>
        <v>0</v>
      </c>
    </row>
    <row r="74" spans="2:58" ht="15.75" customHeight="1" x14ac:dyDescent="0.25">
      <c r="B74" s="1076" t="s">
        <v>255</v>
      </c>
      <c r="C74" s="1076" t="s">
        <v>436</v>
      </c>
      <c r="D74" s="1053" t="str">
        <f t="shared" si="11"/>
        <v>Забайкальский крайКрасный Чикой</v>
      </c>
      <c r="E74" s="1054">
        <v>240</v>
      </c>
      <c r="F74" s="1055">
        <v>-11.2</v>
      </c>
      <c r="G74" s="1055">
        <v>-37</v>
      </c>
      <c r="H74" s="1057">
        <v>2.4</v>
      </c>
      <c r="I74" s="1058">
        <f>E74*('Ввод исходных данных'!$D$83-F74)</f>
        <v>7488</v>
      </c>
      <c r="J74" s="1059" t="str">
        <f t="shared" si="12"/>
        <v>7000-8000</v>
      </c>
      <c r="K74" s="1060">
        <v>17.5</v>
      </c>
      <c r="L74" s="1060"/>
      <c r="M74" s="1061">
        <f t="shared" si="3"/>
        <v>0</v>
      </c>
      <c r="N74" s="1062">
        <f>M74*('Ввод исходных данных'!$D$83-K74)</f>
        <v>0</v>
      </c>
      <c r="O74" s="1063">
        <v>14.8</v>
      </c>
      <c r="P74" s="1063"/>
      <c r="Q74" s="1063">
        <f t="shared" si="4"/>
        <v>0</v>
      </c>
      <c r="R74" s="1063">
        <f>Q74*('Ввод исходных данных'!$D$83-O74)</f>
        <v>0</v>
      </c>
      <c r="S74" s="1064">
        <v>7.8</v>
      </c>
      <c r="T74" s="1064"/>
      <c r="U74" s="1064">
        <f t="shared" si="5"/>
        <v>14</v>
      </c>
      <c r="V74" s="1064">
        <f>U74*('Ввод исходных данных'!$D$83-S74)</f>
        <v>170.79999999999998</v>
      </c>
      <c r="W74" s="1065">
        <v>-0.9</v>
      </c>
      <c r="X74" s="1065"/>
      <c r="Y74" s="1065">
        <f t="shared" si="6"/>
        <v>31</v>
      </c>
      <c r="Z74" s="1065">
        <f>Y74*('Ввод исходных данных'!$D$83-W74)</f>
        <v>647.9</v>
      </c>
      <c r="AA74" s="1066">
        <v>-12.6</v>
      </c>
      <c r="AB74" s="1066"/>
      <c r="AC74" s="1066">
        <f t="shared" si="7"/>
        <v>30</v>
      </c>
      <c r="AD74" s="1066">
        <f>AC74*('Ввод исходных данных'!$D$83-AA74)</f>
        <v>978</v>
      </c>
      <c r="AE74" s="1067">
        <v>-22.1</v>
      </c>
      <c r="AF74" s="1067"/>
      <c r="AG74" s="1067">
        <v>31</v>
      </c>
      <c r="AH74" s="1067">
        <f>AG74*('Ввод исходных данных'!$D$83-AE74)</f>
        <v>1305.1000000000001</v>
      </c>
      <c r="AI74" s="1068">
        <v>-26</v>
      </c>
      <c r="AJ74" s="1068"/>
      <c r="AK74" s="1068">
        <v>31</v>
      </c>
      <c r="AL74" s="1068">
        <f>AK74*('Ввод исходных данных'!$D$83-AI74)</f>
        <v>1426</v>
      </c>
      <c r="AM74" s="1069">
        <v>-20.7</v>
      </c>
      <c r="AN74" s="1069"/>
      <c r="AO74" s="1069">
        <v>28</v>
      </c>
      <c r="AP74" s="1069">
        <f>AO74*('Ввод исходных данных'!$D$83-AM74)</f>
        <v>1139.6000000000001</v>
      </c>
      <c r="AQ74" s="1064">
        <v>-9.6999999999999993</v>
      </c>
      <c r="AR74" s="1064"/>
      <c r="AS74" s="1064">
        <f t="shared" si="8"/>
        <v>31</v>
      </c>
      <c r="AT74" s="1064">
        <f>AS74*('Ввод исходных данных'!$D$83-AQ74)</f>
        <v>920.69999999999993</v>
      </c>
      <c r="AU74" s="1070">
        <v>1.2</v>
      </c>
      <c r="AV74" s="1070"/>
      <c r="AW74" s="1070">
        <f t="shared" si="9"/>
        <v>30</v>
      </c>
      <c r="AX74" s="1070">
        <f>AW74*('Ввод исходных данных'!$D$83-AU74)</f>
        <v>564</v>
      </c>
      <c r="AY74" s="1071">
        <v>9.1</v>
      </c>
      <c r="AZ74" s="1071"/>
      <c r="BA74" s="1071">
        <f t="shared" si="10"/>
        <v>14</v>
      </c>
      <c r="BB74" s="1071">
        <f>BA74*('Ввод исходных данных'!$D$83-AY74)</f>
        <v>152.6</v>
      </c>
      <c r="BC74" s="1072">
        <v>15.2</v>
      </c>
      <c r="BD74" s="1072"/>
      <c r="BE74" s="1072">
        <f t="shared" ref="BE74:BE137" si="13">IF((E74-273)&gt;0,IF((E74-273)/2&gt;30,30,(E74-273)/2),0)</f>
        <v>0</v>
      </c>
      <c r="BF74" s="1073">
        <f>BE74*('Ввод исходных данных'!$D$83-BC74)</f>
        <v>0</v>
      </c>
    </row>
    <row r="75" spans="2:58" ht="15.75" customHeight="1" x14ac:dyDescent="0.25">
      <c r="B75" s="1052" t="s">
        <v>255</v>
      </c>
      <c r="C75" s="1052" t="s">
        <v>437</v>
      </c>
      <c r="D75" s="1053" t="str">
        <f t="shared" si="11"/>
        <v>Забайкальский крайМогоча</v>
      </c>
      <c r="E75" s="1054">
        <v>250</v>
      </c>
      <c r="F75" s="1055">
        <v>-13.8</v>
      </c>
      <c r="G75" s="1055">
        <v>-39</v>
      </c>
      <c r="H75" s="1057">
        <v>3.6</v>
      </c>
      <c r="I75" s="1058">
        <f>E75*('Ввод исходных данных'!$D$83-F75)</f>
        <v>8450</v>
      </c>
      <c r="J75" s="1059" t="str">
        <f t="shared" si="12"/>
        <v>8000-9000</v>
      </c>
      <c r="K75" s="1060">
        <v>16.899999999999999</v>
      </c>
      <c r="L75" s="1060"/>
      <c r="M75" s="1061">
        <f t="shared" ref="M75:M138" si="14">MAX(0,E75-Q75-U75-Y75-AC75-AG75-AK75-AO75-AS75-AW75-BA75-BE75)</f>
        <v>0</v>
      </c>
      <c r="N75" s="1062">
        <f>M75*('Ввод исходных данных'!$D$83-K75)</f>
        <v>0</v>
      </c>
      <c r="O75" s="1063">
        <v>14</v>
      </c>
      <c r="P75" s="1063"/>
      <c r="Q75" s="1063">
        <f t="shared" ref="Q75:Q138" si="15">IF((E75-273)&gt;0,IF((E75-273)/2&gt;31,31,(E75-273)/2),0)</f>
        <v>0</v>
      </c>
      <c r="R75" s="1063">
        <f>Q75*('Ввод исходных данных'!$D$83-O75)</f>
        <v>0</v>
      </c>
      <c r="S75" s="1064">
        <v>6.6</v>
      </c>
      <c r="T75" s="1064"/>
      <c r="U75" s="1064">
        <f t="shared" ref="U75:U138" si="16">IF((E75-212)&gt;0,IF((E75-212)/2&gt;30,30,(E75-212)/2),0)</f>
        <v>19</v>
      </c>
      <c r="V75" s="1064">
        <f>U75*('Ввод исходных данных'!$D$83-S75)</f>
        <v>254.6</v>
      </c>
      <c r="W75" s="1065">
        <v>-4</v>
      </c>
      <c r="X75" s="1065"/>
      <c r="Y75" s="1065">
        <f t="shared" ref="Y75:Y138" si="17">IF((E75-151)&gt;0,IF((E75-151)/2&gt;31,31,(E75-151)/2),0)</f>
        <v>31</v>
      </c>
      <c r="Z75" s="1065">
        <f>Y75*('Ввод исходных данных'!$D$83-W75)</f>
        <v>744</v>
      </c>
      <c r="AA75" s="1066">
        <v>-18.7</v>
      </c>
      <c r="AB75" s="1066"/>
      <c r="AC75" s="1066">
        <f t="shared" ref="AC75:AC138" si="18">IF((E75-90)/2&gt;30,30,(E75-90)/2)</f>
        <v>30</v>
      </c>
      <c r="AD75" s="1066">
        <f>AC75*('Ввод исходных данных'!$D$83-AA75)</f>
        <v>1161</v>
      </c>
      <c r="AE75" s="1067">
        <v>-27.6</v>
      </c>
      <c r="AF75" s="1067"/>
      <c r="AG75" s="1067">
        <v>31</v>
      </c>
      <c r="AH75" s="1067">
        <f>AG75*('Ввод исходных данных'!$D$83-AE75)</f>
        <v>1475.6000000000001</v>
      </c>
      <c r="AI75" s="1068">
        <v>-28.5</v>
      </c>
      <c r="AJ75" s="1068"/>
      <c r="AK75" s="1068">
        <v>31</v>
      </c>
      <c r="AL75" s="1068">
        <f>AK75*('Ввод исходных данных'!$D$83-AI75)</f>
        <v>1503.5</v>
      </c>
      <c r="AM75" s="1069">
        <v>-23.5</v>
      </c>
      <c r="AN75" s="1069"/>
      <c r="AO75" s="1069">
        <v>28</v>
      </c>
      <c r="AP75" s="1069">
        <f>AO75*('Ввод исходных данных'!$D$83-AM75)</f>
        <v>1218</v>
      </c>
      <c r="AQ75" s="1064">
        <v>-13.4</v>
      </c>
      <c r="AR75" s="1064"/>
      <c r="AS75" s="1064">
        <f t="shared" ref="AS75:AS138" si="19">IF((E75-90)/2&gt;31,31,(E75-90)/2)</f>
        <v>31</v>
      </c>
      <c r="AT75" s="1064">
        <f>AS75*('Ввод исходных данных'!$D$83-AQ75)</f>
        <v>1035.3999999999999</v>
      </c>
      <c r="AU75" s="1070">
        <v>-1.2</v>
      </c>
      <c r="AV75" s="1070"/>
      <c r="AW75" s="1070">
        <f t="shared" ref="AW75:AW138" si="20">IF((E75-151)&gt;0,IF((E75-151)/2&gt;30,30,(E75-151)/2),0)</f>
        <v>30</v>
      </c>
      <c r="AX75" s="1070">
        <f>AW75*('Ввод исходных данных'!$D$83-AU75)</f>
        <v>636</v>
      </c>
      <c r="AY75" s="1071">
        <v>7.5</v>
      </c>
      <c r="AZ75" s="1071"/>
      <c r="BA75" s="1071">
        <f t="shared" ref="BA75:BA138" si="21">IF((E75-212)&gt;0,IF((E75-212)/2&gt;31,31,(E75-212)/2),0)</f>
        <v>19</v>
      </c>
      <c r="BB75" s="1071">
        <f>BA75*('Ввод исходных данных'!$D$83-AY75)</f>
        <v>237.5</v>
      </c>
      <c r="BC75" s="1072">
        <v>14.2</v>
      </c>
      <c r="BD75" s="1072"/>
      <c r="BE75" s="1072">
        <f t="shared" si="13"/>
        <v>0</v>
      </c>
      <c r="BF75" s="1073">
        <f>BE75*('Ввод исходных данных'!$D$83-BC75)</f>
        <v>0</v>
      </c>
    </row>
    <row r="76" spans="2:58" ht="15.75" customHeight="1" x14ac:dyDescent="0.25">
      <c r="B76" s="1076" t="s">
        <v>255</v>
      </c>
      <c r="C76" s="1076" t="s">
        <v>438</v>
      </c>
      <c r="D76" s="1053" t="str">
        <f t="shared" si="11"/>
        <v>Забайкальский крайНерчинск</v>
      </c>
      <c r="E76" s="1054">
        <v>233</v>
      </c>
      <c r="F76" s="1055">
        <v>-14.1</v>
      </c>
      <c r="G76" s="1055">
        <v>-44</v>
      </c>
      <c r="H76" s="1057">
        <v>4.4000000000000004</v>
      </c>
      <c r="I76" s="1058">
        <f>E76*('Ввод исходных данных'!$D$83-F76)</f>
        <v>7945.3</v>
      </c>
      <c r="J76" s="1059" t="str">
        <f t="shared" si="12"/>
        <v>7000-8000</v>
      </c>
      <c r="K76" s="1060">
        <v>19.7</v>
      </c>
      <c r="L76" s="1060"/>
      <c r="M76" s="1061">
        <f t="shared" si="14"/>
        <v>0</v>
      </c>
      <c r="N76" s="1062">
        <f>M76*('Ввод исходных данных'!$D$83-K76)</f>
        <v>0</v>
      </c>
      <c r="O76" s="1063">
        <v>16.600000000000001</v>
      </c>
      <c r="P76" s="1063"/>
      <c r="Q76" s="1063">
        <f t="shared" si="15"/>
        <v>0</v>
      </c>
      <c r="R76" s="1063">
        <f>Q76*('Ввод исходных данных'!$D$83-O76)</f>
        <v>0</v>
      </c>
      <c r="S76" s="1064">
        <v>9</v>
      </c>
      <c r="T76" s="1064"/>
      <c r="U76" s="1064">
        <f t="shared" si="16"/>
        <v>10.5</v>
      </c>
      <c r="V76" s="1064">
        <f>U76*('Ввод исходных данных'!$D$83-S76)</f>
        <v>115.5</v>
      </c>
      <c r="W76" s="1065">
        <v>-1</v>
      </c>
      <c r="X76" s="1065"/>
      <c r="Y76" s="1065">
        <f t="shared" si="17"/>
        <v>31</v>
      </c>
      <c r="Z76" s="1065">
        <f>Y76*('Ввод исходных данных'!$D$83-W76)</f>
        <v>651</v>
      </c>
      <c r="AA76" s="1066">
        <v>-16.7</v>
      </c>
      <c r="AB76" s="1066"/>
      <c r="AC76" s="1066">
        <f t="shared" si="18"/>
        <v>30</v>
      </c>
      <c r="AD76" s="1066">
        <f>AC76*('Ввод исходных данных'!$D$83-AA76)</f>
        <v>1101</v>
      </c>
      <c r="AE76" s="1067">
        <v>-28.2</v>
      </c>
      <c r="AF76" s="1067"/>
      <c r="AG76" s="1067">
        <v>31</v>
      </c>
      <c r="AH76" s="1067">
        <f>AG76*('Ввод исходных данных'!$D$83-AE76)</f>
        <v>1494.2</v>
      </c>
      <c r="AI76" s="1068">
        <v>-30.8</v>
      </c>
      <c r="AJ76" s="1068"/>
      <c r="AK76" s="1068">
        <v>31</v>
      </c>
      <c r="AL76" s="1068">
        <f>AK76*('Ввод исходных данных'!$D$83-AI76)</f>
        <v>1574.8</v>
      </c>
      <c r="AM76" s="1069">
        <v>-26.3</v>
      </c>
      <c r="AN76" s="1069"/>
      <c r="AO76" s="1069">
        <v>28</v>
      </c>
      <c r="AP76" s="1069">
        <f>AO76*('Ввод исходных данных'!$D$83-AM76)</f>
        <v>1296.3999999999999</v>
      </c>
      <c r="AQ76" s="1064">
        <v>-13.6</v>
      </c>
      <c r="AR76" s="1064"/>
      <c r="AS76" s="1064">
        <f t="shared" si="19"/>
        <v>31</v>
      </c>
      <c r="AT76" s="1064">
        <f>AS76*('Ввод исходных данных'!$D$83-AQ76)</f>
        <v>1041.6000000000001</v>
      </c>
      <c r="AU76" s="1070">
        <v>0.8</v>
      </c>
      <c r="AV76" s="1070"/>
      <c r="AW76" s="1070">
        <f t="shared" si="20"/>
        <v>30</v>
      </c>
      <c r="AX76" s="1070">
        <f>AW76*('Ввод исходных данных'!$D$83-AU76)</f>
        <v>576</v>
      </c>
      <c r="AY76" s="1071">
        <v>9.8000000000000007</v>
      </c>
      <c r="AZ76" s="1071"/>
      <c r="BA76" s="1071">
        <f t="shared" si="21"/>
        <v>10.5</v>
      </c>
      <c r="BB76" s="1071">
        <f>BA76*('Ввод исходных данных'!$D$83-AY76)</f>
        <v>107.1</v>
      </c>
      <c r="BC76" s="1072">
        <v>17</v>
      </c>
      <c r="BD76" s="1072"/>
      <c r="BE76" s="1072">
        <f t="shared" si="13"/>
        <v>0</v>
      </c>
      <c r="BF76" s="1073">
        <f>BE76*('Ввод исходных данных'!$D$83-BC76)</f>
        <v>0</v>
      </c>
    </row>
    <row r="77" spans="2:58" ht="15.75" customHeight="1" x14ac:dyDescent="0.25">
      <c r="B77" s="1052" t="s">
        <v>255</v>
      </c>
      <c r="C77" s="1052" t="s">
        <v>638</v>
      </c>
      <c r="D77" s="1053" t="str">
        <f t="shared" si="11"/>
        <v>Забайкальский крайНерчинский Завод</v>
      </c>
      <c r="E77" s="1054">
        <v>233</v>
      </c>
      <c r="F77" s="1055">
        <v>-12.7</v>
      </c>
      <c r="G77" s="1055">
        <v>-38</v>
      </c>
      <c r="H77" s="1057">
        <v>2.2999999999999998</v>
      </c>
      <c r="I77" s="1058">
        <f>E77*('Ввод исходных данных'!$D$83-F77)</f>
        <v>7619.1</v>
      </c>
      <c r="J77" s="1059" t="str">
        <f t="shared" si="12"/>
        <v>7000-8000</v>
      </c>
      <c r="K77" s="1060">
        <v>18.399999999999999</v>
      </c>
      <c r="L77" s="1060"/>
      <c r="M77" s="1061">
        <f t="shared" si="14"/>
        <v>0</v>
      </c>
      <c r="N77" s="1062">
        <f>M77*('Ввод исходных данных'!$D$83-K77)</f>
        <v>0</v>
      </c>
      <c r="O77" s="1063">
        <v>15.8</v>
      </c>
      <c r="P77" s="1063"/>
      <c r="Q77" s="1063">
        <f t="shared" si="15"/>
        <v>0</v>
      </c>
      <c r="R77" s="1063">
        <f>Q77*('Ввод исходных данных'!$D$83-O77)</f>
        <v>0</v>
      </c>
      <c r="S77" s="1064">
        <v>8.8000000000000007</v>
      </c>
      <c r="T77" s="1064"/>
      <c r="U77" s="1064">
        <f t="shared" si="16"/>
        <v>10.5</v>
      </c>
      <c r="V77" s="1064">
        <f>U77*('Ввод исходных данных'!$D$83-S77)</f>
        <v>117.6</v>
      </c>
      <c r="W77" s="1065">
        <v>-0.6</v>
      </c>
      <c r="X77" s="1065"/>
      <c r="Y77" s="1065">
        <f t="shared" si="17"/>
        <v>31</v>
      </c>
      <c r="Z77" s="1065">
        <f>Y77*('Ввод исходных данных'!$D$83-W77)</f>
        <v>638.6</v>
      </c>
      <c r="AA77" s="1066">
        <v>-14.7</v>
      </c>
      <c r="AB77" s="1066"/>
      <c r="AC77" s="1066">
        <f t="shared" si="18"/>
        <v>30</v>
      </c>
      <c r="AD77" s="1066">
        <f>AC77*('Ввод исходных данных'!$D$83-AA77)</f>
        <v>1041</v>
      </c>
      <c r="AE77" s="1067">
        <v>-24.7</v>
      </c>
      <c r="AF77" s="1067"/>
      <c r="AG77" s="1067">
        <v>31</v>
      </c>
      <c r="AH77" s="1067">
        <f>AG77*('Ввод исходных данных'!$D$83-AE77)</f>
        <v>1385.7</v>
      </c>
      <c r="AI77" s="1068">
        <v>-26.9</v>
      </c>
      <c r="AJ77" s="1068"/>
      <c r="AK77" s="1068">
        <v>31</v>
      </c>
      <c r="AL77" s="1068">
        <f>AK77*('Ввод исходных данных'!$D$83-AI77)</f>
        <v>1453.8999999999999</v>
      </c>
      <c r="AM77" s="1069">
        <v>-22</v>
      </c>
      <c r="AN77" s="1069"/>
      <c r="AO77" s="1069">
        <v>28</v>
      </c>
      <c r="AP77" s="1069">
        <f>AO77*('Ввод исходных данных'!$D$83-AM77)</f>
        <v>1176</v>
      </c>
      <c r="AQ77" s="1064">
        <v>-11</v>
      </c>
      <c r="AR77" s="1064"/>
      <c r="AS77" s="1064">
        <f t="shared" si="19"/>
        <v>31</v>
      </c>
      <c r="AT77" s="1064">
        <f>AS77*('Ввод исходных данных'!$D$83-AQ77)</f>
        <v>961</v>
      </c>
      <c r="AU77" s="1070">
        <v>1.3</v>
      </c>
      <c r="AV77" s="1070"/>
      <c r="AW77" s="1070">
        <f t="shared" si="20"/>
        <v>30</v>
      </c>
      <c r="AX77" s="1070">
        <f>AW77*('Ввод исходных данных'!$D$83-AU77)</f>
        <v>561</v>
      </c>
      <c r="AY77" s="1071">
        <v>9.8000000000000007</v>
      </c>
      <c r="AZ77" s="1071"/>
      <c r="BA77" s="1071">
        <f t="shared" si="21"/>
        <v>10.5</v>
      </c>
      <c r="BB77" s="1071">
        <f>BA77*('Ввод исходных данных'!$D$83-AY77)</f>
        <v>107.1</v>
      </c>
      <c r="BC77" s="1072">
        <v>16</v>
      </c>
      <c r="BD77" s="1072"/>
      <c r="BE77" s="1072">
        <f t="shared" si="13"/>
        <v>0</v>
      </c>
      <c r="BF77" s="1073">
        <f>BE77*('Ввод исходных данных'!$D$83-BC77)</f>
        <v>0</v>
      </c>
    </row>
    <row r="78" spans="2:58" ht="15.75" customHeight="1" x14ac:dyDescent="0.25">
      <c r="B78" s="1076" t="s">
        <v>255</v>
      </c>
      <c r="C78" s="1076" t="s">
        <v>439</v>
      </c>
      <c r="D78" s="1053" t="str">
        <f t="shared" si="11"/>
        <v>Забайкальский крайСредний Калар</v>
      </c>
      <c r="E78" s="1054">
        <v>271</v>
      </c>
      <c r="F78" s="1055">
        <v>-16.399999999999999</v>
      </c>
      <c r="G78" s="1055">
        <v>-46</v>
      </c>
      <c r="H78" s="1057">
        <v>3.6</v>
      </c>
      <c r="I78" s="1058">
        <f>E78*('Ввод исходных данных'!$D$83-F78)</f>
        <v>9864.4</v>
      </c>
      <c r="J78" s="1059" t="str">
        <f t="shared" si="12"/>
        <v>9000-10000</v>
      </c>
      <c r="K78" s="1060">
        <v>15.1</v>
      </c>
      <c r="L78" s="1060"/>
      <c r="M78" s="1061">
        <f t="shared" si="14"/>
        <v>0</v>
      </c>
      <c r="N78" s="1062">
        <f>M78*('Ввод исходных данных'!$D$83-K78)</f>
        <v>0</v>
      </c>
      <c r="O78" s="1063">
        <v>12.1</v>
      </c>
      <c r="P78" s="1063"/>
      <c r="Q78" s="1063">
        <f t="shared" si="15"/>
        <v>0</v>
      </c>
      <c r="R78" s="1063">
        <f>Q78*('Ввод исходных данных'!$D$83-O78)</f>
        <v>0</v>
      </c>
      <c r="S78" s="1064">
        <v>4.5</v>
      </c>
      <c r="T78" s="1064"/>
      <c r="U78" s="1064">
        <f t="shared" si="16"/>
        <v>29.5</v>
      </c>
      <c r="V78" s="1064">
        <f>U78*('Ввод исходных данных'!$D$83-S78)</f>
        <v>457.25</v>
      </c>
      <c r="W78" s="1065">
        <v>-7.5</v>
      </c>
      <c r="X78" s="1065"/>
      <c r="Y78" s="1065">
        <f t="shared" si="17"/>
        <v>31</v>
      </c>
      <c r="Z78" s="1065">
        <f>Y78*('Ввод исходных данных'!$D$83-W78)</f>
        <v>852.5</v>
      </c>
      <c r="AA78" s="1066">
        <v>-23.7</v>
      </c>
      <c r="AB78" s="1066"/>
      <c r="AC78" s="1066">
        <f t="shared" si="18"/>
        <v>30</v>
      </c>
      <c r="AD78" s="1066">
        <f>AC78*('Ввод исходных данных'!$D$83-AA78)</f>
        <v>1311</v>
      </c>
      <c r="AE78" s="1067">
        <v>-34.4</v>
      </c>
      <c r="AF78" s="1067"/>
      <c r="AG78" s="1067">
        <v>31</v>
      </c>
      <c r="AH78" s="1067">
        <f>AG78*('Ввод исходных данных'!$D$83-AE78)</f>
        <v>1686.3999999999999</v>
      </c>
      <c r="AI78" s="1068">
        <v>-36.299999999999997</v>
      </c>
      <c r="AJ78" s="1068"/>
      <c r="AK78" s="1068">
        <v>31</v>
      </c>
      <c r="AL78" s="1068">
        <f>AK78*('Ввод исходных данных'!$D$83-AI78)</f>
        <v>1745.3</v>
      </c>
      <c r="AM78" s="1069">
        <v>-30.7</v>
      </c>
      <c r="AN78" s="1069"/>
      <c r="AO78" s="1069">
        <v>28</v>
      </c>
      <c r="AP78" s="1069">
        <f>AO78*('Ввод исходных данных'!$D$83-AM78)</f>
        <v>1419.6000000000001</v>
      </c>
      <c r="AQ78" s="1064">
        <v>-19.100000000000001</v>
      </c>
      <c r="AR78" s="1064"/>
      <c r="AS78" s="1064">
        <f t="shared" si="19"/>
        <v>31</v>
      </c>
      <c r="AT78" s="1064">
        <f>AS78*('Ввод исходных данных'!$D$83-AQ78)</f>
        <v>1212.1000000000001</v>
      </c>
      <c r="AU78" s="1070">
        <v>-5.7</v>
      </c>
      <c r="AV78" s="1070"/>
      <c r="AW78" s="1070">
        <f t="shared" si="20"/>
        <v>30</v>
      </c>
      <c r="AX78" s="1070">
        <f>AW78*('Ввод исходных данных'!$D$83-AU78)</f>
        <v>771</v>
      </c>
      <c r="AY78" s="1071">
        <v>4.5</v>
      </c>
      <c r="AZ78" s="1071"/>
      <c r="BA78" s="1071">
        <f t="shared" si="21"/>
        <v>29.5</v>
      </c>
      <c r="BB78" s="1071">
        <f>BA78*('Ввод исходных данных'!$D$83-AY78)</f>
        <v>457.25</v>
      </c>
      <c r="BC78" s="1072">
        <v>12.1</v>
      </c>
      <c r="BD78" s="1072"/>
      <c r="BE78" s="1072">
        <f t="shared" si="13"/>
        <v>0</v>
      </c>
      <c r="BF78" s="1073">
        <f>BE78*('Ввод исходных данных'!$D$83-BC78)</f>
        <v>0</v>
      </c>
    </row>
    <row r="79" spans="2:58" ht="15.75" customHeight="1" x14ac:dyDescent="0.25">
      <c r="B79" s="1052" t="s">
        <v>255</v>
      </c>
      <c r="C79" s="1052" t="s">
        <v>440</v>
      </c>
      <c r="D79" s="1053" t="str">
        <f t="shared" si="11"/>
        <v>Забайкальский крайТунгокочен</v>
      </c>
      <c r="E79" s="1054">
        <v>262</v>
      </c>
      <c r="F79" s="1055">
        <v>-13.8</v>
      </c>
      <c r="G79" s="1055">
        <v>-45</v>
      </c>
      <c r="H79" s="1057">
        <f>3.6</f>
        <v>3.6</v>
      </c>
      <c r="I79" s="1058">
        <f>E79*('Ввод исходных данных'!$D$83-F79)</f>
        <v>8855.5999999999985</v>
      </c>
      <c r="J79" s="1059" t="str">
        <f t="shared" si="12"/>
        <v>8000-9000</v>
      </c>
      <c r="K79" s="1060">
        <v>15.8</v>
      </c>
      <c r="L79" s="1060"/>
      <c r="M79" s="1061">
        <f t="shared" si="14"/>
        <v>0</v>
      </c>
      <c r="N79" s="1062">
        <f>M79*('Ввод исходных данных'!$D$83-K79)</f>
        <v>0</v>
      </c>
      <c r="O79" s="1063">
        <v>12.8</v>
      </c>
      <c r="P79" s="1063"/>
      <c r="Q79" s="1063">
        <f t="shared" si="15"/>
        <v>0</v>
      </c>
      <c r="R79" s="1063">
        <f>Q79*('Ввод исходных данных'!$D$83-O79)</f>
        <v>0</v>
      </c>
      <c r="S79" s="1064">
        <v>5.5</v>
      </c>
      <c r="T79" s="1064"/>
      <c r="U79" s="1064">
        <f t="shared" si="16"/>
        <v>25</v>
      </c>
      <c r="V79" s="1064">
        <f>U79*('Ввод исходных данных'!$D$83-S79)</f>
        <v>362.5</v>
      </c>
      <c r="W79" s="1065">
        <v>-4.5</v>
      </c>
      <c r="X79" s="1065"/>
      <c r="Y79" s="1065">
        <f t="shared" si="17"/>
        <v>31</v>
      </c>
      <c r="Z79" s="1065">
        <f>Y79*('Ввод исходных данных'!$D$83-W79)</f>
        <v>759.5</v>
      </c>
      <c r="AA79" s="1066">
        <v>-19.2</v>
      </c>
      <c r="AB79" s="1066"/>
      <c r="AC79" s="1066">
        <f t="shared" si="18"/>
        <v>30</v>
      </c>
      <c r="AD79" s="1066">
        <f>AC79*('Ввод исходных данных'!$D$83-AA79)</f>
        <v>1176</v>
      </c>
      <c r="AE79" s="1067">
        <v>-29.3</v>
      </c>
      <c r="AF79" s="1067"/>
      <c r="AG79" s="1067">
        <v>31</v>
      </c>
      <c r="AH79" s="1067">
        <f>AG79*('Ввод исходных данных'!$D$83-AE79)</f>
        <v>1528.3</v>
      </c>
      <c r="AI79" s="1068">
        <v>-31</v>
      </c>
      <c r="AJ79" s="1068"/>
      <c r="AK79" s="1068">
        <v>31</v>
      </c>
      <c r="AL79" s="1068">
        <f>AK79*('Ввод исходных данных'!$D$83-AI79)</f>
        <v>1581</v>
      </c>
      <c r="AM79" s="1069">
        <v>-26.5</v>
      </c>
      <c r="AN79" s="1069"/>
      <c r="AO79" s="1069">
        <v>28</v>
      </c>
      <c r="AP79" s="1069">
        <f>AO79*('Ввод исходных данных'!$D$83-AM79)</f>
        <v>1302</v>
      </c>
      <c r="AQ79" s="1064">
        <v>-16</v>
      </c>
      <c r="AR79" s="1064"/>
      <c r="AS79" s="1064">
        <f t="shared" si="19"/>
        <v>31</v>
      </c>
      <c r="AT79" s="1064">
        <f>AS79*('Ввод исходных данных'!$D$83-AQ79)</f>
        <v>1116</v>
      </c>
      <c r="AU79" s="1070">
        <v>-3</v>
      </c>
      <c r="AV79" s="1070"/>
      <c r="AW79" s="1070">
        <f t="shared" si="20"/>
        <v>30</v>
      </c>
      <c r="AX79" s="1070">
        <f>AW79*('Ввод исходных данных'!$D$83-AU79)</f>
        <v>690</v>
      </c>
      <c r="AY79" s="1071">
        <v>6</v>
      </c>
      <c r="AZ79" s="1071"/>
      <c r="BA79" s="1071">
        <f t="shared" si="21"/>
        <v>25</v>
      </c>
      <c r="BB79" s="1071">
        <f>BA79*('Ввод исходных данных'!$D$83-AY79)</f>
        <v>350</v>
      </c>
      <c r="BC79" s="1072">
        <v>13.1</v>
      </c>
      <c r="BD79" s="1072"/>
      <c r="BE79" s="1072">
        <f t="shared" si="13"/>
        <v>0</v>
      </c>
      <c r="BF79" s="1073">
        <f>BE79*('Ввод исходных данных'!$D$83-BC79)</f>
        <v>0</v>
      </c>
    </row>
    <row r="80" spans="2:58" ht="15.75" customHeight="1" x14ac:dyDescent="0.25">
      <c r="B80" s="1076" t="s">
        <v>255</v>
      </c>
      <c r="C80" s="1076" t="s">
        <v>441</v>
      </c>
      <c r="D80" s="1053" t="str">
        <f t="shared" si="11"/>
        <v>Забайкальский крайТупик</v>
      </c>
      <c r="E80" s="1054">
        <v>260</v>
      </c>
      <c r="F80" s="1055">
        <v>-14.8</v>
      </c>
      <c r="G80" s="1055">
        <v>-44</v>
      </c>
      <c r="H80" s="1057">
        <v>3.6</v>
      </c>
      <c r="I80" s="1058">
        <f>E80*('Ввод исходных данных'!$D$83-F80)</f>
        <v>9048</v>
      </c>
      <c r="J80" s="1059" t="str">
        <f t="shared" si="12"/>
        <v>9000-10000</v>
      </c>
      <c r="K80" s="1060">
        <v>16.3</v>
      </c>
      <c r="L80" s="1060"/>
      <c r="M80" s="1061">
        <f t="shared" si="14"/>
        <v>0</v>
      </c>
      <c r="N80" s="1062">
        <f>M80*('Ввод исходных данных'!$D$83-K80)</f>
        <v>0</v>
      </c>
      <c r="O80" s="1063">
        <v>13.1</v>
      </c>
      <c r="P80" s="1063"/>
      <c r="Q80" s="1063">
        <f t="shared" si="15"/>
        <v>0</v>
      </c>
      <c r="R80" s="1063">
        <f>Q80*('Ввод исходных данных'!$D$83-O80)</f>
        <v>0</v>
      </c>
      <c r="S80" s="1064">
        <v>5.9</v>
      </c>
      <c r="T80" s="1064"/>
      <c r="U80" s="1064">
        <f t="shared" si="16"/>
        <v>24</v>
      </c>
      <c r="V80" s="1064">
        <f>U80*('Ввод исходных данных'!$D$83-S80)</f>
        <v>338.4</v>
      </c>
      <c r="W80" s="1065">
        <v>-5.0999999999999996</v>
      </c>
      <c r="X80" s="1065"/>
      <c r="Y80" s="1065">
        <f t="shared" si="17"/>
        <v>31</v>
      </c>
      <c r="Z80" s="1065">
        <f>Y80*('Ввод исходных данных'!$D$83-W80)</f>
        <v>778.1</v>
      </c>
      <c r="AA80" s="1066">
        <v>-20.5</v>
      </c>
      <c r="AB80" s="1066"/>
      <c r="AC80" s="1066">
        <f t="shared" si="18"/>
        <v>30</v>
      </c>
      <c r="AD80" s="1066">
        <f>AC80*('Ввод исходных данных'!$D$83-AA80)</f>
        <v>1215</v>
      </c>
      <c r="AE80" s="1067">
        <v>-30.8</v>
      </c>
      <c r="AF80" s="1067"/>
      <c r="AG80" s="1067">
        <v>31</v>
      </c>
      <c r="AH80" s="1067">
        <f>AG80*('Ввод исходных данных'!$D$83-AE80)</f>
        <v>1574.8</v>
      </c>
      <c r="AI80" s="1068">
        <v>-32.700000000000003</v>
      </c>
      <c r="AJ80" s="1068"/>
      <c r="AK80" s="1068">
        <v>31</v>
      </c>
      <c r="AL80" s="1068">
        <f>AK80*('Ввод исходных данных'!$D$83-AI80)</f>
        <v>1633.7</v>
      </c>
      <c r="AM80" s="1069">
        <v>-27.8</v>
      </c>
      <c r="AN80" s="1069"/>
      <c r="AO80" s="1069">
        <v>28</v>
      </c>
      <c r="AP80" s="1069">
        <f>AO80*('Ввод исходных данных'!$D$83-AM80)</f>
        <v>1338.3999999999999</v>
      </c>
      <c r="AQ80" s="1064">
        <v>-16.8</v>
      </c>
      <c r="AR80" s="1064"/>
      <c r="AS80" s="1064">
        <f t="shared" si="19"/>
        <v>31</v>
      </c>
      <c r="AT80" s="1064">
        <f>AS80*('Ввод исходных данных'!$D$83-AQ80)</f>
        <v>1140.8</v>
      </c>
      <c r="AU80" s="1070">
        <v>-3.6</v>
      </c>
      <c r="AV80" s="1070"/>
      <c r="AW80" s="1070">
        <f t="shared" si="20"/>
        <v>30</v>
      </c>
      <c r="AX80" s="1070">
        <f>AW80*('Ввод исходных данных'!$D$83-AU80)</f>
        <v>708</v>
      </c>
      <c r="AY80" s="1071">
        <v>6</v>
      </c>
      <c r="AZ80" s="1071"/>
      <c r="BA80" s="1071">
        <f t="shared" si="21"/>
        <v>24</v>
      </c>
      <c r="BB80" s="1071">
        <f>BA80*('Ввод исходных данных'!$D$83-AY80)</f>
        <v>336</v>
      </c>
      <c r="BC80" s="1072">
        <v>13.4</v>
      </c>
      <c r="BD80" s="1072"/>
      <c r="BE80" s="1072">
        <f t="shared" si="13"/>
        <v>0</v>
      </c>
      <c r="BF80" s="1073">
        <f>BE80*('Ввод исходных данных'!$D$83-BC80)</f>
        <v>0</v>
      </c>
    </row>
    <row r="81" spans="2:58" ht="15.75" customHeight="1" x14ac:dyDescent="0.25">
      <c r="B81" s="1052" t="s">
        <v>255</v>
      </c>
      <c r="C81" s="1052" t="s">
        <v>432</v>
      </c>
      <c r="D81" s="1053" t="str">
        <f t="shared" si="11"/>
        <v>Забайкальский крайЧара</v>
      </c>
      <c r="E81" s="1054">
        <v>263</v>
      </c>
      <c r="F81" s="1055">
        <v>-15.8</v>
      </c>
      <c r="G81" s="1055">
        <v>-45</v>
      </c>
      <c r="H81" s="1057">
        <v>1.6</v>
      </c>
      <c r="I81" s="1058">
        <f>E81*('Ввод исходных данных'!$D$83-F81)</f>
        <v>9415.4</v>
      </c>
      <c r="J81" s="1059" t="str">
        <f t="shared" si="12"/>
        <v>9000-10000</v>
      </c>
      <c r="K81" s="1060">
        <v>16.3</v>
      </c>
      <c r="L81" s="1060"/>
      <c r="M81" s="1061">
        <f t="shared" si="14"/>
        <v>0</v>
      </c>
      <c r="N81" s="1062">
        <f>M81*('Ввод исходных данных'!$D$83-K81)</f>
        <v>0</v>
      </c>
      <c r="O81" s="1063">
        <v>13.2</v>
      </c>
      <c r="P81" s="1063"/>
      <c r="Q81" s="1063">
        <f t="shared" si="15"/>
        <v>0</v>
      </c>
      <c r="R81" s="1063">
        <f>Q81*('Ввод исходных данных'!$D$83-O81)</f>
        <v>0</v>
      </c>
      <c r="S81" s="1064">
        <v>5.2</v>
      </c>
      <c r="T81" s="1064"/>
      <c r="U81" s="1064">
        <f t="shared" si="16"/>
        <v>25.5</v>
      </c>
      <c r="V81" s="1064">
        <f>U81*('Ввод исходных данных'!$D$83-S81)</f>
        <v>377.40000000000003</v>
      </c>
      <c r="W81" s="1065">
        <v>-6.1</v>
      </c>
      <c r="X81" s="1065"/>
      <c r="Y81" s="1065">
        <f t="shared" si="17"/>
        <v>31</v>
      </c>
      <c r="Z81" s="1065">
        <f>Y81*('Ввод исходных данных'!$D$83-W81)</f>
        <v>809.1</v>
      </c>
      <c r="AA81" s="1066">
        <v>-20.9</v>
      </c>
      <c r="AB81" s="1066"/>
      <c r="AC81" s="1066">
        <f t="shared" si="18"/>
        <v>30</v>
      </c>
      <c r="AD81" s="1066">
        <f>AC81*('Ввод исходных данных'!$D$83-AA81)</f>
        <v>1227</v>
      </c>
      <c r="AE81" s="1067">
        <v>-30.7</v>
      </c>
      <c r="AF81" s="1067"/>
      <c r="AG81" s="1067">
        <v>31</v>
      </c>
      <c r="AH81" s="1067">
        <f>AG81*('Ввод исходных данных'!$D$83-AE81)</f>
        <v>1571.7</v>
      </c>
      <c r="AI81" s="1068">
        <v>-32.799999999999997</v>
      </c>
      <c r="AJ81" s="1068"/>
      <c r="AK81" s="1068">
        <v>31</v>
      </c>
      <c r="AL81" s="1068">
        <f>AK81*('Ввод исходных данных'!$D$83-AI81)</f>
        <v>1636.8</v>
      </c>
      <c r="AM81" s="1069">
        <v>-28.3</v>
      </c>
      <c r="AN81" s="1069"/>
      <c r="AO81" s="1069">
        <v>28</v>
      </c>
      <c r="AP81" s="1069">
        <f>AO81*('Ввод исходных данных'!$D$83-AM81)</f>
        <v>1352.3999999999999</v>
      </c>
      <c r="AQ81" s="1064">
        <v>-17.3</v>
      </c>
      <c r="AR81" s="1064"/>
      <c r="AS81" s="1064">
        <f t="shared" si="19"/>
        <v>31</v>
      </c>
      <c r="AT81" s="1064">
        <f>AS81*('Ввод исходных данных'!$D$83-AQ81)</f>
        <v>1156.3</v>
      </c>
      <c r="AU81" s="1070">
        <v>-4.0999999999999996</v>
      </c>
      <c r="AV81" s="1070"/>
      <c r="AW81" s="1070">
        <f t="shared" si="20"/>
        <v>30</v>
      </c>
      <c r="AX81" s="1070">
        <f>AW81*('Ввод исходных данных'!$D$83-AU81)</f>
        <v>723</v>
      </c>
      <c r="AY81" s="1071">
        <v>5.2</v>
      </c>
      <c r="AZ81" s="1071"/>
      <c r="BA81" s="1071">
        <f t="shared" si="21"/>
        <v>25.5</v>
      </c>
      <c r="BB81" s="1071">
        <f>BA81*('Ввод исходных данных'!$D$83-AY81)</f>
        <v>377.40000000000003</v>
      </c>
      <c r="BC81" s="1072">
        <v>13.3</v>
      </c>
      <c r="BD81" s="1072"/>
      <c r="BE81" s="1072">
        <f t="shared" si="13"/>
        <v>0</v>
      </c>
      <c r="BF81" s="1073">
        <f>BE81*('Ввод исходных данных'!$D$83-BC81)</f>
        <v>0</v>
      </c>
    </row>
    <row r="82" spans="2:58" ht="15.75" customHeight="1" x14ac:dyDescent="0.25">
      <c r="B82" s="1076" t="s">
        <v>255</v>
      </c>
      <c r="C82" s="1076" t="s">
        <v>433</v>
      </c>
      <c r="D82" s="1053" t="str">
        <f t="shared" si="11"/>
        <v>Забайкальский крайЧита</v>
      </c>
      <c r="E82" s="1054">
        <v>238</v>
      </c>
      <c r="F82" s="1055">
        <v>-11.3</v>
      </c>
      <c r="G82" s="1055">
        <v>-38</v>
      </c>
      <c r="H82" s="1057">
        <v>1.6</v>
      </c>
      <c r="I82" s="1058">
        <f>E82*('Ввод исходных данных'!$D$83-F82)</f>
        <v>7449.4000000000005</v>
      </c>
      <c r="J82" s="1059" t="str">
        <f t="shared" si="12"/>
        <v>7000-8000</v>
      </c>
      <c r="K82" s="1060">
        <v>18.5</v>
      </c>
      <c r="L82" s="1060"/>
      <c r="M82" s="1061">
        <f t="shared" si="14"/>
        <v>0</v>
      </c>
      <c r="N82" s="1062">
        <f>M82*('Ввод исходных данных'!$D$83-K82)</f>
        <v>0</v>
      </c>
      <c r="O82" s="1063">
        <v>15.7</v>
      </c>
      <c r="P82" s="1063"/>
      <c r="Q82" s="1063">
        <f t="shared" si="15"/>
        <v>0</v>
      </c>
      <c r="R82" s="1063">
        <f>Q82*('Ввод исходных данных'!$D$83-O82)</f>
        <v>0</v>
      </c>
      <c r="S82" s="1064">
        <v>8.4</v>
      </c>
      <c r="T82" s="1064"/>
      <c r="U82" s="1064">
        <f t="shared" si="16"/>
        <v>13</v>
      </c>
      <c r="V82" s="1064">
        <f>U82*('Ввод исходных данных'!$D$83-S82)</f>
        <v>150.79999999999998</v>
      </c>
      <c r="W82" s="1065">
        <v>-0.8</v>
      </c>
      <c r="X82" s="1065"/>
      <c r="Y82" s="1065">
        <f t="shared" si="17"/>
        <v>31</v>
      </c>
      <c r="Z82" s="1065">
        <f>Y82*('Ввод исходных данных'!$D$83-W82)</f>
        <v>644.80000000000007</v>
      </c>
      <c r="AA82" s="1066">
        <v>-13.1</v>
      </c>
      <c r="AB82" s="1066"/>
      <c r="AC82" s="1066">
        <f t="shared" si="18"/>
        <v>30</v>
      </c>
      <c r="AD82" s="1066">
        <f>AC82*('Ввод исходных данных'!$D$83-AA82)</f>
        <v>993</v>
      </c>
      <c r="AE82" s="1067">
        <v>-22.6</v>
      </c>
      <c r="AF82" s="1067"/>
      <c r="AG82" s="1067">
        <v>31</v>
      </c>
      <c r="AH82" s="1067">
        <f>AG82*('Ввод исходных данных'!$D$83-AE82)</f>
        <v>1320.6000000000001</v>
      </c>
      <c r="AI82" s="1068">
        <v>-25.6</v>
      </c>
      <c r="AJ82" s="1068"/>
      <c r="AK82" s="1068">
        <v>31</v>
      </c>
      <c r="AL82" s="1068">
        <f>AK82*('Ввод исходных данных'!$D$83-AI82)</f>
        <v>1413.6000000000001</v>
      </c>
      <c r="AM82" s="1069">
        <v>-20.2</v>
      </c>
      <c r="AN82" s="1069"/>
      <c r="AO82" s="1069">
        <v>28</v>
      </c>
      <c r="AP82" s="1069">
        <f>AO82*('Ввод исходных данных'!$D$83-AM82)</f>
        <v>1125.6000000000001</v>
      </c>
      <c r="AQ82" s="1064">
        <v>-9.6</v>
      </c>
      <c r="AR82" s="1064"/>
      <c r="AS82" s="1064">
        <f t="shared" si="19"/>
        <v>31</v>
      </c>
      <c r="AT82" s="1064">
        <f>AS82*('Ввод исходных данных'!$D$83-AQ82)</f>
        <v>917.6</v>
      </c>
      <c r="AU82" s="1070">
        <v>1</v>
      </c>
      <c r="AV82" s="1070"/>
      <c r="AW82" s="1070">
        <f t="shared" si="20"/>
        <v>30</v>
      </c>
      <c r="AX82" s="1070">
        <f>AW82*('Ввод исходных данных'!$D$83-AU82)</f>
        <v>570</v>
      </c>
      <c r="AY82" s="1071">
        <v>9.1999999999999993</v>
      </c>
      <c r="AZ82" s="1071"/>
      <c r="BA82" s="1071">
        <f t="shared" si="21"/>
        <v>13</v>
      </c>
      <c r="BB82" s="1071">
        <f>BA82*('Ввод исходных данных'!$D$83-AY82)</f>
        <v>140.4</v>
      </c>
      <c r="BC82" s="1072">
        <v>16.2</v>
      </c>
      <c r="BD82" s="1072"/>
      <c r="BE82" s="1072">
        <f t="shared" si="13"/>
        <v>0</v>
      </c>
      <c r="BF82" s="1073">
        <f>BE82*('Ввод исходных данных'!$D$83-BC82)</f>
        <v>0</v>
      </c>
    </row>
    <row r="83" spans="2:58" ht="15.75" customHeight="1" x14ac:dyDescent="0.25">
      <c r="B83" s="1052" t="s">
        <v>91</v>
      </c>
      <c r="C83" s="1052" t="s">
        <v>92</v>
      </c>
      <c r="D83" s="1053" t="str">
        <f t="shared" si="11"/>
        <v>Ивановская областьИваново</v>
      </c>
      <c r="E83" s="1054">
        <v>219</v>
      </c>
      <c r="F83" s="1055">
        <v>-3.9</v>
      </c>
      <c r="G83" s="1055">
        <v>-30</v>
      </c>
      <c r="H83" s="1057">
        <v>4.9000000000000004</v>
      </c>
      <c r="I83" s="1058">
        <f>E83*('Ввод исходных данных'!$D$83-F83)</f>
        <v>5234.0999999999995</v>
      </c>
      <c r="J83" s="1059" t="str">
        <f t="shared" si="12"/>
        <v>5000-6000</v>
      </c>
      <c r="K83" s="1060">
        <v>17.600000000000001</v>
      </c>
      <c r="L83" s="1060"/>
      <c r="M83" s="1061">
        <f t="shared" si="14"/>
        <v>0</v>
      </c>
      <c r="N83" s="1062">
        <f>M83*('Ввод исходных данных'!$D$83-K83)</f>
        <v>0</v>
      </c>
      <c r="O83" s="1063">
        <v>15.8</v>
      </c>
      <c r="P83" s="1063"/>
      <c r="Q83" s="1063">
        <f t="shared" si="15"/>
        <v>0</v>
      </c>
      <c r="R83" s="1063">
        <f>Q83*('Ввод исходных данных'!$D$83-O83)</f>
        <v>0</v>
      </c>
      <c r="S83" s="1064">
        <v>10.1</v>
      </c>
      <c r="T83" s="1064"/>
      <c r="U83" s="1064">
        <f t="shared" si="16"/>
        <v>3.5</v>
      </c>
      <c r="V83" s="1064">
        <f>U83*('Ввод исходных данных'!$D$83-S83)</f>
        <v>34.65</v>
      </c>
      <c r="W83" s="1065">
        <v>3.5</v>
      </c>
      <c r="X83" s="1065"/>
      <c r="Y83" s="1065">
        <f t="shared" si="17"/>
        <v>31</v>
      </c>
      <c r="Z83" s="1065">
        <f>Y83*('Ввод исходных данных'!$D$83-W83)</f>
        <v>511.5</v>
      </c>
      <c r="AA83" s="1066">
        <v>-3.1</v>
      </c>
      <c r="AB83" s="1066"/>
      <c r="AC83" s="1066">
        <f t="shared" si="18"/>
        <v>30</v>
      </c>
      <c r="AD83" s="1066">
        <f>AC83*('Ввод исходных данных'!$D$83-AA83)</f>
        <v>693</v>
      </c>
      <c r="AE83" s="1067">
        <v>-8.1</v>
      </c>
      <c r="AF83" s="1067"/>
      <c r="AG83" s="1067">
        <v>31</v>
      </c>
      <c r="AH83" s="1067">
        <f>AG83*('Ввод исходных данных'!$D$83-AE83)</f>
        <v>871.1</v>
      </c>
      <c r="AI83" s="1068">
        <v>-11.9</v>
      </c>
      <c r="AJ83" s="1068"/>
      <c r="AK83" s="1068">
        <v>31</v>
      </c>
      <c r="AL83" s="1068">
        <f>AK83*('Ввод исходных данных'!$D$83-AI83)</f>
        <v>988.9</v>
      </c>
      <c r="AM83" s="1069">
        <v>-10.9</v>
      </c>
      <c r="AN83" s="1069"/>
      <c r="AO83" s="1069">
        <v>28</v>
      </c>
      <c r="AP83" s="1069">
        <f>AO83*('Ввод исходных данных'!$D$83-AM83)</f>
        <v>865.19999999999993</v>
      </c>
      <c r="AQ83" s="1064">
        <v>-5.0999999999999996</v>
      </c>
      <c r="AR83" s="1064"/>
      <c r="AS83" s="1064">
        <f t="shared" si="19"/>
        <v>31</v>
      </c>
      <c r="AT83" s="1064">
        <f>AS83*('Ввод исходных данных'!$D$83-AQ83)</f>
        <v>778.1</v>
      </c>
      <c r="AU83" s="1070">
        <v>4.0999999999999996</v>
      </c>
      <c r="AV83" s="1070"/>
      <c r="AW83" s="1070">
        <f t="shared" si="20"/>
        <v>30</v>
      </c>
      <c r="AX83" s="1070">
        <f>AW83*('Ввод исходных данных'!$D$83-AU83)</f>
        <v>477</v>
      </c>
      <c r="AY83" s="1071">
        <v>11.4</v>
      </c>
      <c r="AZ83" s="1071"/>
      <c r="BA83" s="1071">
        <f t="shared" si="21"/>
        <v>3.5</v>
      </c>
      <c r="BB83" s="1071">
        <f>BA83*('Ввод исходных данных'!$D$83-AY83)</f>
        <v>30.099999999999998</v>
      </c>
      <c r="BC83" s="1072">
        <v>15.8</v>
      </c>
      <c r="BD83" s="1072"/>
      <c r="BE83" s="1072">
        <f t="shared" si="13"/>
        <v>0</v>
      </c>
      <c r="BF83" s="1073">
        <f>BE83*('Ввод исходных данных'!$D$83-BC83)</f>
        <v>0</v>
      </c>
    </row>
    <row r="84" spans="2:58" ht="15.75" customHeight="1" x14ac:dyDescent="0.25">
      <c r="B84" s="1076" t="s">
        <v>91</v>
      </c>
      <c r="C84" s="1076" t="s">
        <v>93</v>
      </c>
      <c r="D84" s="1053" t="str">
        <f t="shared" si="11"/>
        <v>Ивановская областьКинешма</v>
      </c>
      <c r="E84" s="1054">
        <v>221</v>
      </c>
      <c r="F84" s="1055">
        <v>-4.0999999999999996</v>
      </c>
      <c r="G84" s="1055">
        <v>-31</v>
      </c>
      <c r="H84" s="1057">
        <v>3.8</v>
      </c>
      <c r="I84" s="1058">
        <f>E84*('Ввод исходных данных'!$D$83-F84)</f>
        <v>5326.1</v>
      </c>
      <c r="J84" s="1059" t="str">
        <f t="shared" si="12"/>
        <v>5000-6000</v>
      </c>
      <c r="K84" s="1060">
        <v>18.2</v>
      </c>
      <c r="L84" s="1060"/>
      <c r="M84" s="1061">
        <f t="shared" si="14"/>
        <v>0</v>
      </c>
      <c r="N84" s="1062">
        <f>M84*('Ввод исходных данных'!$D$83-K84)</f>
        <v>0</v>
      </c>
      <c r="O84" s="1063">
        <v>15.9</v>
      </c>
      <c r="P84" s="1063"/>
      <c r="Q84" s="1063">
        <f t="shared" si="15"/>
        <v>0</v>
      </c>
      <c r="R84" s="1063">
        <f>Q84*('Ввод исходных данных'!$D$83-O84)</f>
        <v>0</v>
      </c>
      <c r="S84" s="1064">
        <v>10</v>
      </c>
      <c r="T84" s="1064"/>
      <c r="U84" s="1064">
        <f t="shared" si="16"/>
        <v>4.5</v>
      </c>
      <c r="V84" s="1064">
        <f>U84*('Ввод исходных данных'!$D$83-S84)</f>
        <v>45</v>
      </c>
      <c r="W84" s="1065">
        <v>3.3</v>
      </c>
      <c r="X84" s="1065"/>
      <c r="Y84" s="1065">
        <f t="shared" si="17"/>
        <v>31</v>
      </c>
      <c r="Z84" s="1065">
        <f>Y84*('Ввод исходных данных'!$D$83-W84)</f>
        <v>517.69999999999993</v>
      </c>
      <c r="AA84" s="1066">
        <v>-3.5</v>
      </c>
      <c r="AB84" s="1066"/>
      <c r="AC84" s="1066">
        <f t="shared" si="18"/>
        <v>30</v>
      </c>
      <c r="AD84" s="1066">
        <f>AC84*('Ввод исходных данных'!$D$83-AA84)</f>
        <v>705</v>
      </c>
      <c r="AE84" s="1067">
        <v>-9.1</v>
      </c>
      <c r="AF84" s="1067"/>
      <c r="AG84" s="1067">
        <v>31</v>
      </c>
      <c r="AH84" s="1067">
        <f>AG84*('Ввод исходных данных'!$D$83-AE84)</f>
        <v>902.1</v>
      </c>
      <c r="AI84" s="1068">
        <v>-11.7</v>
      </c>
      <c r="AJ84" s="1068"/>
      <c r="AK84" s="1068">
        <v>31</v>
      </c>
      <c r="AL84" s="1068">
        <f>AK84*('Ввод исходных данных'!$D$83-AI84)</f>
        <v>982.69999999999993</v>
      </c>
      <c r="AM84" s="1069">
        <v>-11.3</v>
      </c>
      <c r="AN84" s="1069"/>
      <c r="AO84" s="1069">
        <v>28</v>
      </c>
      <c r="AP84" s="1069">
        <f>AO84*('Ввод исходных данных'!$D$83-AM84)</f>
        <v>876.4</v>
      </c>
      <c r="AQ84" s="1064">
        <v>-5.6</v>
      </c>
      <c r="AR84" s="1064"/>
      <c r="AS84" s="1064">
        <f t="shared" si="19"/>
        <v>31</v>
      </c>
      <c r="AT84" s="1064">
        <f>AS84*('Ввод исходных данных'!$D$83-AQ84)</f>
        <v>793.6</v>
      </c>
      <c r="AU84" s="1070">
        <v>3.4</v>
      </c>
      <c r="AV84" s="1070"/>
      <c r="AW84" s="1070">
        <f t="shared" si="20"/>
        <v>30</v>
      </c>
      <c r="AX84" s="1070">
        <f>AW84*('Ввод исходных данных'!$D$83-AU84)</f>
        <v>498.00000000000006</v>
      </c>
      <c r="AY84" s="1071">
        <v>11.1</v>
      </c>
      <c r="AZ84" s="1071"/>
      <c r="BA84" s="1071">
        <f t="shared" si="21"/>
        <v>4.5</v>
      </c>
      <c r="BB84" s="1071">
        <f>BA84*('Ввод исходных данных'!$D$83-AY84)</f>
        <v>40.050000000000004</v>
      </c>
      <c r="BC84" s="1072">
        <v>15.9</v>
      </c>
      <c r="BD84" s="1072"/>
      <c r="BE84" s="1072">
        <f t="shared" si="13"/>
        <v>0</v>
      </c>
      <c r="BF84" s="1073">
        <f>BE84*('Ввод исходных данных'!$D$83-BC84)</f>
        <v>0</v>
      </c>
    </row>
    <row r="85" spans="2:58" ht="15.75" customHeight="1" x14ac:dyDescent="0.25">
      <c r="B85" s="1052" t="s">
        <v>71</v>
      </c>
      <c r="C85" s="1052" t="s">
        <v>72</v>
      </c>
      <c r="D85" s="1053" t="str">
        <f t="shared" si="11"/>
        <v>Иркутская областьАлыгджер</v>
      </c>
      <c r="E85" s="1054">
        <v>264</v>
      </c>
      <c r="F85" s="1055">
        <v>-6.4</v>
      </c>
      <c r="G85" s="1055">
        <v>-36</v>
      </c>
      <c r="H85" s="1057">
        <v>3.8</v>
      </c>
      <c r="I85" s="1058">
        <f>E85*('Ввод исходных данных'!$D$83-F85)</f>
        <v>6969.5999999999995</v>
      </c>
      <c r="J85" s="1059" t="str">
        <f t="shared" si="12"/>
        <v>6000-7000</v>
      </c>
      <c r="K85" s="1060">
        <v>13.8</v>
      </c>
      <c r="L85" s="1060"/>
      <c r="M85" s="1061">
        <f t="shared" si="14"/>
        <v>0</v>
      </c>
      <c r="N85" s="1062">
        <f>M85*('Ввод исходных данных'!$D$83-K85)</f>
        <v>0</v>
      </c>
      <c r="O85" s="1063">
        <v>12</v>
      </c>
      <c r="P85" s="1063"/>
      <c r="Q85" s="1063">
        <f t="shared" si="15"/>
        <v>0</v>
      </c>
      <c r="R85" s="1063">
        <f>Q85*('Ввод исходных данных'!$D$83-O85)</f>
        <v>0</v>
      </c>
      <c r="S85" s="1064">
        <v>6.4</v>
      </c>
      <c r="T85" s="1064"/>
      <c r="U85" s="1064">
        <f t="shared" si="16"/>
        <v>26</v>
      </c>
      <c r="V85" s="1064">
        <f>U85*('Ввод исходных данных'!$D$83-S85)</f>
        <v>353.59999999999997</v>
      </c>
      <c r="W85" s="1065">
        <v>0.1</v>
      </c>
      <c r="X85" s="1065"/>
      <c r="Y85" s="1065">
        <f t="shared" si="17"/>
        <v>31</v>
      </c>
      <c r="Z85" s="1065">
        <f>Y85*('Ввод исходных данных'!$D$83-W85)</f>
        <v>616.9</v>
      </c>
      <c r="AA85" s="1066">
        <v>-8.9</v>
      </c>
      <c r="AB85" s="1066"/>
      <c r="AC85" s="1066">
        <f t="shared" si="18"/>
        <v>30</v>
      </c>
      <c r="AD85" s="1066">
        <f>AC85*('Ввод исходных данных'!$D$83-AA85)</f>
        <v>867</v>
      </c>
      <c r="AE85" s="1067">
        <v>-15.1</v>
      </c>
      <c r="AF85" s="1067"/>
      <c r="AG85" s="1067">
        <v>31</v>
      </c>
      <c r="AH85" s="1067">
        <f>AG85*('Ввод исходных данных'!$D$83-AE85)</f>
        <v>1088.1000000000001</v>
      </c>
      <c r="AI85" s="1068">
        <v>-16.7</v>
      </c>
      <c r="AJ85" s="1068"/>
      <c r="AK85" s="1068">
        <v>31</v>
      </c>
      <c r="AL85" s="1068">
        <f>AK85*('Ввод исходных данных'!$D$83-AI85)</f>
        <v>1137.7</v>
      </c>
      <c r="AM85" s="1069">
        <v>-14.6</v>
      </c>
      <c r="AN85" s="1069"/>
      <c r="AO85" s="1069">
        <v>28</v>
      </c>
      <c r="AP85" s="1069">
        <f>AO85*('Ввод исходных данных'!$D$83-AM85)</f>
        <v>968.80000000000007</v>
      </c>
      <c r="AQ85" s="1064">
        <v>-7.8</v>
      </c>
      <c r="AR85" s="1064"/>
      <c r="AS85" s="1064">
        <f t="shared" si="19"/>
        <v>31</v>
      </c>
      <c r="AT85" s="1064">
        <f>AS85*('Ввод исходных данных'!$D$83-AQ85)</f>
        <v>861.80000000000007</v>
      </c>
      <c r="AU85" s="1070">
        <v>-0.2</v>
      </c>
      <c r="AV85" s="1070"/>
      <c r="AW85" s="1070">
        <f t="shared" si="20"/>
        <v>30</v>
      </c>
      <c r="AX85" s="1070">
        <f>AW85*('Ввод исходных данных'!$D$83-AU85)</f>
        <v>606</v>
      </c>
      <c r="AY85" s="1071">
        <v>6.2</v>
      </c>
      <c r="AZ85" s="1071"/>
      <c r="BA85" s="1071">
        <f t="shared" si="21"/>
        <v>26</v>
      </c>
      <c r="BB85" s="1071">
        <f>BA85*('Ввод исходных данных'!$D$83-AY85)</f>
        <v>358.8</v>
      </c>
      <c r="BC85" s="1072">
        <v>12.2</v>
      </c>
      <c r="BD85" s="1072"/>
      <c r="BE85" s="1072">
        <f t="shared" si="13"/>
        <v>0</v>
      </c>
      <c r="BF85" s="1073">
        <f>BE85*('Ввод исходных данных'!$D$83-BC85)</f>
        <v>0</v>
      </c>
    </row>
    <row r="86" spans="2:58" ht="15.75" customHeight="1" x14ac:dyDescent="0.25">
      <c r="B86" s="1076" t="s">
        <v>71</v>
      </c>
      <c r="C86" s="1076" t="s">
        <v>73</v>
      </c>
      <c r="D86" s="1053" t="str">
        <f t="shared" si="11"/>
        <v>Иркутская областьБодайбо</v>
      </c>
      <c r="E86" s="1054">
        <v>253</v>
      </c>
      <c r="F86" s="1055">
        <v>-14.1</v>
      </c>
      <c r="G86" s="1055">
        <v>-46</v>
      </c>
      <c r="H86" s="1057">
        <v>2.2999999999999998</v>
      </c>
      <c r="I86" s="1058">
        <f>E86*('Ввод исходных данных'!$D$83-F86)</f>
        <v>8627.3000000000011</v>
      </c>
      <c r="J86" s="1059" t="str">
        <f t="shared" si="12"/>
        <v>8000-9000</v>
      </c>
      <c r="K86" s="1060">
        <v>18.2</v>
      </c>
      <c r="L86" s="1060"/>
      <c r="M86" s="1061">
        <f t="shared" si="14"/>
        <v>0</v>
      </c>
      <c r="N86" s="1062">
        <f>M86*('Ввод исходных данных'!$D$83-K86)</f>
        <v>0</v>
      </c>
      <c r="O86" s="1063">
        <v>14.9</v>
      </c>
      <c r="P86" s="1063"/>
      <c r="Q86" s="1063">
        <f t="shared" si="15"/>
        <v>0</v>
      </c>
      <c r="R86" s="1063">
        <f>Q86*('Ввод исходных данных'!$D$83-O86)</f>
        <v>0</v>
      </c>
      <c r="S86" s="1064">
        <v>6.7</v>
      </c>
      <c r="T86" s="1064"/>
      <c r="U86" s="1064">
        <f t="shared" si="16"/>
        <v>20.5</v>
      </c>
      <c r="V86" s="1064">
        <f>U86*('Ввод исходных данных'!$D$83-S86)</f>
        <v>272.65000000000003</v>
      </c>
      <c r="W86" s="1065">
        <v>-3.4</v>
      </c>
      <c r="X86" s="1065"/>
      <c r="Y86" s="1065">
        <f t="shared" si="17"/>
        <v>31</v>
      </c>
      <c r="Z86" s="1065">
        <f>Y86*('Ввод исходных данных'!$D$83-W86)</f>
        <v>725.4</v>
      </c>
      <c r="AA86" s="1066">
        <v>-17.600000000000001</v>
      </c>
      <c r="AB86" s="1066"/>
      <c r="AC86" s="1066">
        <f t="shared" si="18"/>
        <v>30</v>
      </c>
      <c r="AD86" s="1066">
        <f>AC86*('Ввод исходных данных'!$D$83-AA86)</f>
        <v>1128</v>
      </c>
      <c r="AE86" s="1067">
        <v>-27.6</v>
      </c>
      <c r="AF86" s="1067"/>
      <c r="AG86" s="1067">
        <v>31</v>
      </c>
      <c r="AH86" s="1067">
        <f>AG86*('Ввод исходных данных'!$D$83-AE86)</f>
        <v>1475.6000000000001</v>
      </c>
      <c r="AI86" s="1068">
        <v>-30.1</v>
      </c>
      <c r="AJ86" s="1068"/>
      <c r="AK86" s="1068">
        <v>31</v>
      </c>
      <c r="AL86" s="1068">
        <f>AK86*('Ввод исходных данных'!$D$83-AI86)</f>
        <v>1553.1000000000001</v>
      </c>
      <c r="AM86" s="1069">
        <v>-25.5</v>
      </c>
      <c r="AN86" s="1069"/>
      <c r="AO86" s="1069">
        <v>28</v>
      </c>
      <c r="AP86" s="1069">
        <f>AO86*('Ввод исходных данных'!$D$83-AM86)</f>
        <v>1274</v>
      </c>
      <c r="AQ86" s="1064">
        <v>-13.8</v>
      </c>
      <c r="AR86" s="1064"/>
      <c r="AS86" s="1064">
        <f t="shared" si="19"/>
        <v>31</v>
      </c>
      <c r="AT86" s="1064">
        <f>AS86*('Ввод исходных данных'!$D$83-AQ86)</f>
        <v>1047.8</v>
      </c>
      <c r="AU86" s="1070">
        <v>-1.9</v>
      </c>
      <c r="AV86" s="1070"/>
      <c r="AW86" s="1070">
        <f t="shared" si="20"/>
        <v>30</v>
      </c>
      <c r="AX86" s="1070">
        <f>AW86*('Ввод исходных данных'!$D$83-AU86)</f>
        <v>657</v>
      </c>
      <c r="AY86" s="1071">
        <v>6.7</v>
      </c>
      <c r="AZ86" s="1071"/>
      <c r="BA86" s="1071">
        <f t="shared" si="21"/>
        <v>20.5</v>
      </c>
      <c r="BB86" s="1071">
        <f>BA86*('Ввод исходных данных'!$D$83-AY86)</f>
        <v>272.65000000000003</v>
      </c>
      <c r="BC86" s="1072">
        <v>14.7</v>
      </c>
      <c r="BD86" s="1072"/>
      <c r="BE86" s="1072">
        <f t="shared" si="13"/>
        <v>0</v>
      </c>
      <c r="BF86" s="1073">
        <f>BE86*('Ввод исходных данных'!$D$83-BC86)</f>
        <v>0</v>
      </c>
    </row>
    <row r="87" spans="2:58" ht="15.75" customHeight="1" x14ac:dyDescent="0.25">
      <c r="B87" s="1052" t="s">
        <v>71</v>
      </c>
      <c r="C87" s="1052" t="s">
        <v>74</v>
      </c>
      <c r="D87" s="1053" t="str">
        <f t="shared" si="11"/>
        <v>Иркутская областьБратск</v>
      </c>
      <c r="E87" s="1054">
        <v>249</v>
      </c>
      <c r="F87" s="1055">
        <v>-8.6</v>
      </c>
      <c r="G87" s="1055">
        <v>-43</v>
      </c>
      <c r="H87" s="1057">
        <v>3.4</v>
      </c>
      <c r="I87" s="1058">
        <f>E87*('Ввод исходных данных'!$D$83-F87)</f>
        <v>7121.4000000000005</v>
      </c>
      <c r="J87" s="1059" t="str">
        <f t="shared" si="12"/>
        <v>7000-8000</v>
      </c>
      <c r="K87" s="1060">
        <v>17.8</v>
      </c>
      <c r="L87" s="1060"/>
      <c r="M87" s="1061">
        <f t="shared" si="14"/>
        <v>0</v>
      </c>
      <c r="N87" s="1062">
        <f>M87*('Ввод исходных данных'!$D$83-K87)</f>
        <v>0</v>
      </c>
      <c r="O87" s="1063">
        <v>14.8</v>
      </c>
      <c r="P87" s="1063"/>
      <c r="Q87" s="1063">
        <f t="shared" si="15"/>
        <v>0</v>
      </c>
      <c r="R87" s="1063">
        <f>Q87*('Ввод исходных данных'!$D$83-O87)</f>
        <v>0</v>
      </c>
      <c r="S87" s="1064">
        <v>8.1</v>
      </c>
      <c r="T87" s="1064"/>
      <c r="U87" s="1064">
        <f t="shared" si="16"/>
        <v>18.5</v>
      </c>
      <c r="V87" s="1064">
        <f>U87*('Ввод исходных данных'!$D$83-S87)</f>
        <v>220.15</v>
      </c>
      <c r="W87" s="1065">
        <v>-0.5</v>
      </c>
      <c r="X87" s="1065"/>
      <c r="Y87" s="1065">
        <f t="shared" si="17"/>
        <v>31</v>
      </c>
      <c r="Z87" s="1065">
        <f>Y87*('Ввод исходных данных'!$D$83-W87)</f>
        <v>635.5</v>
      </c>
      <c r="AA87" s="1066">
        <v>-9.8000000000000007</v>
      </c>
      <c r="AB87" s="1066"/>
      <c r="AC87" s="1066">
        <f t="shared" si="18"/>
        <v>30</v>
      </c>
      <c r="AD87" s="1066">
        <f>AC87*('Ввод исходных данных'!$D$83-AA87)</f>
        <v>894</v>
      </c>
      <c r="AE87" s="1067">
        <v>-18.399999999999999</v>
      </c>
      <c r="AF87" s="1067"/>
      <c r="AG87" s="1067">
        <v>31</v>
      </c>
      <c r="AH87" s="1067">
        <f>AG87*('Ввод исходных данных'!$D$83-AE87)</f>
        <v>1190.3999999999999</v>
      </c>
      <c r="AI87" s="1068">
        <v>-20.7</v>
      </c>
      <c r="AJ87" s="1068"/>
      <c r="AK87" s="1068">
        <v>31</v>
      </c>
      <c r="AL87" s="1068">
        <f>AK87*('Ввод исходных данных'!$D$83-AI87)</f>
        <v>1261.7</v>
      </c>
      <c r="AM87" s="1069">
        <v>-19.399999999999999</v>
      </c>
      <c r="AN87" s="1069"/>
      <c r="AO87" s="1069">
        <v>28</v>
      </c>
      <c r="AP87" s="1069">
        <f>AO87*('Ввод исходных данных'!$D$83-AM87)</f>
        <v>1103.2</v>
      </c>
      <c r="AQ87" s="1064">
        <v>-10.199999999999999</v>
      </c>
      <c r="AR87" s="1064"/>
      <c r="AS87" s="1064">
        <f t="shared" si="19"/>
        <v>31</v>
      </c>
      <c r="AT87" s="1064">
        <f>AS87*('Ввод исходных данных'!$D$83-AQ87)</f>
        <v>936.19999999999993</v>
      </c>
      <c r="AU87" s="1070">
        <v>-1.2</v>
      </c>
      <c r="AV87" s="1070"/>
      <c r="AW87" s="1070">
        <f t="shared" si="20"/>
        <v>30</v>
      </c>
      <c r="AX87" s="1070">
        <f>AW87*('Ввод исходных данных'!$D$83-AU87)</f>
        <v>636</v>
      </c>
      <c r="AY87" s="1071">
        <v>6.2</v>
      </c>
      <c r="AZ87" s="1071"/>
      <c r="BA87" s="1071">
        <f t="shared" si="21"/>
        <v>18.5</v>
      </c>
      <c r="BB87" s="1071">
        <f>BA87*('Ввод исходных данных'!$D$83-AY87)</f>
        <v>255.3</v>
      </c>
      <c r="BC87" s="1072">
        <v>14</v>
      </c>
      <c r="BD87" s="1072"/>
      <c r="BE87" s="1072">
        <f t="shared" si="13"/>
        <v>0</v>
      </c>
      <c r="BF87" s="1073">
        <f>BE87*('Ввод исходных данных'!$D$83-BC87)</f>
        <v>0</v>
      </c>
    </row>
    <row r="88" spans="2:58" ht="15.75" customHeight="1" x14ac:dyDescent="0.25">
      <c r="B88" s="1076" t="s">
        <v>71</v>
      </c>
      <c r="C88" s="1076" t="s">
        <v>88</v>
      </c>
      <c r="D88" s="1053" t="str">
        <f t="shared" si="11"/>
        <v>Иркутская областьВерхняя Гутара</v>
      </c>
      <c r="E88" s="1054">
        <v>267</v>
      </c>
      <c r="F88" s="1055">
        <v>-7.7</v>
      </c>
      <c r="G88" s="1055">
        <v>-35</v>
      </c>
      <c r="H88" s="1057">
        <v>2.1</v>
      </c>
      <c r="I88" s="1058">
        <f>E88*('Ввод исходных данных'!$D$83-F88)</f>
        <v>7395.9</v>
      </c>
      <c r="J88" s="1059" t="str">
        <f t="shared" si="12"/>
        <v>7000-8000</v>
      </c>
      <c r="K88" s="1060">
        <v>14.1</v>
      </c>
      <c r="L88" s="1060"/>
      <c r="M88" s="1061">
        <f t="shared" si="14"/>
        <v>0</v>
      </c>
      <c r="N88" s="1062">
        <f>M88*('Ввод исходных данных'!$D$83-K88)</f>
        <v>0</v>
      </c>
      <c r="O88" s="1063">
        <v>11.4</v>
      </c>
      <c r="P88" s="1063"/>
      <c r="Q88" s="1063">
        <f t="shared" si="15"/>
        <v>0</v>
      </c>
      <c r="R88" s="1063">
        <f>Q88*('Ввод исходных данных'!$D$83-O88)</f>
        <v>0</v>
      </c>
      <c r="S88" s="1064">
        <v>5.2</v>
      </c>
      <c r="T88" s="1064"/>
      <c r="U88" s="1064">
        <f t="shared" si="16"/>
        <v>27.5</v>
      </c>
      <c r="V88" s="1064">
        <f>U88*('Ввод исходных данных'!$D$83-S88)</f>
        <v>407</v>
      </c>
      <c r="W88" s="1065">
        <v>-1.8</v>
      </c>
      <c r="X88" s="1065"/>
      <c r="Y88" s="1065">
        <f t="shared" si="17"/>
        <v>31</v>
      </c>
      <c r="Z88" s="1065">
        <f>Y88*('Ввод исходных данных'!$D$83-W88)</f>
        <v>675.80000000000007</v>
      </c>
      <c r="AA88" s="1066">
        <v>-10</v>
      </c>
      <c r="AB88" s="1066"/>
      <c r="AC88" s="1066">
        <f t="shared" si="18"/>
        <v>30</v>
      </c>
      <c r="AD88" s="1066">
        <f>AC88*('Ввод исходных данных'!$D$83-AA88)</f>
        <v>900</v>
      </c>
      <c r="AE88" s="1067">
        <v>-16.8</v>
      </c>
      <c r="AF88" s="1067"/>
      <c r="AG88" s="1067">
        <v>31</v>
      </c>
      <c r="AH88" s="1067">
        <f>AG88*('Ввод исходных данных'!$D$83-AE88)</f>
        <v>1140.8</v>
      </c>
      <c r="AI88" s="1068">
        <v>-19</v>
      </c>
      <c r="AJ88" s="1068"/>
      <c r="AK88" s="1068">
        <v>31</v>
      </c>
      <c r="AL88" s="1068">
        <f>AK88*('Ввод исходных данных'!$D$83-AI88)</f>
        <v>1209</v>
      </c>
      <c r="AM88" s="1069">
        <v>-16.3</v>
      </c>
      <c r="AN88" s="1069"/>
      <c r="AO88" s="1069">
        <v>28</v>
      </c>
      <c r="AP88" s="1069">
        <f>AO88*('Ввод исходных данных'!$D$83-AM88)</f>
        <v>1016.3999999999999</v>
      </c>
      <c r="AQ88" s="1064">
        <v>-9.6999999999999993</v>
      </c>
      <c r="AR88" s="1064"/>
      <c r="AS88" s="1064">
        <f t="shared" si="19"/>
        <v>31</v>
      </c>
      <c r="AT88" s="1064">
        <f>AS88*('Ввод исходных данных'!$D$83-AQ88)</f>
        <v>920.69999999999993</v>
      </c>
      <c r="AU88" s="1070">
        <v>-1.4</v>
      </c>
      <c r="AV88" s="1070"/>
      <c r="AW88" s="1070">
        <f t="shared" si="20"/>
        <v>30</v>
      </c>
      <c r="AX88" s="1070">
        <f>AW88*('Ввод исходных данных'!$D$83-AU88)</f>
        <v>642</v>
      </c>
      <c r="AY88" s="1071">
        <v>5.7</v>
      </c>
      <c r="AZ88" s="1071"/>
      <c r="BA88" s="1071">
        <f t="shared" si="21"/>
        <v>27.5</v>
      </c>
      <c r="BB88" s="1071">
        <f>BA88*('Ввод исходных данных'!$D$83-AY88)</f>
        <v>393.25</v>
      </c>
      <c r="BC88" s="1072">
        <v>11.7</v>
      </c>
      <c r="BD88" s="1072"/>
      <c r="BE88" s="1072">
        <f t="shared" si="13"/>
        <v>0</v>
      </c>
      <c r="BF88" s="1073">
        <f>BE88*('Ввод исходных данных'!$D$83-BC88)</f>
        <v>0</v>
      </c>
    </row>
    <row r="89" spans="2:58" ht="15.75" customHeight="1" x14ac:dyDescent="0.25">
      <c r="B89" s="1052" t="s">
        <v>71</v>
      </c>
      <c r="C89" s="1052" t="s">
        <v>639</v>
      </c>
      <c r="D89" s="1053" t="str">
        <f t="shared" si="11"/>
        <v>Иркутская областьДубровское</v>
      </c>
      <c r="E89" s="1054">
        <v>257</v>
      </c>
      <c r="F89" s="1055">
        <v>-12.3</v>
      </c>
      <c r="G89" s="1055">
        <v>-50</v>
      </c>
      <c r="H89" s="1057">
        <v>3</v>
      </c>
      <c r="I89" s="1058">
        <f>E89*('Ввод исходных данных'!$D$83-F89)</f>
        <v>8301.0999999999985</v>
      </c>
      <c r="J89" s="1059" t="str">
        <f t="shared" si="12"/>
        <v>8000-9000</v>
      </c>
      <c r="K89" s="1060">
        <v>17.7</v>
      </c>
      <c r="L89" s="1060"/>
      <c r="M89" s="1061">
        <f t="shared" si="14"/>
        <v>0</v>
      </c>
      <c r="N89" s="1062">
        <f>M89*('Ввод исходных данных'!$D$83-K89)</f>
        <v>0</v>
      </c>
      <c r="O89" s="1063">
        <v>14</v>
      </c>
      <c r="P89" s="1063"/>
      <c r="Q89" s="1063">
        <f t="shared" si="15"/>
        <v>0</v>
      </c>
      <c r="R89" s="1063">
        <f>Q89*('Ввод исходных данных'!$D$83-O89)</f>
        <v>0</v>
      </c>
      <c r="S89" s="1064">
        <v>6.4</v>
      </c>
      <c r="T89" s="1064"/>
      <c r="U89" s="1064">
        <f t="shared" si="16"/>
        <v>22.5</v>
      </c>
      <c r="V89" s="1064">
        <f>U89*('Ввод исходных данных'!$D$83-S89)</f>
        <v>306</v>
      </c>
      <c r="W89" s="1065">
        <v>-2.2999999999999998</v>
      </c>
      <c r="X89" s="1065"/>
      <c r="Y89" s="1065">
        <f t="shared" si="17"/>
        <v>31</v>
      </c>
      <c r="Z89" s="1065">
        <f>Y89*('Ввод исходных данных'!$D$83-W89)</f>
        <v>691.30000000000007</v>
      </c>
      <c r="AA89" s="1066">
        <v>-17.399999999999999</v>
      </c>
      <c r="AB89" s="1066"/>
      <c r="AC89" s="1066">
        <f t="shared" si="18"/>
        <v>30</v>
      </c>
      <c r="AD89" s="1066">
        <f>AC89*('Ввод исходных данных'!$D$83-AA89)</f>
        <v>1122</v>
      </c>
      <c r="AE89" s="1067">
        <v>-25.8</v>
      </c>
      <c r="AF89" s="1067"/>
      <c r="AG89" s="1067">
        <v>31</v>
      </c>
      <c r="AH89" s="1067">
        <f>AG89*('Ввод исходных данных'!$D$83-AE89)</f>
        <v>1419.8</v>
      </c>
      <c r="AI89" s="1068">
        <v>-28.6</v>
      </c>
      <c r="AJ89" s="1068"/>
      <c r="AK89" s="1068">
        <v>31</v>
      </c>
      <c r="AL89" s="1068">
        <f>AK89*('Ввод исходных данных'!$D$83-AI89)</f>
        <v>1506.6000000000001</v>
      </c>
      <c r="AM89" s="1069">
        <v>-23.2</v>
      </c>
      <c r="AN89" s="1069"/>
      <c r="AO89" s="1069">
        <v>28</v>
      </c>
      <c r="AP89" s="1069">
        <f>AO89*('Ввод исходных данных'!$D$83-AM89)</f>
        <v>1209.6000000000001</v>
      </c>
      <c r="AQ89" s="1064">
        <v>-13.6</v>
      </c>
      <c r="AR89" s="1064"/>
      <c r="AS89" s="1064">
        <f t="shared" si="19"/>
        <v>31</v>
      </c>
      <c r="AT89" s="1064">
        <f>AS89*('Ввод исходных данных'!$D$83-AQ89)</f>
        <v>1041.6000000000001</v>
      </c>
      <c r="AU89" s="1070">
        <v>-2.9</v>
      </c>
      <c r="AV89" s="1070"/>
      <c r="AW89" s="1070">
        <f t="shared" si="20"/>
        <v>30</v>
      </c>
      <c r="AX89" s="1070">
        <f>AW89*('Ввод исходных данных'!$D$83-AU89)</f>
        <v>687</v>
      </c>
      <c r="AY89" s="1071">
        <v>5.7</v>
      </c>
      <c r="AZ89" s="1071"/>
      <c r="BA89" s="1071">
        <f t="shared" si="21"/>
        <v>22.5</v>
      </c>
      <c r="BB89" s="1071">
        <f>BA89*('Ввод исходных данных'!$D$83-AY89)</f>
        <v>321.75</v>
      </c>
      <c r="BC89" s="1072">
        <v>14.3</v>
      </c>
      <c r="BD89" s="1072"/>
      <c r="BE89" s="1072">
        <f t="shared" si="13"/>
        <v>0</v>
      </c>
      <c r="BF89" s="1073">
        <f>BE89*('Ввод исходных данных'!$D$83-BC89)</f>
        <v>0</v>
      </c>
    </row>
    <row r="90" spans="2:58" ht="15.75" customHeight="1" x14ac:dyDescent="0.25">
      <c r="B90" s="1076" t="s">
        <v>71</v>
      </c>
      <c r="C90" s="1076" t="s">
        <v>89</v>
      </c>
      <c r="D90" s="1053" t="str">
        <f t="shared" si="11"/>
        <v>Иркутская областьЕрбогачен</v>
      </c>
      <c r="E90" s="1054">
        <v>261</v>
      </c>
      <c r="F90" s="1055">
        <v>-15.3</v>
      </c>
      <c r="G90" s="1055">
        <v>-51</v>
      </c>
      <c r="H90" s="1057">
        <v>2</v>
      </c>
      <c r="I90" s="1058">
        <f>E90*('Ввод исходных данных'!$D$83-F90)</f>
        <v>9213.2999999999993</v>
      </c>
      <c r="J90" s="1059" t="str">
        <f t="shared" si="12"/>
        <v>9000-10000</v>
      </c>
      <c r="K90" s="1060">
        <v>17.399999999999999</v>
      </c>
      <c r="L90" s="1060"/>
      <c r="M90" s="1061">
        <f t="shared" si="14"/>
        <v>0</v>
      </c>
      <c r="N90" s="1062">
        <f>M90*('Ввод исходных данных'!$D$83-K90)</f>
        <v>0</v>
      </c>
      <c r="O90" s="1063">
        <v>13.4</v>
      </c>
      <c r="P90" s="1063"/>
      <c r="Q90" s="1063">
        <f t="shared" si="15"/>
        <v>0</v>
      </c>
      <c r="R90" s="1063">
        <f>Q90*('Ввод исходных данных'!$D$83-O90)</f>
        <v>0</v>
      </c>
      <c r="S90" s="1064">
        <v>5.2</v>
      </c>
      <c r="T90" s="1064"/>
      <c r="U90" s="1064">
        <f t="shared" si="16"/>
        <v>24.5</v>
      </c>
      <c r="V90" s="1064">
        <f>U90*('Ввод исходных данных'!$D$83-S90)</f>
        <v>362.6</v>
      </c>
      <c r="W90" s="1065">
        <v>-5.6</v>
      </c>
      <c r="X90" s="1065"/>
      <c r="Y90" s="1065">
        <f t="shared" si="17"/>
        <v>31</v>
      </c>
      <c r="Z90" s="1065">
        <f>Y90*('Ввод исходных данных'!$D$83-W90)</f>
        <v>793.6</v>
      </c>
      <c r="AA90" s="1066">
        <v>-20.6</v>
      </c>
      <c r="AB90" s="1066"/>
      <c r="AC90" s="1066">
        <f t="shared" si="18"/>
        <v>30</v>
      </c>
      <c r="AD90" s="1066">
        <f>AC90*('Ввод исходных данных'!$D$83-AA90)</f>
        <v>1218</v>
      </c>
      <c r="AE90" s="1067">
        <v>-29</v>
      </c>
      <c r="AF90" s="1067"/>
      <c r="AG90" s="1067">
        <v>31</v>
      </c>
      <c r="AH90" s="1067">
        <f>AG90*('Ввод исходных данных'!$D$83-AE90)</f>
        <v>1519</v>
      </c>
      <c r="AI90" s="1068">
        <v>-30.9</v>
      </c>
      <c r="AJ90" s="1068"/>
      <c r="AK90" s="1068">
        <v>31</v>
      </c>
      <c r="AL90" s="1068">
        <f>AK90*('Ввод исходных данных'!$D$83-AI90)</f>
        <v>1577.8999999999999</v>
      </c>
      <c r="AM90" s="1069">
        <v>-27.7</v>
      </c>
      <c r="AN90" s="1069"/>
      <c r="AO90" s="1069">
        <v>28</v>
      </c>
      <c r="AP90" s="1069">
        <f>AO90*('Ввод исходных данных'!$D$83-AM90)</f>
        <v>1335.6000000000001</v>
      </c>
      <c r="AQ90" s="1064">
        <v>-16.399999999999999</v>
      </c>
      <c r="AR90" s="1064"/>
      <c r="AS90" s="1064">
        <f t="shared" si="19"/>
        <v>31</v>
      </c>
      <c r="AT90" s="1064">
        <f>AS90*('Ввод исходных данных'!$D$83-AQ90)</f>
        <v>1128.3999999999999</v>
      </c>
      <c r="AU90" s="1070">
        <v>-5</v>
      </c>
      <c r="AV90" s="1070"/>
      <c r="AW90" s="1070">
        <f t="shared" si="20"/>
        <v>30</v>
      </c>
      <c r="AX90" s="1070">
        <f>AW90*('Ввод исходных данных'!$D$83-AU90)</f>
        <v>750</v>
      </c>
      <c r="AY90" s="1071">
        <v>5.3</v>
      </c>
      <c r="AZ90" s="1071"/>
      <c r="BA90" s="1071">
        <f t="shared" si="21"/>
        <v>24.5</v>
      </c>
      <c r="BB90" s="1071">
        <f>BA90*('Ввод исходных данных'!$D$83-AY90)</f>
        <v>360.15</v>
      </c>
      <c r="BC90" s="1072">
        <v>14.1</v>
      </c>
      <c r="BD90" s="1072"/>
      <c r="BE90" s="1072">
        <f t="shared" si="13"/>
        <v>0</v>
      </c>
      <c r="BF90" s="1073">
        <f>BE90*('Ввод исходных данных'!$D$83-BC90)</f>
        <v>0</v>
      </c>
    </row>
    <row r="91" spans="2:58" ht="15.75" customHeight="1" x14ac:dyDescent="0.25">
      <c r="B91" s="1052" t="s">
        <v>71</v>
      </c>
      <c r="C91" s="1052" t="s">
        <v>90</v>
      </c>
      <c r="D91" s="1053" t="str">
        <f t="shared" si="11"/>
        <v>Иркутская областьЖигалово</v>
      </c>
      <c r="E91" s="1054">
        <v>249</v>
      </c>
      <c r="F91" s="1055">
        <v>-12.3</v>
      </c>
      <c r="G91" s="1055">
        <v>-44</v>
      </c>
      <c r="H91" s="1057">
        <v>2.4</v>
      </c>
      <c r="I91" s="1058">
        <f>E91*('Ввод исходных данных'!$D$83-F91)</f>
        <v>8042.6999999999989</v>
      </c>
      <c r="J91" s="1059" t="str">
        <f t="shared" si="12"/>
        <v>8000-9000</v>
      </c>
      <c r="K91" s="1060">
        <v>17.600000000000001</v>
      </c>
      <c r="L91" s="1060"/>
      <c r="M91" s="1061">
        <f t="shared" si="14"/>
        <v>0</v>
      </c>
      <c r="N91" s="1062">
        <f>M91*('Ввод исходных данных'!$D$83-K91)</f>
        <v>0</v>
      </c>
      <c r="O91" s="1063">
        <v>14.4</v>
      </c>
      <c r="P91" s="1063"/>
      <c r="Q91" s="1063">
        <f t="shared" si="15"/>
        <v>0</v>
      </c>
      <c r="R91" s="1063">
        <f>Q91*('Ввод исходных данных'!$D$83-O91)</f>
        <v>0</v>
      </c>
      <c r="S91" s="1064">
        <v>6.7</v>
      </c>
      <c r="T91" s="1064"/>
      <c r="U91" s="1064">
        <f t="shared" si="16"/>
        <v>18.5</v>
      </c>
      <c r="V91" s="1064">
        <f>U91*('Ввод исходных данных'!$D$83-S91)</f>
        <v>246.05</v>
      </c>
      <c r="W91" s="1065">
        <v>-2.2000000000000002</v>
      </c>
      <c r="X91" s="1065"/>
      <c r="Y91" s="1065">
        <f t="shared" si="17"/>
        <v>31</v>
      </c>
      <c r="Z91" s="1065">
        <f>Y91*('Ввод исходных данных'!$D$83-W91)</f>
        <v>688.19999999999993</v>
      </c>
      <c r="AA91" s="1066">
        <v>-14.3</v>
      </c>
      <c r="AB91" s="1066"/>
      <c r="AC91" s="1066">
        <f t="shared" si="18"/>
        <v>30</v>
      </c>
      <c r="AD91" s="1066">
        <f>AC91*('Ввод исходных данных'!$D$83-AA91)</f>
        <v>1029</v>
      </c>
      <c r="AE91" s="1067">
        <v>-24.6</v>
      </c>
      <c r="AF91" s="1067"/>
      <c r="AG91" s="1067">
        <v>31</v>
      </c>
      <c r="AH91" s="1067">
        <f>AG91*('Ввод исходных данных'!$D$83-AE91)</f>
        <v>1382.6000000000001</v>
      </c>
      <c r="AI91" s="1068">
        <v>-27.7</v>
      </c>
      <c r="AJ91" s="1068"/>
      <c r="AK91" s="1068">
        <v>31</v>
      </c>
      <c r="AL91" s="1068">
        <f>AK91*('Ввод исходных данных'!$D$83-AI91)</f>
        <v>1478.7</v>
      </c>
      <c r="AM91" s="1069">
        <v>-23</v>
      </c>
      <c r="AN91" s="1069"/>
      <c r="AO91" s="1069">
        <v>28</v>
      </c>
      <c r="AP91" s="1069">
        <f>AO91*('Ввод исходных данных'!$D$83-AM91)</f>
        <v>1204</v>
      </c>
      <c r="AQ91" s="1064">
        <v>-12.2</v>
      </c>
      <c r="AR91" s="1064"/>
      <c r="AS91" s="1064">
        <f t="shared" si="19"/>
        <v>31</v>
      </c>
      <c r="AT91" s="1064">
        <f>AS91*('Ввод исходных данных'!$D$83-AQ91)</f>
        <v>998.2</v>
      </c>
      <c r="AU91" s="1070">
        <v>-0.5</v>
      </c>
      <c r="AV91" s="1070"/>
      <c r="AW91" s="1070">
        <f t="shared" si="20"/>
        <v>30</v>
      </c>
      <c r="AX91" s="1070">
        <f>AW91*('Ввод исходных данных'!$D$83-AU91)</f>
        <v>615</v>
      </c>
      <c r="AY91" s="1071">
        <v>8</v>
      </c>
      <c r="AZ91" s="1071"/>
      <c r="BA91" s="1071">
        <f t="shared" si="21"/>
        <v>18.5</v>
      </c>
      <c r="BB91" s="1071">
        <f>BA91*('Ввод исходных данных'!$D$83-AY91)</f>
        <v>222</v>
      </c>
      <c r="BC91" s="1072">
        <v>14.7</v>
      </c>
      <c r="BD91" s="1072"/>
      <c r="BE91" s="1072">
        <f t="shared" si="13"/>
        <v>0</v>
      </c>
      <c r="BF91" s="1073">
        <f>BE91*('Ввод исходных данных'!$D$83-BC91)</f>
        <v>0</v>
      </c>
    </row>
    <row r="92" spans="2:58" ht="15.75" customHeight="1" x14ac:dyDescent="0.25">
      <c r="B92" s="1076" t="s">
        <v>71</v>
      </c>
      <c r="C92" s="1076" t="s">
        <v>640</v>
      </c>
      <c r="D92" s="1053" t="str">
        <f t="shared" si="11"/>
        <v>Иркутская областьЗима</v>
      </c>
      <c r="E92" s="1054">
        <v>239</v>
      </c>
      <c r="F92" s="1055">
        <v>-9.6999999999999993</v>
      </c>
      <c r="G92" s="1055">
        <v>-42</v>
      </c>
      <c r="H92" s="1057">
        <v>4.9000000000000004</v>
      </c>
      <c r="I92" s="1058">
        <f>E92*('Ввод исходных данных'!$D$83-F92)</f>
        <v>7098.3</v>
      </c>
      <c r="J92" s="1059" t="str">
        <f t="shared" si="12"/>
        <v>7000-8000</v>
      </c>
      <c r="K92" s="1060">
        <v>18</v>
      </c>
      <c r="L92" s="1060"/>
      <c r="M92" s="1061">
        <f t="shared" si="14"/>
        <v>0</v>
      </c>
      <c r="N92" s="1062">
        <f>M92*('Ввод исходных данных'!$D$83-K92)</f>
        <v>0</v>
      </c>
      <c r="O92" s="1063">
        <v>14.9</v>
      </c>
      <c r="P92" s="1063"/>
      <c r="Q92" s="1063">
        <f t="shared" si="15"/>
        <v>0</v>
      </c>
      <c r="R92" s="1063">
        <f>Q92*('Ввод исходных данных'!$D$83-O92)</f>
        <v>0</v>
      </c>
      <c r="S92" s="1064">
        <v>8.1</v>
      </c>
      <c r="T92" s="1064"/>
      <c r="U92" s="1064">
        <f t="shared" si="16"/>
        <v>13.5</v>
      </c>
      <c r="V92" s="1064">
        <f>U92*('Ввод исходных данных'!$D$83-S92)</f>
        <v>160.65</v>
      </c>
      <c r="W92" s="1065">
        <v>-0.1</v>
      </c>
      <c r="X92" s="1065"/>
      <c r="Y92" s="1065">
        <f t="shared" si="17"/>
        <v>31</v>
      </c>
      <c r="Z92" s="1065">
        <f>Y92*('Ввод исходных данных'!$D$83-W92)</f>
        <v>623.1</v>
      </c>
      <c r="AA92" s="1066">
        <v>-12.2</v>
      </c>
      <c r="AB92" s="1066"/>
      <c r="AC92" s="1066">
        <f t="shared" si="18"/>
        <v>30</v>
      </c>
      <c r="AD92" s="1066">
        <f>AC92*('Ввод исходных данных'!$D$83-AA92)</f>
        <v>966.00000000000011</v>
      </c>
      <c r="AE92" s="1067">
        <v>-20.5</v>
      </c>
      <c r="AF92" s="1067"/>
      <c r="AG92" s="1067">
        <v>31</v>
      </c>
      <c r="AH92" s="1067">
        <f>AG92*('Ввод исходных данных'!$D$83-AE92)</f>
        <v>1255.5</v>
      </c>
      <c r="AI92" s="1068">
        <v>-23</v>
      </c>
      <c r="AJ92" s="1068"/>
      <c r="AK92" s="1068">
        <v>31</v>
      </c>
      <c r="AL92" s="1068">
        <f>AK92*('Ввод исходных данных'!$D$83-AI92)</f>
        <v>1333</v>
      </c>
      <c r="AM92" s="1069">
        <v>-20</v>
      </c>
      <c r="AN92" s="1069"/>
      <c r="AO92" s="1069">
        <v>28</v>
      </c>
      <c r="AP92" s="1069">
        <f>AO92*('Ввод исходных данных'!$D$83-AM92)</f>
        <v>1120</v>
      </c>
      <c r="AQ92" s="1064">
        <v>-10.1</v>
      </c>
      <c r="AR92" s="1064"/>
      <c r="AS92" s="1064">
        <f t="shared" si="19"/>
        <v>31</v>
      </c>
      <c r="AT92" s="1064">
        <f>AS92*('Ввод исходных данных'!$D$83-AQ92)</f>
        <v>933.1</v>
      </c>
      <c r="AU92" s="1070">
        <v>1.1000000000000001</v>
      </c>
      <c r="AV92" s="1070"/>
      <c r="AW92" s="1070">
        <f t="shared" si="20"/>
        <v>30</v>
      </c>
      <c r="AX92" s="1070">
        <f>AW92*('Ввод исходных данных'!$D$83-AU92)</f>
        <v>567</v>
      </c>
      <c r="AY92" s="1071">
        <v>8.6999999999999993</v>
      </c>
      <c r="AZ92" s="1071"/>
      <c r="BA92" s="1071">
        <f t="shared" si="21"/>
        <v>13.5</v>
      </c>
      <c r="BB92" s="1071">
        <f>BA92*('Ввод исходных данных'!$D$83-AY92)</f>
        <v>152.55000000000001</v>
      </c>
      <c r="BC92" s="1072">
        <v>15.8</v>
      </c>
      <c r="BD92" s="1072"/>
      <c r="BE92" s="1072">
        <f t="shared" si="13"/>
        <v>0</v>
      </c>
      <c r="BF92" s="1073">
        <f>BE92*('Ввод исходных данных'!$D$83-BC92)</f>
        <v>0</v>
      </c>
    </row>
    <row r="93" spans="2:58" ht="15.75" customHeight="1" x14ac:dyDescent="0.25">
      <c r="B93" s="1052" t="s">
        <v>71</v>
      </c>
      <c r="C93" s="1052" t="s">
        <v>76</v>
      </c>
      <c r="D93" s="1053" t="str">
        <f t="shared" si="11"/>
        <v>Иркутская областьИка</v>
      </c>
      <c r="E93" s="1054">
        <v>263</v>
      </c>
      <c r="F93" s="1055">
        <v>-13.8</v>
      </c>
      <c r="G93" s="1055">
        <v>-50</v>
      </c>
      <c r="H93" s="1057">
        <v>2.7</v>
      </c>
      <c r="I93" s="1058">
        <f>E93*('Ввод исходных данных'!$D$83-F93)</f>
        <v>8889.4</v>
      </c>
      <c r="J93" s="1059" t="str">
        <f t="shared" si="12"/>
        <v>8000-9000</v>
      </c>
      <c r="K93" s="1060">
        <v>16.5</v>
      </c>
      <c r="L93" s="1060"/>
      <c r="M93" s="1061">
        <f t="shared" si="14"/>
        <v>0</v>
      </c>
      <c r="N93" s="1062">
        <f>M93*('Ввод исходных данных'!$D$83-K93)</f>
        <v>0</v>
      </c>
      <c r="O93" s="1063">
        <v>12.8</v>
      </c>
      <c r="P93" s="1063"/>
      <c r="Q93" s="1063">
        <f t="shared" si="15"/>
        <v>0</v>
      </c>
      <c r="R93" s="1063">
        <f>Q93*('Ввод исходных данных'!$D$83-O93)</f>
        <v>0</v>
      </c>
      <c r="S93" s="1064">
        <v>5</v>
      </c>
      <c r="T93" s="1064"/>
      <c r="U93" s="1064">
        <f t="shared" si="16"/>
        <v>25.5</v>
      </c>
      <c r="V93" s="1064">
        <f>U93*('Ввод исходных данных'!$D$83-S93)</f>
        <v>382.5</v>
      </c>
      <c r="W93" s="1065">
        <v>-4.4000000000000004</v>
      </c>
      <c r="X93" s="1065"/>
      <c r="Y93" s="1065">
        <f t="shared" si="17"/>
        <v>31</v>
      </c>
      <c r="Z93" s="1065">
        <f>Y93*('Ввод исходных данных'!$D$83-W93)</f>
        <v>756.4</v>
      </c>
      <c r="AA93" s="1066">
        <v>-18</v>
      </c>
      <c r="AB93" s="1066"/>
      <c r="AC93" s="1066">
        <f t="shared" si="18"/>
        <v>30</v>
      </c>
      <c r="AD93" s="1066">
        <f>AC93*('Ввод исходных данных'!$D$83-AA93)</f>
        <v>1140</v>
      </c>
      <c r="AE93" s="1067">
        <v>-26.9</v>
      </c>
      <c r="AF93" s="1067"/>
      <c r="AG93" s="1067">
        <v>31</v>
      </c>
      <c r="AH93" s="1067">
        <f>AG93*('Ввод исходных данных'!$D$83-AE93)</f>
        <v>1453.8999999999999</v>
      </c>
      <c r="AI93" s="1068">
        <v>-29.2</v>
      </c>
      <c r="AJ93" s="1068"/>
      <c r="AK93" s="1068">
        <v>31</v>
      </c>
      <c r="AL93" s="1068">
        <f>AK93*('Ввод исходных данных'!$D$83-AI93)</f>
        <v>1525.2</v>
      </c>
      <c r="AM93" s="1069">
        <v>-25.9</v>
      </c>
      <c r="AN93" s="1069"/>
      <c r="AO93" s="1069">
        <v>28</v>
      </c>
      <c r="AP93" s="1069">
        <f>AO93*('Ввод исходных данных'!$D$83-AM93)</f>
        <v>1285.2</v>
      </c>
      <c r="AQ93" s="1064">
        <v>-15.4</v>
      </c>
      <c r="AR93" s="1064"/>
      <c r="AS93" s="1064">
        <f t="shared" si="19"/>
        <v>31</v>
      </c>
      <c r="AT93" s="1064">
        <f>AS93*('Ввод исходных данных'!$D$83-AQ93)</f>
        <v>1097.3999999999999</v>
      </c>
      <c r="AU93" s="1070">
        <v>-4.2</v>
      </c>
      <c r="AV93" s="1070"/>
      <c r="AW93" s="1070">
        <f t="shared" si="20"/>
        <v>30</v>
      </c>
      <c r="AX93" s="1070">
        <f>AW93*('Ввод исходных данных'!$D$83-AU93)</f>
        <v>726</v>
      </c>
      <c r="AY93" s="1071">
        <v>5.5</v>
      </c>
      <c r="AZ93" s="1071"/>
      <c r="BA93" s="1071">
        <f t="shared" si="21"/>
        <v>25.5</v>
      </c>
      <c r="BB93" s="1071">
        <f>BA93*('Ввод исходных данных'!$D$83-AY93)</f>
        <v>369.75</v>
      </c>
      <c r="BC93" s="1072">
        <v>13.6</v>
      </c>
      <c r="BD93" s="1072"/>
      <c r="BE93" s="1072">
        <f t="shared" si="13"/>
        <v>0</v>
      </c>
      <c r="BF93" s="1073">
        <f>BE93*('Ввод исходных данных'!$D$83-BC93)</f>
        <v>0</v>
      </c>
    </row>
    <row r="94" spans="2:58" ht="15.75" customHeight="1" x14ac:dyDescent="0.25">
      <c r="B94" s="1076" t="s">
        <v>71</v>
      </c>
      <c r="C94" s="1076" t="s">
        <v>641</v>
      </c>
      <c r="D94" s="1053" t="str">
        <f t="shared" si="11"/>
        <v>Иркутская областьИлимск</v>
      </c>
      <c r="E94" s="1054">
        <v>255</v>
      </c>
      <c r="F94" s="1055">
        <v>-11</v>
      </c>
      <c r="G94" s="1055">
        <v>-45</v>
      </c>
      <c r="H94" s="1057">
        <v>3</v>
      </c>
      <c r="I94" s="1058">
        <f>E94*('Ввод исходных данных'!$D$83-F94)</f>
        <v>7905</v>
      </c>
      <c r="J94" s="1059" t="str">
        <f t="shared" si="12"/>
        <v>7000-8000</v>
      </c>
      <c r="K94" s="1060">
        <v>17.600000000000001</v>
      </c>
      <c r="L94" s="1060"/>
      <c r="M94" s="1061">
        <f t="shared" si="14"/>
        <v>0</v>
      </c>
      <c r="N94" s="1062">
        <f>M94*('Ввод исходных данных'!$D$83-K94)</f>
        <v>0</v>
      </c>
      <c r="O94" s="1063">
        <v>14.2</v>
      </c>
      <c r="P94" s="1063"/>
      <c r="Q94" s="1063">
        <f t="shared" si="15"/>
        <v>0</v>
      </c>
      <c r="R94" s="1063">
        <f>Q94*('Ввод исходных данных'!$D$83-O94)</f>
        <v>0</v>
      </c>
      <c r="S94" s="1064">
        <v>6.6</v>
      </c>
      <c r="T94" s="1064"/>
      <c r="U94" s="1064">
        <f t="shared" si="16"/>
        <v>21.5</v>
      </c>
      <c r="V94" s="1064">
        <f>U94*('Ввод исходных данных'!$D$83-S94)</f>
        <v>288.10000000000002</v>
      </c>
      <c r="W94" s="1065">
        <v>-2</v>
      </c>
      <c r="X94" s="1065"/>
      <c r="Y94" s="1065">
        <f t="shared" si="17"/>
        <v>31</v>
      </c>
      <c r="Z94" s="1065">
        <f>Y94*('Ввод исходных данных'!$D$83-W94)</f>
        <v>682</v>
      </c>
      <c r="AA94" s="1066">
        <v>-14.8</v>
      </c>
      <c r="AB94" s="1066"/>
      <c r="AC94" s="1066">
        <f t="shared" si="18"/>
        <v>30</v>
      </c>
      <c r="AD94" s="1066">
        <f>AC94*('Ввод исходных данных'!$D$83-AA94)</f>
        <v>1044</v>
      </c>
      <c r="AE94" s="1067">
        <v>-23.8</v>
      </c>
      <c r="AF94" s="1067"/>
      <c r="AG94" s="1067">
        <v>31</v>
      </c>
      <c r="AH94" s="1067">
        <f>AG94*('Ввод исходных данных'!$D$83-AE94)</f>
        <v>1357.8</v>
      </c>
      <c r="AI94" s="1068">
        <v>-25.4</v>
      </c>
      <c r="AJ94" s="1068"/>
      <c r="AK94" s="1068">
        <v>31</v>
      </c>
      <c r="AL94" s="1068">
        <f>AK94*('Ввод исходных данных'!$D$83-AI94)</f>
        <v>1407.3999999999999</v>
      </c>
      <c r="AM94" s="1069">
        <v>-22</v>
      </c>
      <c r="AN94" s="1069"/>
      <c r="AO94" s="1069">
        <v>28</v>
      </c>
      <c r="AP94" s="1069">
        <f>AO94*('Ввод исходных данных'!$D$83-AM94)</f>
        <v>1176</v>
      </c>
      <c r="AQ94" s="1064">
        <v>-12.6</v>
      </c>
      <c r="AR94" s="1064"/>
      <c r="AS94" s="1064">
        <f t="shared" si="19"/>
        <v>31</v>
      </c>
      <c r="AT94" s="1064">
        <f>AS94*('Ввод исходных данных'!$D$83-AQ94)</f>
        <v>1010.6</v>
      </c>
      <c r="AU94" s="1070">
        <v>-1.6</v>
      </c>
      <c r="AV94" s="1070"/>
      <c r="AW94" s="1070">
        <f t="shared" si="20"/>
        <v>30</v>
      </c>
      <c r="AX94" s="1070">
        <f>AW94*('Ввод исходных данных'!$D$83-AU94)</f>
        <v>648</v>
      </c>
      <c r="AY94" s="1071">
        <v>6.3</v>
      </c>
      <c r="AZ94" s="1071"/>
      <c r="BA94" s="1071">
        <f t="shared" si="21"/>
        <v>21.5</v>
      </c>
      <c r="BB94" s="1071">
        <f>BA94*('Ввод исходных данных'!$D$83-AY94)</f>
        <v>294.55</v>
      </c>
      <c r="BC94" s="1072">
        <v>14.2</v>
      </c>
      <c r="BD94" s="1072"/>
      <c r="BE94" s="1072">
        <f t="shared" si="13"/>
        <v>0</v>
      </c>
      <c r="BF94" s="1073">
        <f>BE94*('Ввод исходных данных'!$D$83-BC94)</f>
        <v>0</v>
      </c>
    </row>
    <row r="95" spans="2:58" ht="15.75" customHeight="1" x14ac:dyDescent="0.25">
      <c r="B95" s="1052" t="s">
        <v>71</v>
      </c>
      <c r="C95" s="1052" t="s">
        <v>77</v>
      </c>
      <c r="D95" s="1053" t="str">
        <f t="shared" si="11"/>
        <v>Иркутская областьИркутск</v>
      </c>
      <c r="E95" s="1054">
        <v>232</v>
      </c>
      <c r="F95" s="1055">
        <v>-7.7</v>
      </c>
      <c r="G95" s="1055">
        <v>-33</v>
      </c>
      <c r="H95" s="1057">
        <v>3</v>
      </c>
      <c r="I95" s="1058">
        <f>E95*('Ввод исходных данных'!$D$83-F95)</f>
        <v>6426.4</v>
      </c>
      <c r="J95" s="1059" t="str">
        <f t="shared" si="12"/>
        <v>6000-7000</v>
      </c>
      <c r="K95" s="1060">
        <v>18.100000000000001</v>
      </c>
      <c r="L95" s="1060"/>
      <c r="M95" s="1061">
        <f t="shared" si="14"/>
        <v>0</v>
      </c>
      <c r="N95" s="1062">
        <f>M95*('Ввод исходных данных'!$D$83-K95)</f>
        <v>0</v>
      </c>
      <c r="O95" s="1063">
        <v>15.5</v>
      </c>
      <c r="P95" s="1063"/>
      <c r="Q95" s="1063">
        <f t="shared" si="15"/>
        <v>0</v>
      </c>
      <c r="R95" s="1063">
        <f>Q95*('Ввод исходных данных'!$D$83-O95)</f>
        <v>0</v>
      </c>
      <c r="S95" s="1064">
        <v>9</v>
      </c>
      <c r="T95" s="1064"/>
      <c r="U95" s="1064">
        <f t="shared" si="16"/>
        <v>10</v>
      </c>
      <c r="V95" s="1064">
        <f>U95*('Ввод исходных данных'!$D$83-S95)</f>
        <v>110</v>
      </c>
      <c r="W95" s="1065">
        <v>1.5</v>
      </c>
      <c r="X95" s="1065"/>
      <c r="Y95" s="1065">
        <f t="shared" si="17"/>
        <v>31</v>
      </c>
      <c r="Z95" s="1065">
        <f>Y95*('Ввод исходных данных'!$D$83-W95)</f>
        <v>573.5</v>
      </c>
      <c r="AA95" s="1066">
        <v>-7.9</v>
      </c>
      <c r="AB95" s="1066"/>
      <c r="AC95" s="1066">
        <f t="shared" si="18"/>
        <v>30</v>
      </c>
      <c r="AD95" s="1066">
        <f>AC95*('Ввод исходных данных'!$D$83-AA95)</f>
        <v>837</v>
      </c>
      <c r="AE95" s="1067">
        <v>-15.9</v>
      </c>
      <c r="AF95" s="1067"/>
      <c r="AG95" s="1067">
        <v>31</v>
      </c>
      <c r="AH95" s="1067">
        <f>AG95*('Ввод исходных данных'!$D$83-AE95)</f>
        <v>1112.8999999999999</v>
      </c>
      <c r="AI95" s="1068">
        <v>-18.5</v>
      </c>
      <c r="AJ95" s="1068"/>
      <c r="AK95" s="1068">
        <v>31</v>
      </c>
      <c r="AL95" s="1068">
        <f>AK95*('Ввод исходных данных'!$D$83-AI95)</f>
        <v>1193.5</v>
      </c>
      <c r="AM95" s="1069">
        <v>-15.5</v>
      </c>
      <c r="AN95" s="1069"/>
      <c r="AO95" s="1069">
        <v>28</v>
      </c>
      <c r="AP95" s="1069">
        <f>AO95*('Ввод исходных данных'!$D$83-AM95)</f>
        <v>994</v>
      </c>
      <c r="AQ95" s="1064">
        <v>-7</v>
      </c>
      <c r="AR95" s="1064"/>
      <c r="AS95" s="1064">
        <f t="shared" si="19"/>
        <v>31</v>
      </c>
      <c r="AT95" s="1064">
        <f>AS95*('Ввод исходных данных'!$D$83-AQ95)</f>
        <v>837</v>
      </c>
      <c r="AU95" s="1070">
        <v>2.1</v>
      </c>
      <c r="AV95" s="1070"/>
      <c r="AW95" s="1070">
        <f t="shared" si="20"/>
        <v>30</v>
      </c>
      <c r="AX95" s="1070">
        <f>AW95*('Ввод исходных данных'!$D$83-AU95)</f>
        <v>537</v>
      </c>
      <c r="AY95" s="1071">
        <v>9.8000000000000007</v>
      </c>
      <c r="AZ95" s="1071"/>
      <c r="BA95" s="1071">
        <f t="shared" si="21"/>
        <v>10</v>
      </c>
      <c r="BB95" s="1071">
        <f>BA95*('Ввод исходных данных'!$D$83-AY95)</f>
        <v>102</v>
      </c>
      <c r="BC95" s="1072">
        <v>15.5</v>
      </c>
      <c r="BD95" s="1072"/>
      <c r="BE95" s="1072">
        <f t="shared" si="13"/>
        <v>0</v>
      </c>
      <c r="BF95" s="1073">
        <f>BE95*('Ввод исходных данных'!$D$83-BC95)</f>
        <v>0</v>
      </c>
    </row>
    <row r="96" spans="2:58" ht="15.75" customHeight="1" x14ac:dyDescent="0.25">
      <c r="B96" s="1076" t="s">
        <v>71</v>
      </c>
      <c r="C96" s="1076" t="s">
        <v>75</v>
      </c>
      <c r="D96" s="1053" t="str">
        <f t="shared" si="11"/>
        <v>Иркутская областьИчера</v>
      </c>
      <c r="E96" s="1054">
        <v>254</v>
      </c>
      <c r="F96" s="1055">
        <v>-12.9</v>
      </c>
      <c r="G96" s="1055">
        <v>-50</v>
      </c>
      <c r="H96" s="1057">
        <v>3</v>
      </c>
      <c r="I96" s="1058">
        <f>E96*('Ввод исходных данных'!$D$83-F96)</f>
        <v>8356.6</v>
      </c>
      <c r="J96" s="1059" t="str">
        <f t="shared" si="12"/>
        <v>8000-9000</v>
      </c>
      <c r="K96" s="1060">
        <v>17.600000000000001</v>
      </c>
      <c r="L96" s="1060"/>
      <c r="M96" s="1061">
        <f t="shared" si="14"/>
        <v>0</v>
      </c>
      <c r="N96" s="1062">
        <f>M96*('Ввод исходных данных'!$D$83-K96)</f>
        <v>0</v>
      </c>
      <c r="O96" s="1063">
        <v>14</v>
      </c>
      <c r="P96" s="1063"/>
      <c r="Q96" s="1063">
        <f t="shared" si="15"/>
        <v>0</v>
      </c>
      <c r="R96" s="1063">
        <f>Q96*('Ввод исходных данных'!$D$83-O96)</f>
        <v>0</v>
      </c>
      <c r="S96" s="1064">
        <v>6.6</v>
      </c>
      <c r="T96" s="1064"/>
      <c r="U96" s="1064">
        <f t="shared" si="16"/>
        <v>21</v>
      </c>
      <c r="V96" s="1064">
        <f>U96*('Ввод исходных данных'!$D$83-S96)</f>
        <v>281.40000000000003</v>
      </c>
      <c r="W96" s="1065">
        <v>-3</v>
      </c>
      <c r="X96" s="1065"/>
      <c r="Y96" s="1065">
        <f t="shared" si="17"/>
        <v>31</v>
      </c>
      <c r="Z96" s="1065">
        <f>Y96*('Ввод исходных данных'!$D$83-W96)</f>
        <v>713</v>
      </c>
      <c r="AA96" s="1066">
        <v>-17.600000000000001</v>
      </c>
      <c r="AB96" s="1066"/>
      <c r="AC96" s="1066">
        <f t="shared" si="18"/>
        <v>30</v>
      </c>
      <c r="AD96" s="1066">
        <f>AC96*('Ввод исходных данных'!$D$83-AA96)</f>
        <v>1128</v>
      </c>
      <c r="AE96" s="1067">
        <v>-26.7</v>
      </c>
      <c r="AF96" s="1067"/>
      <c r="AG96" s="1067">
        <v>31</v>
      </c>
      <c r="AH96" s="1067">
        <f>AG96*('Ввод исходных данных'!$D$83-AE96)</f>
        <v>1447.7</v>
      </c>
      <c r="AI96" s="1068">
        <v>-28.2</v>
      </c>
      <c r="AJ96" s="1068"/>
      <c r="AK96" s="1068">
        <v>31</v>
      </c>
      <c r="AL96" s="1068">
        <f>AK96*('Ввод исходных данных'!$D$83-AI96)</f>
        <v>1494.2</v>
      </c>
      <c r="AM96" s="1069">
        <v>-25.4</v>
      </c>
      <c r="AN96" s="1069"/>
      <c r="AO96" s="1069">
        <v>28</v>
      </c>
      <c r="AP96" s="1069">
        <f>AO96*('Ввод исходных данных'!$D$83-AM96)</f>
        <v>1271.2</v>
      </c>
      <c r="AQ96" s="1064">
        <v>-14.6</v>
      </c>
      <c r="AR96" s="1064"/>
      <c r="AS96" s="1064">
        <f t="shared" si="19"/>
        <v>31</v>
      </c>
      <c r="AT96" s="1064">
        <f>AS96*('Ввод исходных данных'!$D$83-AQ96)</f>
        <v>1072.6000000000001</v>
      </c>
      <c r="AU96" s="1070">
        <v>-2.7</v>
      </c>
      <c r="AV96" s="1070"/>
      <c r="AW96" s="1070">
        <f t="shared" si="20"/>
        <v>30</v>
      </c>
      <c r="AX96" s="1070">
        <f>AW96*('Ввод исходных данных'!$D$83-AU96)</f>
        <v>681</v>
      </c>
      <c r="AY96" s="1071">
        <v>6.4</v>
      </c>
      <c r="AZ96" s="1071"/>
      <c r="BA96" s="1071">
        <f t="shared" si="21"/>
        <v>21</v>
      </c>
      <c r="BB96" s="1071">
        <f>BA96*('Ввод исходных данных'!$D$83-AY96)</f>
        <v>285.59999999999997</v>
      </c>
      <c r="BC96" s="1072">
        <v>14.6</v>
      </c>
      <c r="BD96" s="1072"/>
      <c r="BE96" s="1072">
        <f t="shared" si="13"/>
        <v>0</v>
      </c>
      <c r="BF96" s="1073">
        <f>BE96*('Ввод исходных данных'!$D$83-BC96)</f>
        <v>0</v>
      </c>
    </row>
    <row r="97" spans="2:58" ht="15.75" customHeight="1" x14ac:dyDescent="0.25">
      <c r="B97" s="1052" t="s">
        <v>71</v>
      </c>
      <c r="C97" s="1052" t="s">
        <v>78</v>
      </c>
      <c r="D97" s="1053" t="str">
        <f t="shared" si="11"/>
        <v>Иркутская областьКиренск</v>
      </c>
      <c r="E97" s="1054">
        <v>251</v>
      </c>
      <c r="F97" s="1055">
        <v>-12.8</v>
      </c>
      <c r="G97" s="1055">
        <v>-49</v>
      </c>
      <c r="H97" s="1057">
        <v>3.6</v>
      </c>
      <c r="I97" s="1058">
        <f>E97*('Ввод исходных данных'!$D$83-F97)</f>
        <v>8232.7999999999993</v>
      </c>
      <c r="J97" s="1059" t="str">
        <f t="shared" si="12"/>
        <v>8000-9000</v>
      </c>
      <c r="K97" s="1060">
        <v>18.100000000000001</v>
      </c>
      <c r="L97" s="1060"/>
      <c r="M97" s="1061">
        <f t="shared" si="14"/>
        <v>0</v>
      </c>
      <c r="N97" s="1062">
        <f>M97*('Ввод исходных данных'!$D$83-K97)</f>
        <v>0</v>
      </c>
      <c r="O97" s="1063">
        <v>14.8</v>
      </c>
      <c r="P97" s="1063"/>
      <c r="Q97" s="1063">
        <f t="shared" si="15"/>
        <v>0</v>
      </c>
      <c r="R97" s="1063">
        <f>Q97*('Ввод исходных данных'!$D$83-O97)</f>
        <v>0</v>
      </c>
      <c r="S97" s="1064">
        <v>6.8</v>
      </c>
      <c r="T97" s="1064"/>
      <c r="U97" s="1064">
        <f t="shared" si="16"/>
        <v>19.5</v>
      </c>
      <c r="V97" s="1064">
        <f>U97*('Ввод исходных данных'!$D$83-S97)</f>
        <v>257.39999999999998</v>
      </c>
      <c r="W97" s="1065">
        <v>-2.6</v>
      </c>
      <c r="X97" s="1065"/>
      <c r="Y97" s="1065">
        <f t="shared" si="17"/>
        <v>31</v>
      </c>
      <c r="Z97" s="1065">
        <f>Y97*('Ввод исходных данных'!$D$83-W97)</f>
        <v>700.6</v>
      </c>
      <c r="AA97" s="1066">
        <v>-15.5</v>
      </c>
      <c r="AB97" s="1066"/>
      <c r="AC97" s="1066">
        <f t="shared" si="18"/>
        <v>30</v>
      </c>
      <c r="AD97" s="1066">
        <f>AC97*('Ввод исходных данных'!$D$83-AA97)</f>
        <v>1065</v>
      </c>
      <c r="AE97" s="1067">
        <v>-24.9</v>
      </c>
      <c r="AF97" s="1067"/>
      <c r="AG97" s="1067">
        <v>31</v>
      </c>
      <c r="AH97" s="1067">
        <f>AG97*('Ввод исходных данных'!$D$83-AE97)</f>
        <v>1391.8999999999999</v>
      </c>
      <c r="AI97" s="1068">
        <v>-27.2</v>
      </c>
      <c r="AJ97" s="1068"/>
      <c r="AK97" s="1068">
        <v>31</v>
      </c>
      <c r="AL97" s="1068">
        <f>AK97*('Ввод исходных данных'!$D$83-AI97)</f>
        <v>1463.2</v>
      </c>
      <c r="AM97" s="1069">
        <v>-24</v>
      </c>
      <c r="AN97" s="1069"/>
      <c r="AO97" s="1069">
        <v>28</v>
      </c>
      <c r="AP97" s="1069">
        <f>AO97*('Ввод исходных данных'!$D$83-AM97)</f>
        <v>1232</v>
      </c>
      <c r="AQ97" s="1064">
        <v>-13.3</v>
      </c>
      <c r="AR97" s="1064"/>
      <c r="AS97" s="1064">
        <f t="shared" si="19"/>
        <v>31</v>
      </c>
      <c r="AT97" s="1064">
        <f>AS97*('Ввод исходных данных'!$D$83-AQ97)</f>
        <v>1032.3</v>
      </c>
      <c r="AU97" s="1070">
        <v>-1.8</v>
      </c>
      <c r="AV97" s="1070"/>
      <c r="AW97" s="1070">
        <f t="shared" si="20"/>
        <v>30</v>
      </c>
      <c r="AX97" s="1070">
        <f>AW97*('Ввод исходных данных'!$D$83-AU97)</f>
        <v>654</v>
      </c>
      <c r="AY97" s="1071">
        <v>7.3</v>
      </c>
      <c r="AZ97" s="1071"/>
      <c r="BA97" s="1071">
        <f t="shared" si="21"/>
        <v>19.5</v>
      </c>
      <c r="BB97" s="1071">
        <f>BA97*('Ввод исходных данных'!$D$83-AY97)</f>
        <v>247.64999999999998</v>
      </c>
      <c r="BC97" s="1072">
        <v>15.2</v>
      </c>
      <c r="BD97" s="1072"/>
      <c r="BE97" s="1072">
        <f t="shared" si="13"/>
        <v>0</v>
      </c>
      <c r="BF97" s="1073">
        <f>BE97*('Ввод исходных данных'!$D$83-BC97)</f>
        <v>0</v>
      </c>
    </row>
    <row r="98" spans="2:58" ht="15.75" customHeight="1" x14ac:dyDescent="0.25">
      <c r="B98" s="1076" t="s">
        <v>71</v>
      </c>
      <c r="C98" s="1076" t="s">
        <v>79</v>
      </c>
      <c r="D98" s="1053" t="str">
        <f t="shared" si="11"/>
        <v>Иркутская областьМама</v>
      </c>
      <c r="E98" s="1054">
        <v>255</v>
      </c>
      <c r="F98" s="1055">
        <v>-12.6</v>
      </c>
      <c r="G98" s="1055">
        <v>-46</v>
      </c>
      <c r="H98" s="1057">
        <v>3</v>
      </c>
      <c r="I98" s="1058">
        <f>E98*('Ввод исходных данных'!$D$83-F98)</f>
        <v>8313</v>
      </c>
      <c r="J98" s="1059" t="str">
        <f t="shared" si="12"/>
        <v>8000-9000</v>
      </c>
      <c r="K98" s="1060">
        <v>17.899999999999999</v>
      </c>
      <c r="L98" s="1060"/>
      <c r="M98" s="1061">
        <f t="shared" si="14"/>
        <v>0</v>
      </c>
      <c r="N98" s="1062">
        <f>M98*('Ввод исходных данных'!$D$83-K98)</f>
        <v>0</v>
      </c>
      <c r="O98" s="1063">
        <v>14.4</v>
      </c>
      <c r="P98" s="1063"/>
      <c r="Q98" s="1063">
        <f t="shared" si="15"/>
        <v>0</v>
      </c>
      <c r="R98" s="1063">
        <f>Q98*('Ввод исходных данных'!$D$83-O98)</f>
        <v>0</v>
      </c>
      <c r="S98" s="1064">
        <v>6.8</v>
      </c>
      <c r="T98" s="1064"/>
      <c r="U98" s="1064">
        <f t="shared" si="16"/>
        <v>21.5</v>
      </c>
      <c r="V98" s="1064">
        <f>U98*('Ввод исходных данных'!$D$83-S98)</f>
        <v>283.8</v>
      </c>
      <c r="W98" s="1065">
        <v>-2.1</v>
      </c>
      <c r="X98" s="1065"/>
      <c r="Y98" s="1065">
        <f t="shared" si="17"/>
        <v>31</v>
      </c>
      <c r="Z98" s="1065">
        <f>Y98*('Ввод исходных данных'!$D$83-W98)</f>
        <v>685.1</v>
      </c>
      <c r="AA98" s="1066">
        <v>-17.399999999999999</v>
      </c>
      <c r="AB98" s="1066"/>
      <c r="AC98" s="1066">
        <f t="shared" si="18"/>
        <v>30</v>
      </c>
      <c r="AD98" s="1066">
        <f>AC98*('Ввод исходных данных'!$D$83-AA98)</f>
        <v>1122</v>
      </c>
      <c r="AE98" s="1067">
        <v>-26.1</v>
      </c>
      <c r="AF98" s="1067"/>
      <c r="AG98" s="1067">
        <v>31</v>
      </c>
      <c r="AH98" s="1067">
        <f>AG98*('Ввод исходных данных'!$D$83-AE98)</f>
        <v>1429.1000000000001</v>
      </c>
      <c r="AI98" s="1068">
        <v>-28.9</v>
      </c>
      <c r="AJ98" s="1068"/>
      <c r="AK98" s="1068">
        <v>31</v>
      </c>
      <c r="AL98" s="1068">
        <f>AK98*('Ввод исходных данных'!$D$83-AI98)</f>
        <v>1515.8999999999999</v>
      </c>
      <c r="AM98" s="1069">
        <v>-23.9</v>
      </c>
      <c r="AN98" s="1069"/>
      <c r="AO98" s="1069">
        <v>28</v>
      </c>
      <c r="AP98" s="1069">
        <f>AO98*('Ввод исходных данных'!$D$83-AM98)</f>
        <v>1229.2</v>
      </c>
      <c r="AQ98" s="1064">
        <v>-14.3</v>
      </c>
      <c r="AR98" s="1064"/>
      <c r="AS98" s="1064">
        <f t="shared" si="19"/>
        <v>31</v>
      </c>
      <c r="AT98" s="1064">
        <f>AS98*('Ввод исходных данных'!$D$83-AQ98)</f>
        <v>1063.3</v>
      </c>
      <c r="AU98" s="1070">
        <v>-2.8</v>
      </c>
      <c r="AV98" s="1070"/>
      <c r="AW98" s="1070">
        <f t="shared" si="20"/>
        <v>30</v>
      </c>
      <c r="AX98" s="1070">
        <f>AW98*('Ввод исходных данных'!$D$83-AU98)</f>
        <v>684</v>
      </c>
      <c r="AY98" s="1071">
        <v>5.9</v>
      </c>
      <c r="AZ98" s="1071"/>
      <c r="BA98" s="1071">
        <f t="shared" si="21"/>
        <v>21.5</v>
      </c>
      <c r="BB98" s="1071">
        <f>BA98*('Ввод исходных данных'!$D$83-AY98)</f>
        <v>303.14999999999998</v>
      </c>
      <c r="BC98" s="1072">
        <v>14.1</v>
      </c>
      <c r="BD98" s="1072"/>
      <c r="BE98" s="1072">
        <f t="shared" si="13"/>
        <v>0</v>
      </c>
      <c r="BF98" s="1073">
        <f>BE98*('Ввод исходных данных'!$D$83-BC98)</f>
        <v>0</v>
      </c>
    </row>
    <row r="99" spans="2:58" ht="15.75" customHeight="1" x14ac:dyDescent="0.25">
      <c r="B99" s="1052" t="s">
        <v>71</v>
      </c>
      <c r="C99" s="1052" t="s">
        <v>62</v>
      </c>
      <c r="D99" s="1053" t="str">
        <f t="shared" si="11"/>
        <v>Иркутская областьМарково</v>
      </c>
      <c r="E99" s="1054">
        <v>250</v>
      </c>
      <c r="F99" s="1055">
        <v>-12.3</v>
      </c>
      <c r="G99" s="1055">
        <v>-49</v>
      </c>
      <c r="H99" s="1057">
        <v>4.2</v>
      </c>
      <c r="I99" s="1058">
        <f>E99*('Ввод исходных данных'!$D$83-F99)</f>
        <v>8074.9999999999991</v>
      </c>
      <c r="J99" s="1059" t="str">
        <f t="shared" si="12"/>
        <v>8000-9000</v>
      </c>
      <c r="K99" s="1060">
        <v>18</v>
      </c>
      <c r="L99" s="1060"/>
      <c r="M99" s="1061">
        <f t="shared" si="14"/>
        <v>0</v>
      </c>
      <c r="N99" s="1062">
        <f>M99*('Ввод исходных данных'!$D$83-K99)</f>
        <v>0</v>
      </c>
      <c r="O99" s="1063">
        <v>14.7</v>
      </c>
      <c r="P99" s="1063"/>
      <c r="Q99" s="1063">
        <f t="shared" si="15"/>
        <v>0</v>
      </c>
      <c r="R99" s="1063">
        <f>Q99*('Ввод исходных данных'!$D$83-O99)</f>
        <v>0</v>
      </c>
      <c r="S99" s="1064">
        <v>7.1</v>
      </c>
      <c r="T99" s="1064"/>
      <c r="U99" s="1064">
        <f t="shared" si="16"/>
        <v>19</v>
      </c>
      <c r="V99" s="1064">
        <f>U99*('Ввод исходных данных'!$D$83-S99)</f>
        <v>245.1</v>
      </c>
      <c r="W99" s="1065">
        <v>-2</v>
      </c>
      <c r="X99" s="1065"/>
      <c r="Y99" s="1065">
        <f t="shared" si="17"/>
        <v>31</v>
      </c>
      <c r="Z99" s="1065">
        <f>Y99*('Ввод исходных данных'!$D$83-W99)</f>
        <v>682</v>
      </c>
      <c r="AA99" s="1066">
        <v>-15.8</v>
      </c>
      <c r="AB99" s="1066"/>
      <c r="AC99" s="1066">
        <f t="shared" si="18"/>
        <v>30</v>
      </c>
      <c r="AD99" s="1066">
        <f>AC99*('Ввод исходных данных'!$D$83-AA99)</f>
        <v>1074</v>
      </c>
      <c r="AE99" s="1067">
        <v>-26</v>
      </c>
      <c r="AF99" s="1067"/>
      <c r="AG99" s="1067">
        <v>31</v>
      </c>
      <c r="AH99" s="1067">
        <f>AG99*('Ввод исходных данных'!$D$83-AE99)</f>
        <v>1426</v>
      </c>
      <c r="AI99" s="1068">
        <v>-27.8</v>
      </c>
      <c r="AJ99" s="1068"/>
      <c r="AK99" s="1068">
        <v>31</v>
      </c>
      <c r="AL99" s="1068">
        <f>AK99*('Ввод исходных данных'!$D$83-AI99)</f>
        <v>1481.8</v>
      </c>
      <c r="AM99" s="1069">
        <v>-23.3</v>
      </c>
      <c r="AN99" s="1069"/>
      <c r="AO99" s="1069">
        <v>28</v>
      </c>
      <c r="AP99" s="1069">
        <f>AO99*('Ввод исходных данных'!$D$83-AM99)</f>
        <v>1212.3999999999999</v>
      </c>
      <c r="AQ99" s="1064">
        <v>-13.7</v>
      </c>
      <c r="AR99" s="1064"/>
      <c r="AS99" s="1064">
        <f t="shared" si="19"/>
        <v>31</v>
      </c>
      <c r="AT99" s="1064">
        <f>AS99*('Ввод исходных данных'!$D$83-AQ99)</f>
        <v>1044.7</v>
      </c>
      <c r="AU99" s="1070">
        <v>-1.8</v>
      </c>
      <c r="AV99" s="1070"/>
      <c r="AW99" s="1070">
        <f t="shared" si="20"/>
        <v>30</v>
      </c>
      <c r="AX99" s="1070">
        <f>AW99*('Ввод исходных данных'!$D$83-AU99)</f>
        <v>654</v>
      </c>
      <c r="AY99" s="1071">
        <v>7.1</v>
      </c>
      <c r="AZ99" s="1071"/>
      <c r="BA99" s="1071">
        <f t="shared" si="21"/>
        <v>19</v>
      </c>
      <c r="BB99" s="1071">
        <f>BA99*('Ввод исходных данных'!$D$83-AY99)</f>
        <v>245.1</v>
      </c>
      <c r="BC99" s="1072">
        <v>15.2</v>
      </c>
      <c r="BD99" s="1072"/>
      <c r="BE99" s="1072">
        <f t="shared" si="13"/>
        <v>0</v>
      </c>
      <c r="BF99" s="1073">
        <f>BE99*('Ввод исходных данных'!$D$83-BC99)</f>
        <v>0</v>
      </c>
    </row>
    <row r="100" spans="2:58" ht="15.75" customHeight="1" x14ac:dyDescent="0.25">
      <c r="B100" s="1076" t="s">
        <v>71</v>
      </c>
      <c r="C100" s="1076" t="s">
        <v>642</v>
      </c>
      <c r="D100" s="1053" t="str">
        <f t="shared" si="11"/>
        <v>Иркутская областьНаканно</v>
      </c>
      <c r="E100" s="1054">
        <v>266</v>
      </c>
      <c r="F100" s="1055">
        <v>-16.899999999999999</v>
      </c>
      <c r="G100" s="1055">
        <v>-54</v>
      </c>
      <c r="H100" s="1057">
        <v>3</v>
      </c>
      <c r="I100" s="1058">
        <f>E100*('Ввод исходных данных'!$D$83-F100)</f>
        <v>9815.4</v>
      </c>
      <c r="J100" s="1059" t="str">
        <f t="shared" si="12"/>
        <v>9000-10000</v>
      </c>
      <c r="K100" s="1060">
        <v>17</v>
      </c>
      <c r="L100" s="1060"/>
      <c r="M100" s="1061">
        <f t="shared" si="14"/>
        <v>0</v>
      </c>
      <c r="N100" s="1062">
        <f>M100*('Ввод исходных данных'!$D$83-K100)</f>
        <v>0</v>
      </c>
      <c r="O100" s="1063">
        <v>13</v>
      </c>
      <c r="P100" s="1063"/>
      <c r="Q100" s="1063">
        <f t="shared" si="15"/>
        <v>0</v>
      </c>
      <c r="R100" s="1063">
        <f>Q100*('Ввод исходных данных'!$D$83-O100)</f>
        <v>0</v>
      </c>
      <c r="S100" s="1064">
        <v>4.9000000000000004</v>
      </c>
      <c r="T100" s="1064"/>
      <c r="U100" s="1064">
        <f t="shared" si="16"/>
        <v>27</v>
      </c>
      <c r="V100" s="1064">
        <f>U100*('Ввод исходных данных'!$D$83-S100)</f>
        <v>407.7</v>
      </c>
      <c r="W100" s="1065">
        <v>-6.8</v>
      </c>
      <c r="X100" s="1065"/>
      <c r="Y100" s="1065">
        <f t="shared" si="17"/>
        <v>31</v>
      </c>
      <c r="Z100" s="1065">
        <f>Y100*('Ввод исходных данных'!$D$83-W100)</f>
        <v>830.80000000000007</v>
      </c>
      <c r="AA100" s="1066">
        <v>-23.5</v>
      </c>
      <c r="AB100" s="1066"/>
      <c r="AC100" s="1066">
        <f t="shared" si="18"/>
        <v>30</v>
      </c>
      <c r="AD100" s="1066">
        <f>AC100*('Ввод исходных данных'!$D$83-AA100)</f>
        <v>1305</v>
      </c>
      <c r="AE100" s="1067">
        <v>-32.200000000000003</v>
      </c>
      <c r="AF100" s="1067"/>
      <c r="AG100" s="1067">
        <v>31</v>
      </c>
      <c r="AH100" s="1067">
        <f>AG100*('Ввод исходных данных'!$D$83-AE100)</f>
        <v>1618.2</v>
      </c>
      <c r="AI100" s="1068">
        <v>-34.6</v>
      </c>
      <c r="AJ100" s="1068"/>
      <c r="AK100" s="1068">
        <v>31</v>
      </c>
      <c r="AL100" s="1068">
        <f>AK100*('Ввод исходных данных'!$D$83-AI100)</f>
        <v>1692.6000000000001</v>
      </c>
      <c r="AM100" s="1069">
        <v>-30.3</v>
      </c>
      <c r="AN100" s="1069"/>
      <c r="AO100" s="1069">
        <v>28</v>
      </c>
      <c r="AP100" s="1069">
        <f>AO100*('Ввод исходных данных'!$D$83-AM100)</f>
        <v>1408.3999999999999</v>
      </c>
      <c r="AQ100" s="1064">
        <v>-17.7</v>
      </c>
      <c r="AR100" s="1064"/>
      <c r="AS100" s="1064">
        <f t="shared" si="19"/>
        <v>31</v>
      </c>
      <c r="AT100" s="1064">
        <f>AS100*('Ввод исходных данных'!$D$83-AQ100)</f>
        <v>1168.7</v>
      </c>
      <c r="AU100" s="1070">
        <v>-6.1</v>
      </c>
      <c r="AV100" s="1070"/>
      <c r="AW100" s="1070">
        <f t="shared" si="20"/>
        <v>30</v>
      </c>
      <c r="AX100" s="1070">
        <f>AW100*('Ввод исходных данных'!$D$83-AU100)</f>
        <v>783</v>
      </c>
      <c r="AY100" s="1071">
        <v>4.4000000000000004</v>
      </c>
      <c r="AZ100" s="1071"/>
      <c r="BA100" s="1071">
        <f t="shared" si="21"/>
        <v>27</v>
      </c>
      <c r="BB100" s="1071">
        <f>BA100*('Ввод исходных данных'!$D$83-AY100)</f>
        <v>421.2</v>
      </c>
      <c r="BC100" s="1072">
        <v>13.7</v>
      </c>
      <c r="BD100" s="1072"/>
      <c r="BE100" s="1072">
        <f t="shared" si="13"/>
        <v>0</v>
      </c>
      <c r="BF100" s="1073">
        <f>BE100*('Ввод исходных данных'!$D$83-BC100)</f>
        <v>0</v>
      </c>
    </row>
    <row r="101" spans="2:58" ht="15.75" customHeight="1" x14ac:dyDescent="0.25">
      <c r="B101" s="1052" t="s">
        <v>71</v>
      </c>
      <c r="C101" s="1052" t="s">
        <v>81</v>
      </c>
      <c r="D101" s="1053" t="str">
        <f t="shared" si="11"/>
        <v>Иркутская областьНевон</v>
      </c>
      <c r="E101" s="1054">
        <v>253</v>
      </c>
      <c r="F101" s="1055">
        <v>-11.1</v>
      </c>
      <c r="G101" s="1055">
        <v>-48</v>
      </c>
      <c r="H101" s="1057">
        <v>3</v>
      </c>
      <c r="I101" s="1058">
        <f>E101*('Ввод исходных данных'!$D$83-F101)</f>
        <v>7868.3</v>
      </c>
      <c r="J101" s="1059" t="str">
        <f t="shared" si="12"/>
        <v>7000-8000</v>
      </c>
      <c r="K101" s="1060">
        <v>17.600000000000001</v>
      </c>
      <c r="L101" s="1060"/>
      <c r="M101" s="1061">
        <f t="shared" si="14"/>
        <v>0</v>
      </c>
      <c r="N101" s="1062">
        <f>M101*('Ввод исходных данных'!$D$83-K101)</f>
        <v>0</v>
      </c>
      <c r="O101" s="1063">
        <v>14.1</v>
      </c>
      <c r="P101" s="1063"/>
      <c r="Q101" s="1063">
        <f t="shared" si="15"/>
        <v>0</v>
      </c>
      <c r="R101" s="1063">
        <f>Q101*('Ввод исходных данных'!$D$83-O101)</f>
        <v>0</v>
      </c>
      <c r="S101" s="1064">
        <v>6.9</v>
      </c>
      <c r="T101" s="1064"/>
      <c r="U101" s="1064">
        <f t="shared" si="16"/>
        <v>20.5</v>
      </c>
      <c r="V101" s="1064">
        <f>U101*('Ввод исходных данных'!$D$83-S101)</f>
        <v>268.55</v>
      </c>
      <c r="W101" s="1065">
        <v>-1.4</v>
      </c>
      <c r="X101" s="1065"/>
      <c r="Y101" s="1065">
        <f t="shared" si="17"/>
        <v>31</v>
      </c>
      <c r="Z101" s="1065">
        <f>Y101*('Ввод исходных данных'!$D$83-W101)</f>
        <v>663.4</v>
      </c>
      <c r="AA101" s="1066">
        <v>-14.4</v>
      </c>
      <c r="AB101" s="1066"/>
      <c r="AC101" s="1066">
        <f t="shared" si="18"/>
        <v>30</v>
      </c>
      <c r="AD101" s="1066">
        <f>AC101*('Ввод исходных данных'!$D$83-AA101)</f>
        <v>1032</v>
      </c>
      <c r="AE101" s="1067">
        <v>-23.4</v>
      </c>
      <c r="AF101" s="1067"/>
      <c r="AG101" s="1067">
        <v>31</v>
      </c>
      <c r="AH101" s="1067">
        <f>AG101*('Ввод исходных данных'!$D$83-AE101)</f>
        <v>1345.3999999999999</v>
      </c>
      <c r="AI101" s="1068">
        <v>-24.9</v>
      </c>
      <c r="AJ101" s="1068"/>
      <c r="AK101" s="1068">
        <v>31</v>
      </c>
      <c r="AL101" s="1068">
        <f>AK101*('Ввод исходных данных'!$D$83-AI101)</f>
        <v>1391.8999999999999</v>
      </c>
      <c r="AM101" s="1069">
        <v>-23.2</v>
      </c>
      <c r="AN101" s="1069"/>
      <c r="AO101" s="1069">
        <v>28</v>
      </c>
      <c r="AP101" s="1069">
        <f>AO101*('Ввод исходных данных'!$D$83-AM101)</f>
        <v>1209.6000000000001</v>
      </c>
      <c r="AQ101" s="1064">
        <v>-13.3</v>
      </c>
      <c r="AR101" s="1064"/>
      <c r="AS101" s="1064">
        <f t="shared" si="19"/>
        <v>31</v>
      </c>
      <c r="AT101" s="1064">
        <f>AS101*('Ввод исходных данных'!$D$83-AQ101)</f>
        <v>1032.3</v>
      </c>
      <c r="AU101" s="1070">
        <v>-1.8</v>
      </c>
      <c r="AV101" s="1070"/>
      <c r="AW101" s="1070">
        <f t="shared" si="20"/>
        <v>30</v>
      </c>
      <c r="AX101" s="1070">
        <f>AW101*('Ввод исходных данных'!$D$83-AU101)</f>
        <v>654</v>
      </c>
      <c r="AY101" s="1071">
        <v>6.5</v>
      </c>
      <c r="AZ101" s="1071"/>
      <c r="BA101" s="1071">
        <f t="shared" si="21"/>
        <v>20.5</v>
      </c>
      <c r="BB101" s="1071">
        <f>BA101*('Ввод исходных данных'!$D$83-AY101)</f>
        <v>276.75</v>
      </c>
      <c r="BC101" s="1072">
        <v>14.6</v>
      </c>
      <c r="BD101" s="1072"/>
      <c r="BE101" s="1072">
        <f t="shared" si="13"/>
        <v>0</v>
      </c>
      <c r="BF101" s="1073">
        <f>BE101*('Ввод исходных данных'!$D$83-BC101)</f>
        <v>0</v>
      </c>
    </row>
    <row r="102" spans="2:58" ht="15.75" customHeight="1" x14ac:dyDescent="0.25">
      <c r="B102" s="1076" t="s">
        <v>71</v>
      </c>
      <c r="C102" s="1076" t="s">
        <v>80</v>
      </c>
      <c r="D102" s="1053" t="str">
        <f t="shared" si="11"/>
        <v>Иркутская областьНепа</v>
      </c>
      <c r="E102" s="1054">
        <v>261</v>
      </c>
      <c r="F102" s="1055">
        <v>-12.9</v>
      </c>
      <c r="G102" s="1055">
        <v>-50</v>
      </c>
      <c r="H102" s="1057">
        <v>3</v>
      </c>
      <c r="I102" s="1058">
        <f>E102*('Ввод исходных данных'!$D$83-F102)</f>
        <v>8586.9</v>
      </c>
      <c r="J102" s="1059" t="str">
        <f t="shared" si="12"/>
        <v>8000-9000</v>
      </c>
      <c r="K102" s="1060">
        <v>16.8</v>
      </c>
      <c r="L102" s="1060"/>
      <c r="M102" s="1061">
        <f t="shared" si="14"/>
        <v>0</v>
      </c>
      <c r="N102" s="1062">
        <f>M102*('Ввод исходных данных'!$D$83-K102)</f>
        <v>0</v>
      </c>
      <c r="O102" s="1063">
        <v>12.9</v>
      </c>
      <c r="P102" s="1063"/>
      <c r="Q102" s="1063">
        <f t="shared" si="15"/>
        <v>0</v>
      </c>
      <c r="R102" s="1063">
        <f>Q102*('Ввод исходных данных'!$D$83-O102)</f>
        <v>0</v>
      </c>
      <c r="S102" s="1064">
        <v>5.7</v>
      </c>
      <c r="T102" s="1064"/>
      <c r="U102" s="1064">
        <f t="shared" si="16"/>
        <v>24.5</v>
      </c>
      <c r="V102" s="1064">
        <f>U102*('Ввод исходных данных'!$D$83-S102)</f>
        <v>350.35</v>
      </c>
      <c r="W102" s="1065">
        <v>-4</v>
      </c>
      <c r="X102" s="1065"/>
      <c r="Y102" s="1065">
        <f t="shared" si="17"/>
        <v>31</v>
      </c>
      <c r="Z102" s="1065">
        <f>Y102*('Ввод исходных данных'!$D$83-W102)</f>
        <v>744</v>
      </c>
      <c r="AA102" s="1066">
        <v>-18.5</v>
      </c>
      <c r="AB102" s="1066"/>
      <c r="AC102" s="1066">
        <f t="shared" si="18"/>
        <v>30</v>
      </c>
      <c r="AD102" s="1066">
        <f>AC102*('Ввод исходных данных'!$D$83-AA102)</f>
        <v>1155</v>
      </c>
      <c r="AE102" s="1067">
        <v>-27.2</v>
      </c>
      <c r="AF102" s="1067"/>
      <c r="AG102" s="1067">
        <v>31</v>
      </c>
      <c r="AH102" s="1067">
        <f>AG102*('Ввод исходных данных'!$D$83-AE102)</f>
        <v>1463.2</v>
      </c>
      <c r="AI102" s="1068">
        <v>-27.9</v>
      </c>
      <c r="AJ102" s="1068"/>
      <c r="AK102" s="1068">
        <v>31</v>
      </c>
      <c r="AL102" s="1068">
        <f>AK102*('Ввод исходных данных'!$D$83-AI102)</f>
        <v>1484.8999999999999</v>
      </c>
      <c r="AM102" s="1069">
        <v>-25.4</v>
      </c>
      <c r="AN102" s="1069"/>
      <c r="AO102" s="1069">
        <v>28</v>
      </c>
      <c r="AP102" s="1069">
        <f>AO102*('Ввод исходных данных'!$D$83-AM102)</f>
        <v>1271.2</v>
      </c>
      <c r="AQ102" s="1064">
        <v>-14.6</v>
      </c>
      <c r="AR102" s="1064"/>
      <c r="AS102" s="1064">
        <f t="shared" si="19"/>
        <v>31</v>
      </c>
      <c r="AT102" s="1064">
        <f>AS102*('Ввод исходных данных'!$D$83-AQ102)</f>
        <v>1072.6000000000001</v>
      </c>
      <c r="AU102" s="1070">
        <v>-3.5</v>
      </c>
      <c r="AV102" s="1070"/>
      <c r="AW102" s="1070">
        <f t="shared" si="20"/>
        <v>30</v>
      </c>
      <c r="AX102" s="1070">
        <f>AW102*('Ввод исходных данных'!$D$83-AU102)</f>
        <v>705</v>
      </c>
      <c r="AY102" s="1071">
        <v>5.6</v>
      </c>
      <c r="AZ102" s="1071"/>
      <c r="BA102" s="1071">
        <f t="shared" si="21"/>
        <v>24.5</v>
      </c>
      <c r="BB102" s="1071">
        <f>BA102*('Ввод исходных данных'!$D$83-AY102)</f>
        <v>352.8</v>
      </c>
      <c r="BC102" s="1072">
        <v>13.9</v>
      </c>
      <c r="BD102" s="1072"/>
      <c r="BE102" s="1072">
        <f t="shared" si="13"/>
        <v>0</v>
      </c>
      <c r="BF102" s="1073">
        <f>BE102*('Ввод исходных данных'!$D$83-BC102)</f>
        <v>0</v>
      </c>
    </row>
    <row r="103" spans="2:58" ht="15.75" customHeight="1" x14ac:dyDescent="0.25">
      <c r="B103" s="1052" t="s">
        <v>71</v>
      </c>
      <c r="C103" s="1052" t="s">
        <v>82</v>
      </c>
      <c r="D103" s="1053" t="str">
        <f t="shared" si="11"/>
        <v>Иркутская областьОрлинга</v>
      </c>
      <c r="E103" s="1054">
        <v>252</v>
      </c>
      <c r="F103" s="1055">
        <v>-12</v>
      </c>
      <c r="G103" s="1055">
        <v>-45</v>
      </c>
      <c r="H103" s="1057">
        <v>2.6</v>
      </c>
      <c r="I103" s="1058">
        <f>E103*('Ввод исходных данных'!$D$83-F103)</f>
        <v>8064</v>
      </c>
      <c r="J103" s="1059" t="str">
        <f t="shared" si="12"/>
        <v>8000-9000</v>
      </c>
      <c r="K103" s="1060">
        <v>17.3</v>
      </c>
      <c r="L103" s="1060"/>
      <c r="M103" s="1061">
        <f t="shared" si="14"/>
        <v>0</v>
      </c>
      <c r="N103" s="1062">
        <f>M103*('Ввод исходных данных'!$D$83-K103)</f>
        <v>0</v>
      </c>
      <c r="O103" s="1063">
        <v>14.1</v>
      </c>
      <c r="P103" s="1063"/>
      <c r="Q103" s="1063">
        <f t="shared" si="15"/>
        <v>0</v>
      </c>
      <c r="R103" s="1063">
        <f>Q103*('Ввод исходных данных'!$D$83-O103)</f>
        <v>0</v>
      </c>
      <c r="S103" s="1064">
        <v>6.7</v>
      </c>
      <c r="T103" s="1064"/>
      <c r="U103" s="1064">
        <f t="shared" si="16"/>
        <v>20</v>
      </c>
      <c r="V103" s="1064">
        <f>U103*('Ввод исходных данных'!$D$83-S103)</f>
        <v>266</v>
      </c>
      <c r="W103" s="1065">
        <v>-2.2000000000000002</v>
      </c>
      <c r="X103" s="1065"/>
      <c r="Y103" s="1065">
        <f t="shared" si="17"/>
        <v>31</v>
      </c>
      <c r="Z103" s="1065">
        <f>Y103*('Ввод исходных данных'!$D$83-W103)</f>
        <v>688.19999999999993</v>
      </c>
      <c r="AA103" s="1066">
        <v>-14</v>
      </c>
      <c r="AB103" s="1066"/>
      <c r="AC103" s="1066">
        <f t="shared" si="18"/>
        <v>30</v>
      </c>
      <c r="AD103" s="1066">
        <f>AC103*('Ввод исходных данных'!$D$83-AA103)</f>
        <v>1020</v>
      </c>
      <c r="AE103" s="1067">
        <v>-23.9</v>
      </c>
      <c r="AF103" s="1067"/>
      <c r="AG103" s="1067">
        <v>31</v>
      </c>
      <c r="AH103" s="1067">
        <f>AG103*('Ввод исходных данных'!$D$83-AE103)</f>
        <v>1360.8999999999999</v>
      </c>
      <c r="AI103" s="1068">
        <v>-26.9</v>
      </c>
      <c r="AJ103" s="1068"/>
      <c r="AK103" s="1068">
        <v>31</v>
      </c>
      <c r="AL103" s="1068">
        <f>AK103*('Ввод исходных данных'!$D$83-AI103)</f>
        <v>1453.8999999999999</v>
      </c>
      <c r="AM103" s="1069">
        <v>-22.7</v>
      </c>
      <c r="AN103" s="1069"/>
      <c r="AO103" s="1069">
        <v>28</v>
      </c>
      <c r="AP103" s="1069">
        <f>AO103*('Ввод исходных данных'!$D$83-AM103)</f>
        <v>1195.6000000000001</v>
      </c>
      <c r="AQ103" s="1064">
        <v>-12.4</v>
      </c>
      <c r="AR103" s="1064"/>
      <c r="AS103" s="1064">
        <f t="shared" si="19"/>
        <v>31</v>
      </c>
      <c r="AT103" s="1064">
        <f>AS103*('Ввод исходных данных'!$D$83-AQ103)</f>
        <v>1004.4</v>
      </c>
      <c r="AU103" s="1070">
        <v>-1.5</v>
      </c>
      <c r="AV103" s="1070"/>
      <c r="AW103" s="1070">
        <f t="shared" si="20"/>
        <v>30</v>
      </c>
      <c r="AX103" s="1070">
        <f>AW103*('Ввод исходных данных'!$D$83-AU103)</f>
        <v>645</v>
      </c>
      <c r="AY103" s="1071">
        <v>7.2</v>
      </c>
      <c r="AZ103" s="1071"/>
      <c r="BA103" s="1071">
        <f t="shared" si="21"/>
        <v>20</v>
      </c>
      <c r="BB103" s="1071">
        <f>BA103*('Ввод исходных данных'!$D$83-AY103)</f>
        <v>256</v>
      </c>
      <c r="BC103" s="1072">
        <v>14.6</v>
      </c>
      <c r="BD103" s="1072"/>
      <c r="BE103" s="1072">
        <f t="shared" si="13"/>
        <v>0</v>
      </c>
      <c r="BF103" s="1073">
        <f>BE103*('Ввод исходных данных'!$D$83-BC103)</f>
        <v>0</v>
      </c>
    </row>
    <row r="104" spans="2:58" ht="15.75" customHeight="1" x14ac:dyDescent="0.25">
      <c r="B104" s="1076" t="s">
        <v>71</v>
      </c>
      <c r="C104" s="1076" t="s">
        <v>83</v>
      </c>
      <c r="D104" s="1053" t="str">
        <f t="shared" si="11"/>
        <v>Иркутская областьПеревоз</v>
      </c>
      <c r="E104" s="1054">
        <v>258</v>
      </c>
      <c r="F104" s="1055">
        <v>-12.6</v>
      </c>
      <c r="G104" s="1055">
        <v>-46</v>
      </c>
      <c r="H104" s="1057">
        <v>3.1</v>
      </c>
      <c r="I104" s="1058">
        <f>E104*('Ввод исходных данных'!$D$83-F104)</f>
        <v>8410.8000000000011</v>
      </c>
      <c r="J104" s="1059" t="str">
        <f t="shared" si="12"/>
        <v>8000-9000</v>
      </c>
      <c r="K104" s="1060">
        <v>17</v>
      </c>
      <c r="L104" s="1060"/>
      <c r="M104" s="1061">
        <f t="shared" si="14"/>
        <v>0</v>
      </c>
      <c r="N104" s="1062">
        <f>M104*('Ввод исходных данных'!$D$83-K104)</f>
        <v>0</v>
      </c>
      <c r="O104" s="1063">
        <v>13.6</v>
      </c>
      <c r="P104" s="1063"/>
      <c r="Q104" s="1063">
        <f t="shared" si="15"/>
        <v>0</v>
      </c>
      <c r="R104" s="1063">
        <f>Q104*('Ввод исходных данных'!$D$83-O104)</f>
        <v>0</v>
      </c>
      <c r="S104" s="1064">
        <v>5.8</v>
      </c>
      <c r="T104" s="1064"/>
      <c r="U104" s="1064">
        <f t="shared" si="16"/>
        <v>23</v>
      </c>
      <c r="V104" s="1064">
        <f>U104*('Ввод исходных данных'!$D$83-S104)</f>
        <v>326.59999999999997</v>
      </c>
      <c r="W104" s="1065">
        <v>-3.9</v>
      </c>
      <c r="X104" s="1065"/>
      <c r="Y104" s="1065">
        <f t="shared" si="17"/>
        <v>31</v>
      </c>
      <c r="Z104" s="1065">
        <f>Y104*('Ввод исходных данных'!$D$83-W104)</f>
        <v>740.9</v>
      </c>
      <c r="AA104" s="1066">
        <v>-16.7</v>
      </c>
      <c r="AB104" s="1066"/>
      <c r="AC104" s="1066">
        <f t="shared" si="18"/>
        <v>30</v>
      </c>
      <c r="AD104" s="1066">
        <f>AC104*('Ввод исходных данных'!$D$83-AA104)</f>
        <v>1101</v>
      </c>
      <c r="AE104" s="1067">
        <v>-24.6</v>
      </c>
      <c r="AF104" s="1067"/>
      <c r="AG104" s="1067">
        <v>31</v>
      </c>
      <c r="AH104" s="1067">
        <f>AG104*('Ввод исходных данных'!$D$83-AE104)</f>
        <v>1382.6000000000001</v>
      </c>
      <c r="AI104" s="1068">
        <v>-26.3</v>
      </c>
      <c r="AJ104" s="1068"/>
      <c r="AK104" s="1068">
        <v>31</v>
      </c>
      <c r="AL104" s="1068">
        <f>AK104*('Ввод исходных данных'!$D$83-AI104)</f>
        <v>1435.3</v>
      </c>
      <c r="AM104" s="1069">
        <v>-23.5</v>
      </c>
      <c r="AN104" s="1069"/>
      <c r="AO104" s="1069">
        <v>28</v>
      </c>
      <c r="AP104" s="1069">
        <f>AO104*('Ввод исходных данных'!$D$83-AM104)</f>
        <v>1218</v>
      </c>
      <c r="AQ104" s="1064">
        <v>-14.2</v>
      </c>
      <c r="AR104" s="1064"/>
      <c r="AS104" s="1064">
        <f t="shared" si="19"/>
        <v>31</v>
      </c>
      <c r="AT104" s="1064">
        <f>AS104*('Ввод исходных данных'!$D$83-AQ104)</f>
        <v>1060.2</v>
      </c>
      <c r="AU104" s="1070">
        <v>-2.8</v>
      </c>
      <c r="AV104" s="1070"/>
      <c r="AW104" s="1070">
        <f t="shared" si="20"/>
        <v>30</v>
      </c>
      <c r="AX104" s="1070">
        <f>AW104*('Ввод исходных данных'!$D$83-AU104)</f>
        <v>684</v>
      </c>
      <c r="AY104" s="1071">
        <v>6.3</v>
      </c>
      <c r="AZ104" s="1071"/>
      <c r="BA104" s="1071">
        <f t="shared" si="21"/>
        <v>23</v>
      </c>
      <c r="BB104" s="1071">
        <f>BA104*('Ввод исходных данных'!$D$83-AY104)</f>
        <v>315.09999999999997</v>
      </c>
      <c r="BC104" s="1072">
        <v>14.1</v>
      </c>
      <c r="BD104" s="1072"/>
      <c r="BE104" s="1072">
        <f t="shared" si="13"/>
        <v>0</v>
      </c>
      <c r="BF104" s="1073">
        <f>BE104*('Ввод исходных данных'!$D$83-BC104)</f>
        <v>0</v>
      </c>
    </row>
    <row r="105" spans="2:58" ht="15.75" customHeight="1" x14ac:dyDescent="0.25">
      <c r="B105" s="1052" t="s">
        <v>71</v>
      </c>
      <c r="C105" s="1052" t="s">
        <v>84</v>
      </c>
      <c r="D105" s="1053" t="str">
        <f t="shared" si="11"/>
        <v>Иркутская областьПреображенка</v>
      </c>
      <c r="E105" s="1054">
        <v>259</v>
      </c>
      <c r="F105" s="1055">
        <v>-13.3</v>
      </c>
      <c r="G105" s="1055">
        <v>-50</v>
      </c>
      <c r="H105" s="1057">
        <v>3</v>
      </c>
      <c r="I105" s="1058">
        <f>E105*('Ввод исходных данных'!$D$83-F105)</f>
        <v>8624.6999999999989</v>
      </c>
      <c r="J105" s="1059" t="str">
        <f t="shared" si="12"/>
        <v>8000-9000</v>
      </c>
      <c r="K105" s="1060">
        <v>17.7</v>
      </c>
      <c r="L105" s="1060"/>
      <c r="M105" s="1061">
        <f t="shared" si="14"/>
        <v>0</v>
      </c>
      <c r="N105" s="1062">
        <f>M105*('Ввод исходных данных'!$D$83-K105)</f>
        <v>0</v>
      </c>
      <c r="O105" s="1063">
        <v>13.5</v>
      </c>
      <c r="P105" s="1063"/>
      <c r="Q105" s="1063">
        <f t="shared" si="15"/>
        <v>0</v>
      </c>
      <c r="R105" s="1063">
        <f>Q105*('Ввод исходных данных'!$D$83-O105)</f>
        <v>0</v>
      </c>
      <c r="S105" s="1064">
        <v>5.8</v>
      </c>
      <c r="T105" s="1064"/>
      <c r="U105" s="1064">
        <f t="shared" si="16"/>
        <v>23.5</v>
      </c>
      <c r="V105" s="1064">
        <f>U105*('Ввод исходных данных'!$D$83-S105)</f>
        <v>333.7</v>
      </c>
      <c r="W105" s="1065">
        <v>-4.0999999999999996</v>
      </c>
      <c r="X105" s="1065"/>
      <c r="Y105" s="1065">
        <f t="shared" si="17"/>
        <v>31</v>
      </c>
      <c r="Z105" s="1065">
        <f>Y105*('Ввод исходных данных'!$D$83-W105)</f>
        <v>747.1</v>
      </c>
      <c r="AA105" s="1066">
        <v>-18.600000000000001</v>
      </c>
      <c r="AB105" s="1066"/>
      <c r="AC105" s="1066">
        <f t="shared" si="18"/>
        <v>30</v>
      </c>
      <c r="AD105" s="1066">
        <f>AC105*('Ввод исходных данных'!$D$83-AA105)</f>
        <v>1158</v>
      </c>
      <c r="AE105" s="1067">
        <v>-28.4</v>
      </c>
      <c r="AF105" s="1067"/>
      <c r="AG105" s="1067">
        <v>31</v>
      </c>
      <c r="AH105" s="1067">
        <f>AG105*('Ввод исходных данных'!$D$83-AE105)</f>
        <v>1500.3999999999999</v>
      </c>
      <c r="AI105" s="1068">
        <v>-29.2</v>
      </c>
      <c r="AJ105" s="1068"/>
      <c r="AK105" s="1068">
        <v>31</v>
      </c>
      <c r="AL105" s="1068">
        <f>AK105*('Ввод исходных данных'!$D$83-AI105)</f>
        <v>1525.2</v>
      </c>
      <c r="AM105" s="1069">
        <v>-24.2</v>
      </c>
      <c r="AN105" s="1069"/>
      <c r="AO105" s="1069">
        <v>28</v>
      </c>
      <c r="AP105" s="1069">
        <f>AO105*('Ввод исходных данных'!$D$83-AM105)</f>
        <v>1237.6000000000001</v>
      </c>
      <c r="AQ105" s="1064">
        <v>-15.4</v>
      </c>
      <c r="AR105" s="1064"/>
      <c r="AS105" s="1064">
        <f t="shared" si="19"/>
        <v>31</v>
      </c>
      <c r="AT105" s="1064">
        <f>AS105*('Ввод исходных данных'!$D$83-AQ105)</f>
        <v>1097.3999999999999</v>
      </c>
      <c r="AU105" s="1070">
        <v>-3.9</v>
      </c>
      <c r="AV105" s="1070"/>
      <c r="AW105" s="1070">
        <f t="shared" si="20"/>
        <v>30</v>
      </c>
      <c r="AX105" s="1070">
        <f>AW105*('Ввод исходных данных'!$D$83-AU105)</f>
        <v>717</v>
      </c>
      <c r="AY105" s="1071">
        <v>5.6</v>
      </c>
      <c r="AZ105" s="1071"/>
      <c r="BA105" s="1071">
        <f t="shared" si="21"/>
        <v>23.5</v>
      </c>
      <c r="BB105" s="1071">
        <f>BA105*('Ввод исходных данных'!$D$83-AY105)</f>
        <v>338.40000000000003</v>
      </c>
      <c r="BC105" s="1072">
        <v>14.7</v>
      </c>
      <c r="BD105" s="1072"/>
      <c r="BE105" s="1072">
        <f t="shared" si="13"/>
        <v>0</v>
      </c>
      <c r="BF105" s="1073">
        <f>BE105*('Ввод исходных данных'!$D$83-BC105)</f>
        <v>0</v>
      </c>
    </row>
    <row r="106" spans="2:58" ht="15.75" customHeight="1" x14ac:dyDescent="0.25">
      <c r="B106" s="1076" t="s">
        <v>71</v>
      </c>
      <c r="C106" s="1076" t="s">
        <v>643</v>
      </c>
      <c r="D106" s="1053" t="str">
        <f t="shared" si="11"/>
        <v>Иркутская областьСаянск</v>
      </c>
      <c r="E106" s="1054">
        <v>234</v>
      </c>
      <c r="F106" s="1055">
        <v>-9.1</v>
      </c>
      <c r="G106" s="1055">
        <v>-39</v>
      </c>
      <c r="H106" s="1057">
        <v>4.4000000000000004</v>
      </c>
      <c r="I106" s="1058">
        <f>E106*('Ввод исходных данных'!$D$83-F106)</f>
        <v>6809.4000000000005</v>
      </c>
      <c r="J106" s="1059" t="str">
        <f t="shared" si="12"/>
        <v>6000-7000</v>
      </c>
      <c r="K106" s="1060">
        <v>18.7</v>
      </c>
      <c r="L106" s="1060"/>
      <c r="M106" s="1061">
        <f t="shared" si="14"/>
        <v>0</v>
      </c>
      <c r="N106" s="1062">
        <f>M106*('Ввод исходных данных'!$D$83-K106)</f>
        <v>0</v>
      </c>
      <c r="O106" s="1063">
        <v>15.8</v>
      </c>
      <c r="P106" s="1063"/>
      <c r="Q106" s="1063">
        <f t="shared" si="15"/>
        <v>0</v>
      </c>
      <c r="R106" s="1063">
        <f>Q106*('Ввод исходных данных'!$D$83-O106)</f>
        <v>0</v>
      </c>
      <c r="S106" s="1064">
        <v>8.5</v>
      </c>
      <c r="T106" s="1064"/>
      <c r="U106" s="1064">
        <f t="shared" si="16"/>
        <v>11</v>
      </c>
      <c r="V106" s="1064">
        <f>U106*('Ввод исходных данных'!$D$83-S106)</f>
        <v>126.5</v>
      </c>
      <c r="W106" s="1065">
        <v>0.8</v>
      </c>
      <c r="X106" s="1065"/>
      <c r="Y106" s="1065">
        <f t="shared" si="17"/>
        <v>31</v>
      </c>
      <c r="Z106" s="1065">
        <f>Y106*('Ввод исходных данных'!$D$83-W106)</f>
        <v>595.19999999999993</v>
      </c>
      <c r="AA106" s="1066">
        <v>-9.4</v>
      </c>
      <c r="AB106" s="1066"/>
      <c r="AC106" s="1066">
        <f t="shared" si="18"/>
        <v>30</v>
      </c>
      <c r="AD106" s="1066">
        <f>AC106*('Ввод исходных данных'!$D$83-AA106)</f>
        <v>882</v>
      </c>
      <c r="AE106" s="1067">
        <v>-16.3</v>
      </c>
      <c r="AF106" s="1067"/>
      <c r="AG106" s="1067">
        <v>31</v>
      </c>
      <c r="AH106" s="1067">
        <f>AG106*('Ввод исходных данных'!$D$83-AE106)</f>
        <v>1125.3</v>
      </c>
      <c r="AI106" s="1068">
        <v>-18.3</v>
      </c>
      <c r="AJ106" s="1068"/>
      <c r="AK106" s="1068">
        <v>31</v>
      </c>
      <c r="AL106" s="1068">
        <f>AK106*('Ввод исходных данных'!$D$83-AI106)</f>
        <v>1187.3</v>
      </c>
      <c r="AM106" s="1069">
        <v>-14</v>
      </c>
      <c r="AN106" s="1069"/>
      <c r="AO106" s="1069">
        <v>28</v>
      </c>
      <c r="AP106" s="1069">
        <f>AO106*('Ввод исходных данных'!$D$83-AM106)</f>
        <v>952</v>
      </c>
      <c r="AQ106" s="1064">
        <v>-6.8</v>
      </c>
      <c r="AR106" s="1064"/>
      <c r="AS106" s="1064">
        <f t="shared" si="19"/>
        <v>31</v>
      </c>
      <c r="AT106" s="1064">
        <f>AS106*('Ввод исходных данных'!$D$83-AQ106)</f>
        <v>830.80000000000007</v>
      </c>
      <c r="AU106" s="1070">
        <v>1.7</v>
      </c>
      <c r="AV106" s="1070"/>
      <c r="AW106" s="1070">
        <f t="shared" si="20"/>
        <v>30</v>
      </c>
      <c r="AX106" s="1070">
        <f>AW106*('Ввод исходных данных'!$D$83-AU106)</f>
        <v>549</v>
      </c>
      <c r="AY106" s="1071">
        <v>10.1</v>
      </c>
      <c r="AZ106" s="1071"/>
      <c r="BA106" s="1071">
        <f t="shared" si="21"/>
        <v>11</v>
      </c>
      <c r="BB106" s="1071">
        <f>BA106*('Ввод исходных данных'!$D$83-AY106)</f>
        <v>108.9</v>
      </c>
      <c r="BC106" s="1072">
        <v>15.5</v>
      </c>
      <c r="BD106" s="1072"/>
      <c r="BE106" s="1072">
        <f t="shared" si="13"/>
        <v>0</v>
      </c>
      <c r="BF106" s="1073">
        <f>BE106*('Ввод исходных данных'!$D$83-BC106)</f>
        <v>0</v>
      </c>
    </row>
    <row r="107" spans="2:58" ht="15.75" customHeight="1" x14ac:dyDescent="0.25">
      <c r="B107" s="1052" t="s">
        <v>71</v>
      </c>
      <c r="C107" s="1052" t="s">
        <v>85</v>
      </c>
      <c r="D107" s="1053" t="str">
        <f t="shared" si="11"/>
        <v>Иркутская областьСлюдянка</v>
      </c>
      <c r="E107" s="1054">
        <v>254</v>
      </c>
      <c r="F107" s="1055">
        <v>-6.4</v>
      </c>
      <c r="G107" s="1055">
        <v>-28</v>
      </c>
      <c r="H107" s="1057">
        <v>1.5</v>
      </c>
      <c r="I107" s="1058">
        <f>E107*('Ввод исходных данных'!$D$83-F107)</f>
        <v>6705.5999999999995</v>
      </c>
      <c r="J107" s="1059" t="str">
        <f t="shared" si="12"/>
        <v>6000-7000</v>
      </c>
      <c r="K107" s="1060">
        <v>15.3</v>
      </c>
      <c r="L107" s="1060"/>
      <c r="M107" s="1061">
        <f t="shared" si="14"/>
        <v>0</v>
      </c>
      <c r="N107" s="1062">
        <f>M107*('Ввод исходных данных'!$D$83-K107)</f>
        <v>0</v>
      </c>
      <c r="O107" s="1063">
        <v>14.2</v>
      </c>
      <c r="P107" s="1063"/>
      <c r="Q107" s="1063">
        <f t="shared" si="15"/>
        <v>0</v>
      </c>
      <c r="R107" s="1063">
        <f>Q107*('Ввод исходных данных'!$D$83-O107)</f>
        <v>0</v>
      </c>
      <c r="S107" s="1064">
        <v>7.8</v>
      </c>
      <c r="T107" s="1064"/>
      <c r="U107" s="1064">
        <f t="shared" si="16"/>
        <v>21</v>
      </c>
      <c r="V107" s="1064">
        <f>U107*('Ввод исходных данных'!$D$83-S107)</f>
        <v>256.2</v>
      </c>
      <c r="W107" s="1065">
        <v>-1.7</v>
      </c>
      <c r="X107" s="1065"/>
      <c r="Y107" s="1065">
        <f t="shared" si="17"/>
        <v>31</v>
      </c>
      <c r="Z107" s="1065">
        <f>Y107*('Ввод исходных данных'!$D$83-W107)</f>
        <v>672.69999999999993</v>
      </c>
      <c r="AA107" s="1066">
        <v>-7.3</v>
      </c>
      <c r="AB107" s="1066"/>
      <c r="AC107" s="1066">
        <f t="shared" si="18"/>
        <v>30</v>
      </c>
      <c r="AD107" s="1066">
        <f>AC107*('Ввод исходных данных'!$D$83-AA107)</f>
        <v>819</v>
      </c>
      <c r="AE107" s="1067">
        <v>-13.5</v>
      </c>
      <c r="AF107" s="1067"/>
      <c r="AG107" s="1067">
        <v>31</v>
      </c>
      <c r="AH107" s="1067">
        <f>AG107*('Ввод исходных данных'!$D$83-AE107)</f>
        <v>1038.5</v>
      </c>
      <c r="AI107" s="1068">
        <v>-17.399999999999999</v>
      </c>
      <c r="AJ107" s="1068"/>
      <c r="AK107" s="1068">
        <v>31</v>
      </c>
      <c r="AL107" s="1068">
        <f>AK107*('Ввод исходных данных'!$D$83-AI107)</f>
        <v>1159.3999999999999</v>
      </c>
      <c r="AM107" s="1069">
        <v>-17</v>
      </c>
      <c r="AN107" s="1069"/>
      <c r="AO107" s="1069">
        <v>28</v>
      </c>
      <c r="AP107" s="1069">
        <f>AO107*('Ввод исходных данных'!$D$83-AM107)</f>
        <v>1036</v>
      </c>
      <c r="AQ107" s="1064">
        <v>-9.9</v>
      </c>
      <c r="AR107" s="1064"/>
      <c r="AS107" s="1064">
        <f t="shared" si="19"/>
        <v>31</v>
      </c>
      <c r="AT107" s="1064">
        <f>AS107*('Ввод исходных данных'!$D$83-AQ107)</f>
        <v>926.9</v>
      </c>
      <c r="AU107" s="1070">
        <v>-0.3</v>
      </c>
      <c r="AV107" s="1070"/>
      <c r="AW107" s="1070">
        <f t="shared" si="20"/>
        <v>30</v>
      </c>
      <c r="AX107" s="1070">
        <f>AW107*('Ввод исходных данных'!$D$83-AU107)</f>
        <v>609</v>
      </c>
      <c r="AY107" s="1071">
        <v>6</v>
      </c>
      <c r="AZ107" s="1071"/>
      <c r="BA107" s="1071">
        <f t="shared" si="21"/>
        <v>21</v>
      </c>
      <c r="BB107" s="1071">
        <f>BA107*('Ввод исходных данных'!$D$83-AY107)</f>
        <v>294</v>
      </c>
      <c r="BC107" s="1072">
        <v>11.8</v>
      </c>
      <c r="BD107" s="1072"/>
      <c r="BE107" s="1072">
        <f t="shared" si="13"/>
        <v>0</v>
      </c>
      <c r="BF107" s="1073">
        <f>BE107*('Ввод исходных данных'!$D$83-BC107)</f>
        <v>0</v>
      </c>
    </row>
    <row r="108" spans="2:58" ht="15.75" customHeight="1" x14ac:dyDescent="0.25">
      <c r="B108" s="1076" t="s">
        <v>71</v>
      </c>
      <c r="C108" s="1076" t="s">
        <v>86</v>
      </c>
      <c r="D108" s="1053" t="str">
        <f t="shared" si="11"/>
        <v>Иркутская областьТайшет</v>
      </c>
      <c r="E108" s="1054">
        <v>237</v>
      </c>
      <c r="F108" s="1055">
        <v>-8.1</v>
      </c>
      <c r="G108" s="1055">
        <v>-39</v>
      </c>
      <c r="H108" s="1057">
        <v>3.4</v>
      </c>
      <c r="I108" s="1058">
        <f>E108*('Ввод исходных данных'!$D$83-F108)</f>
        <v>6659.7000000000007</v>
      </c>
      <c r="J108" s="1059" t="str">
        <f t="shared" si="12"/>
        <v>6000-7000</v>
      </c>
      <c r="K108" s="1060">
        <v>18.399999999999999</v>
      </c>
      <c r="L108" s="1060"/>
      <c r="M108" s="1061">
        <f t="shared" si="14"/>
        <v>0</v>
      </c>
      <c r="N108" s="1062">
        <f>M108*('Ввод исходных данных'!$D$83-K108)</f>
        <v>0</v>
      </c>
      <c r="O108" s="1063">
        <v>15.2</v>
      </c>
      <c r="P108" s="1063"/>
      <c r="Q108" s="1063">
        <f t="shared" si="15"/>
        <v>0</v>
      </c>
      <c r="R108" s="1063">
        <f>Q108*('Ввод исходных данных'!$D$83-O108)</f>
        <v>0</v>
      </c>
      <c r="S108" s="1064">
        <v>8.4</v>
      </c>
      <c r="T108" s="1064"/>
      <c r="U108" s="1064">
        <f t="shared" si="16"/>
        <v>12.5</v>
      </c>
      <c r="V108" s="1064">
        <f>U108*('Ввод исходных данных'!$D$83-S108)</f>
        <v>145</v>
      </c>
      <c r="W108" s="1065">
        <v>0.5</v>
      </c>
      <c r="X108" s="1065"/>
      <c r="Y108" s="1065">
        <f t="shared" si="17"/>
        <v>31</v>
      </c>
      <c r="Z108" s="1065">
        <f>Y108*('Ввод исходных данных'!$D$83-W108)</f>
        <v>604.5</v>
      </c>
      <c r="AA108" s="1066">
        <v>-9.1</v>
      </c>
      <c r="AB108" s="1066"/>
      <c r="AC108" s="1066">
        <f t="shared" si="18"/>
        <v>30</v>
      </c>
      <c r="AD108" s="1066">
        <f>AC108*('Ввод исходных данных'!$D$83-AA108)</f>
        <v>873</v>
      </c>
      <c r="AE108" s="1067">
        <v>-16.7</v>
      </c>
      <c r="AF108" s="1067"/>
      <c r="AG108" s="1067">
        <v>31</v>
      </c>
      <c r="AH108" s="1067">
        <f>AG108*('Ввод исходных данных'!$D$83-AE108)</f>
        <v>1137.7</v>
      </c>
      <c r="AI108" s="1068">
        <v>-18.899999999999999</v>
      </c>
      <c r="AJ108" s="1068"/>
      <c r="AK108" s="1068">
        <v>31</v>
      </c>
      <c r="AL108" s="1068">
        <f>AK108*('Ввод исходных данных'!$D$83-AI108)</f>
        <v>1205.8999999999999</v>
      </c>
      <c r="AM108" s="1069">
        <v>-16.100000000000001</v>
      </c>
      <c r="AN108" s="1069"/>
      <c r="AO108" s="1069">
        <v>28</v>
      </c>
      <c r="AP108" s="1069">
        <f>AO108*('Ввод исходных данных'!$D$83-AM108)</f>
        <v>1010.8000000000001</v>
      </c>
      <c r="AQ108" s="1064">
        <v>-7.7</v>
      </c>
      <c r="AR108" s="1064"/>
      <c r="AS108" s="1064">
        <f t="shared" si="19"/>
        <v>31</v>
      </c>
      <c r="AT108" s="1064">
        <f>AS108*('Ввод исходных данных'!$D$83-AQ108)</f>
        <v>858.69999999999993</v>
      </c>
      <c r="AU108" s="1070">
        <v>1.3</v>
      </c>
      <c r="AV108" s="1070"/>
      <c r="AW108" s="1070">
        <f t="shared" si="20"/>
        <v>30</v>
      </c>
      <c r="AX108" s="1070">
        <f>AW108*('Ввод исходных данных'!$D$83-AU108)</f>
        <v>561</v>
      </c>
      <c r="AY108" s="1071">
        <v>9.3000000000000007</v>
      </c>
      <c r="AZ108" s="1071"/>
      <c r="BA108" s="1071">
        <f t="shared" si="21"/>
        <v>12.5</v>
      </c>
      <c r="BB108" s="1071">
        <f>BA108*('Ввод исходных данных'!$D$83-AY108)</f>
        <v>133.75</v>
      </c>
      <c r="BC108" s="1072">
        <v>15.9</v>
      </c>
      <c r="BD108" s="1072"/>
      <c r="BE108" s="1072">
        <f t="shared" si="13"/>
        <v>0</v>
      </c>
      <c r="BF108" s="1073">
        <f>BE108*('Ввод исходных данных'!$D$83-BC108)</f>
        <v>0</v>
      </c>
    </row>
    <row r="109" spans="2:58" ht="15.75" customHeight="1" x14ac:dyDescent="0.25">
      <c r="B109" s="1052" t="s">
        <v>71</v>
      </c>
      <c r="C109" s="1052" t="s">
        <v>87</v>
      </c>
      <c r="D109" s="1053" t="str">
        <f t="shared" si="11"/>
        <v>Иркутская областьТулун</v>
      </c>
      <c r="E109" s="1054">
        <v>241</v>
      </c>
      <c r="F109" s="1055">
        <v>-8.6</v>
      </c>
      <c r="G109" s="1055">
        <v>-39</v>
      </c>
      <c r="H109" s="1057">
        <v>2.4</v>
      </c>
      <c r="I109" s="1058">
        <f>E109*('Ввод исходных данных'!$D$83-F109)</f>
        <v>6892.6</v>
      </c>
      <c r="J109" s="1059" t="str">
        <f t="shared" si="12"/>
        <v>6000-7000</v>
      </c>
      <c r="K109" s="1060">
        <v>17.5</v>
      </c>
      <c r="L109" s="1060"/>
      <c r="M109" s="1061">
        <f t="shared" si="14"/>
        <v>0</v>
      </c>
      <c r="N109" s="1062">
        <f>M109*('Ввод исходных данных'!$D$83-K109)</f>
        <v>0</v>
      </c>
      <c r="O109" s="1063">
        <v>14.6</v>
      </c>
      <c r="P109" s="1063"/>
      <c r="Q109" s="1063">
        <f t="shared" si="15"/>
        <v>0</v>
      </c>
      <c r="R109" s="1063">
        <f>Q109*('Ввод исходных данных'!$D$83-O109)</f>
        <v>0</v>
      </c>
      <c r="S109" s="1064">
        <v>7.9</v>
      </c>
      <c r="T109" s="1064"/>
      <c r="U109" s="1064">
        <f t="shared" si="16"/>
        <v>14.5</v>
      </c>
      <c r="V109" s="1064">
        <f>U109*('Ввод исходных данных'!$D$83-S109)</f>
        <v>175.45</v>
      </c>
      <c r="W109" s="1065">
        <v>-0.2</v>
      </c>
      <c r="X109" s="1065"/>
      <c r="Y109" s="1065">
        <f t="shared" si="17"/>
        <v>31</v>
      </c>
      <c r="Z109" s="1065">
        <f>Y109*('Ввод исходных данных'!$D$83-W109)</f>
        <v>626.19999999999993</v>
      </c>
      <c r="AA109" s="1066">
        <v>-10.1</v>
      </c>
      <c r="AB109" s="1066"/>
      <c r="AC109" s="1066">
        <f t="shared" si="18"/>
        <v>30</v>
      </c>
      <c r="AD109" s="1066">
        <f>AC109*('Ввод исходных данных'!$D$83-AA109)</f>
        <v>903</v>
      </c>
      <c r="AE109" s="1067">
        <v>-17.8</v>
      </c>
      <c r="AF109" s="1067"/>
      <c r="AG109" s="1067">
        <v>31</v>
      </c>
      <c r="AH109" s="1067">
        <f>AG109*('Ввод исходных данных'!$D$83-AE109)</f>
        <v>1171.8</v>
      </c>
      <c r="AI109" s="1068">
        <v>-20.100000000000001</v>
      </c>
      <c r="AJ109" s="1068"/>
      <c r="AK109" s="1068">
        <v>31</v>
      </c>
      <c r="AL109" s="1068">
        <f>AK109*('Ввод исходных данных'!$D$83-AI109)</f>
        <v>1243.1000000000001</v>
      </c>
      <c r="AM109" s="1069">
        <v>-16.5</v>
      </c>
      <c r="AN109" s="1069"/>
      <c r="AO109" s="1069">
        <v>28</v>
      </c>
      <c r="AP109" s="1069">
        <f>AO109*('Ввод исходных данных'!$D$83-AM109)</f>
        <v>1022</v>
      </c>
      <c r="AQ109" s="1064">
        <v>-8.1999999999999993</v>
      </c>
      <c r="AR109" s="1064"/>
      <c r="AS109" s="1064">
        <f t="shared" si="19"/>
        <v>31</v>
      </c>
      <c r="AT109" s="1064">
        <f>AS109*('Ввод исходных данных'!$D$83-AQ109)</f>
        <v>874.19999999999993</v>
      </c>
      <c r="AU109" s="1070">
        <v>0.8</v>
      </c>
      <c r="AV109" s="1070"/>
      <c r="AW109" s="1070">
        <f t="shared" si="20"/>
        <v>30</v>
      </c>
      <c r="AX109" s="1070">
        <f>AW109*('Ввод исходных данных'!$D$83-AU109)</f>
        <v>576</v>
      </c>
      <c r="AY109" s="1071">
        <v>8.9</v>
      </c>
      <c r="AZ109" s="1071"/>
      <c r="BA109" s="1071">
        <f t="shared" si="21"/>
        <v>14.5</v>
      </c>
      <c r="BB109" s="1071">
        <f>BA109*('Ввод исходных данных'!$D$83-AY109)</f>
        <v>160.94999999999999</v>
      </c>
      <c r="BC109" s="1072">
        <v>15.1</v>
      </c>
      <c r="BD109" s="1072"/>
      <c r="BE109" s="1072">
        <f t="shared" si="13"/>
        <v>0</v>
      </c>
      <c r="BF109" s="1073">
        <f>BE109*('Ввод исходных данных'!$D$83-BC109)</f>
        <v>0</v>
      </c>
    </row>
    <row r="110" spans="2:58" ht="15.75" customHeight="1" x14ac:dyDescent="0.25">
      <c r="B110" s="1076" t="s">
        <v>71</v>
      </c>
      <c r="C110" s="1076" t="s">
        <v>644</v>
      </c>
      <c r="D110" s="1053" t="str">
        <f t="shared" si="11"/>
        <v>Иркутская областьУсть-Ордынский</v>
      </c>
      <c r="E110" s="1054">
        <v>243</v>
      </c>
      <c r="F110" s="1055">
        <v>-10.9</v>
      </c>
      <c r="G110" s="1055">
        <v>-41</v>
      </c>
      <c r="H110" s="1057">
        <v>2.25</v>
      </c>
      <c r="I110" s="1058">
        <f>E110*('Ввод исходных данных'!$D$83-F110)</f>
        <v>7508.7</v>
      </c>
      <c r="J110" s="1059" t="str">
        <f t="shared" si="12"/>
        <v>7000-8000</v>
      </c>
      <c r="K110" s="1060">
        <v>18</v>
      </c>
      <c r="L110" s="1060"/>
      <c r="M110" s="1061">
        <f t="shared" si="14"/>
        <v>0</v>
      </c>
      <c r="N110" s="1062">
        <f>M110*('Ввод исходных данных'!$D$83-K110)</f>
        <v>0</v>
      </c>
      <c r="O110" s="1063">
        <v>15.1</v>
      </c>
      <c r="P110" s="1063"/>
      <c r="Q110" s="1063">
        <f t="shared" si="15"/>
        <v>0</v>
      </c>
      <c r="R110" s="1063">
        <f>Q110*('Ввод исходных данных'!$D$83-O110)</f>
        <v>0</v>
      </c>
      <c r="S110" s="1064">
        <v>7.7</v>
      </c>
      <c r="T110" s="1064"/>
      <c r="U110" s="1064">
        <f t="shared" si="16"/>
        <v>15.5</v>
      </c>
      <c r="V110" s="1064">
        <f>U110*('Ввод исходных данных'!$D$83-S110)</f>
        <v>190.65</v>
      </c>
      <c r="W110" s="1065">
        <v>-0.8</v>
      </c>
      <c r="X110" s="1065"/>
      <c r="Y110" s="1065">
        <f t="shared" si="17"/>
        <v>31</v>
      </c>
      <c r="Z110" s="1065">
        <f>Y110*('Ввод исходных данных'!$D$83-W110)</f>
        <v>644.80000000000007</v>
      </c>
      <c r="AA110" s="1066">
        <v>-14.2</v>
      </c>
      <c r="AB110" s="1066"/>
      <c r="AC110" s="1066">
        <f t="shared" si="18"/>
        <v>30</v>
      </c>
      <c r="AD110" s="1066">
        <f>AC110*('Ввод исходных данных'!$D$83-AA110)</f>
        <v>1026</v>
      </c>
      <c r="AE110" s="1067">
        <v>-21.9</v>
      </c>
      <c r="AF110" s="1067"/>
      <c r="AG110" s="1067">
        <v>31</v>
      </c>
      <c r="AH110" s="1067">
        <f>AG110*('Ввод исходных данных'!$D$83-AE110)</f>
        <v>1298.8999999999999</v>
      </c>
      <c r="AI110" s="1068">
        <v>-24.8</v>
      </c>
      <c r="AJ110" s="1068"/>
      <c r="AK110" s="1068">
        <v>31</v>
      </c>
      <c r="AL110" s="1068">
        <f>AK110*('Ввод исходных данных'!$D$83-AI110)</f>
        <v>1388.8</v>
      </c>
      <c r="AM110" s="1069">
        <v>-22.3</v>
      </c>
      <c r="AN110" s="1069"/>
      <c r="AO110" s="1069">
        <v>28</v>
      </c>
      <c r="AP110" s="1069">
        <f>AO110*('Ввод исходных данных'!$D$83-AM110)</f>
        <v>1184.3999999999999</v>
      </c>
      <c r="AQ110" s="1064">
        <v>-12.5</v>
      </c>
      <c r="AR110" s="1064"/>
      <c r="AS110" s="1064">
        <f t="shared" si="19"/>
        <v>31</v>
      </c>
      <c r="AT110" s="1064">
        <f>AS110*('Ввод исходных данных'!$D$83-AQ110)</f>
        <v>1007.5</v>
      </c>
      <c r="AU110" s="1070">
        <v>0.6</v>
      </c>
      <c r="AV110" s="1070"/>
      <c r="AW110" s="1070">
        <f t="shared" si="20"/>
        <v>30</v>
      </c>
      <c r="AX110" s="1070">
        <f>AW110*('Ввод исходных данных'!$D$83-AU110)</f>
        <v>582</v>
      </c>
      <c r="AY110" s="1071">
        <v>8.1999999999999993</v>
      </c>
      <c r="AZ110" s="1071"/>
      <c r="BA110" s="1071">
        <f t="shared" si="21"/>
        <v>15.5</v>
      </c>
      <c r="BB110" s="1071">
        <f>BA110*('Ввод исходных данных'!$D$83-AY110)</f>
        <v>182.9</v>
      </c>
      <c r="BC110" s="1072">
        <v>15.6</v>
      </c>
      <c r="BD110" s="1072"/>
      <c r="BE110" s="1072">
        <f t="shared" si="13"/>
        <v>0</v>
      </c>
      <c r="BF110" s="1073">
        <f>BE110*('Ввод исходных данных'!$D$83-BC110)</f>
        <v>0</v>
      </c>
    </row>
    <row r="111" spans="2:58" ht="15.75" customHeight="1" x14ac:dyDescent="0.25">
      <c r="B111" s="1052" t="s">
        <v>614</v>
      </c>
      <c r="C111" s="1052" t="s">
        <v>99</v>
      </c>
      <c r="D111" s="1053" t="str">
        <f>CONCATENATE(B111,C111)</f>
        <v>Кабардино-Балкарская РеспубликаНальчик</v>
      </c>
      <c r="E111" s="1054">
        <v>168</v>
      </c>
      <c r="F111" s="1055">
        <v>0.6</v>
      </c>
      <c r="G111" s="1055">
        <v>-18</v>
      </c>
      <c r="H111" s="1057">
        <v>2.5</v>
      </c>
      <c r="I111" s="1058">
        <f>E111*('Ввод исходных данных'!$D$83-F111)</f>
        <v>3259.2</v>
      </c>
      <c r="J111" s="1059" t="str">
        <f t="shared" si="12"/>
        <v>3000-4000</v>
      </c>
      <c r="K111" s="1060">
        <v>21.6</v>
      </c>
      <c r="L111" s="1060"/>
      <c r="M111" s="1061">
        <f t="shared" si="14"/>
        <v>0</v>
      </c>
      <c r="N111" s="1062">
        <f>M111*('Ввод исходных данных'!$D$83-K111)</f>
        <v>0</v>
      </c>
      <c r="O111" s="1063">
        <v>21</v>
      </c>
      <c r="P111" s="1063"/>
      <c r="Q111" s="1063">
        <f t="shared" si="15"/>
        <v>0</v>
      </c>
      <c r="R111" s="1063">
        <f>Q111*('Ввод исходных данных'!$D$83-O111)</f>
        <v>0</v>
      </c>
      <c r="S111" s="1064">
        <v>16</v>
      </c>
      <c r="T111" s="1064"/>
      <c r="U111" s="1064">
        <f t="shared" si="16"/>
        <v>0</v>
      </c>
      <c r="V111" s="1064">
        <f>U111*('Ввод исходных данных'!$D$83-S111)</f>
        <v>0</v>
      </c>
      <c r="W111" s="1065">
        <v>9.4</v>
      </c>
      <c r="X111" s="1065"/>
      <c r="Y111" s="1065">
        <f t="shared" si="17"/>
        <v>8.5</v>
      </c>
      <c r="Z111" s="1065">
        <f>Y111*('Ввод исходных данных'!$D$83-W111)</f>
        <v>90.1</v>
      </c>
      <c r="AA111" s="1066">
        <v>3.8</v>
      </c>
      <c r="AB111" s="1066"/>
      <c r="AC111" s="1066">
        <f t="shared" si="18"/>
        <v>30</v>
      </c>
      <c r="AD111" s="1066">
        <f>AC111*('Ввод исходных данных'!$D$83-AA111)</f>
        <v>486</v>
      </c>
      <c r="AE111" s="1067">
        <v>-1.3</v>
      </c>
      <c r="AF111" s="1067"/>
      <c r="AG111" s="1067">
        <v>31</v>
      </c>
      <c r="AH111" s="1067">
        <f>AG111*('Ввод исходных данных'!$D$83-AE111)</f>
        <v>660.30000000000007</v>
      </c>
      <c r="AI111" s="1068">
        <v>-4</v>
      </c>
      <c r="AJ111" s="1068"/>
      <c r="AK111" s="1068">
        <v>31</v>
      </c>
      <c r="AL111" s="1068">
        <f>AK111*('Ввод исходных данных'!$D$83-AI111)</f>
        <v>744</v>
      </c>
      <c r="AM111" s="1069">
        <v>-2.8</v>
      </c>
      <c r="AN111" s="1069"/>
      <c r="AO111" s="1069">
        <v>28</v>
      </c>
      <c r="AP111" s="1069">
        <f>AO111*('Ввод исходных данных'!$D$83-AM111)</f>
        <v>638.4</v>
      </c>
      <c r="AQ111" s="1064">
        <v>1.8</v>
      </c>
      <c r="AR111" s="1064"/>
      <c r="AS111" s="1064">
        <f t="shared" si="19"/>
        <v>31</v>
      </c>
      <c r="AT111" s="1064">
        <f>AS111*('Ввод исходных данных'!$D$83-AQ111)</f>
        <v>564.19999999999993</v>
      </c>
      <c r="AU111" s="1070">
        <v>9.5</v>
      </c>
      <c r="AV111" s="1070"/>
      <c r="AW111" s="1070">
        <f t="shared" si="20"/>
        <v>8.5</v>
      </c>
      <c r="AX111" s="1070">
        <f>AW111*('Ввод исходных данных'!$D$83-AU111)</f>
        <v>89.25</v>
      </c>
      <c r="AY111" s="1071">
        <v>15.4</v>
      </c>
      <c r="AZ111" s="1071"/>
      <c r="BA111" s="1071">
        <f t="shared" si="21"/>
        <v>0</v>
      </c>
      <c r="BB111" s="1071">
        <f>BA111*('Ввод исходных данных'!$D$83-AY111)</f>
        <v>0</v>
      </c>
      <c r="BC111" s="1072">
        <v>19.100000000000001</v>
      </c>
      <c r="BD111" s="1072"/>
      <c r="BE111" s="1072">
        <f t="shared" si="13"/>
        <v>0</v>
      </c>
      <c r="BF111" s="1073">
        <f>BE111*('Ввод исходных данных'!$D$83-BC111)</f>
        <v>0</v>
      </c>
    </row>
    <row r="112" spans="2:58" ht="15.75" customHeight="1" x14ac:dyDescent="0.25">
      <c r="B112" s="1076" t="s">
        <v>100</v>
      </c>
      <c r="C112" s="1076" t="s">
        <v>101</v>
      </c>
      <c r="D112" s="1053" t="str">
        <f>CONCATENATE(B112,C112)</f>
        <v>Калининградская областьКалининград</v>
      </c>
      <c r="E112" s="1054">
        <v>188</v>
      </c>
      <c r="F112" s="1055">
        <v>1.2</v>
      </c>
      <c r="G112" s="1055">
        <v>-19</v>
      </c>
      <c r="H112" s="1057">
        <v>3.6</v>
      </c>
      <c r="I112" s="1058">
        <f>E112*('Ввод исходных данных'!$D$83-F112)</f>
        <v>3534.4</v>
      </c>
      <c r="J112" s="1059" t="str">
        <f t="shared" si="12"/>
        <v>3000-4000</v>
      </c>
      <c r="K112" s="1060">
        <v>17.7</v>
      </c>
      <c r="L112" s="1060"/>
      <c r="M112" s="1061">
        <f t="shared" si="14"/>
        <v>0</v>
      </c>
      <c r="N112" s="1062">
        <f>M112*('Ввод исходных данных'!$D$83-K112)</f>
        <v>0</v>
      </c>
      <c r="O112" s="1063">
        <v>17.3</v>
      </c>
      <c r="P112" s="1063"/>
      <c r="Q112" s="1063">
        <f t="shared" si="15"/>
        <v>0</v>
      </c>
      <c r="R112" s="1063">
        <f>Q112*('Ввод исходных данных'!$D$83-O112)</f>
        <v>0</v>
      </c>
      <c r="S112" s="1064">
        <v>12.9</v>
      </c>
      <c r="T112" s="1064"/>
      <c r="U112" s="1064">
        <f t="shared" si="16"/>
        <v>0</v>
      </c>
      <c r="V112" s="1064">
        <f>U112*('Ввод исходных данных'!$D$83-S112)</f>
        <v>0</v>
      </c>
      <c r="W112" s="1065">
        <v>8.3000000000000007</v>
      </c>
      <c r="X112" s="1065"/>
      <c r="Y112" s="1065">
        <f t="shared" si="17"/>
        <v>18.5</v>
      </c>
      <c r="Z112" s="1065">
        <f>Y112*('Ввод исходных данных'!$D$83-W112)</f>
        <v>216.45</v>
      </c>
      <c r="AA112" s="1066">
        <v>3.4</v>
      </c>
      <c r="AB112" s="1066"/>
      <c r="AC112" s="1066">
        <f t="shared" si="18"/>
        <v>30</v>
      </c>
      <c r="AD112" s="1066">
        <f>AC112*('Ввод исходных данных'!$D$83-AA112)</f>
        <v>498.00000000000006</v>
      </c>
      <c r="AE112" s="1067">
        <v>-0.4</v>
      </c>
      <c r="AF112" s="1067"/>
      <c r="AG112" s="1067">
        <v>31</v>
      </c>
      <c r="AH112" s="1067">
        <f>AG112*('Ввод исходных данных'!$D$83-AE112)</f>
        <v>632.4</v>
      </c>
      <c r="AI112" s="1068">
        <v>-2.2000000000000002</v>
      </c>
      <c r="AJ112" s="1068"/>
      <c r="AK112" s="1068">
        <v>31</v>
      </c>
      <c r="AL112" s="1068">
        <f>AK112*('Ввод исходных данных'!$D$83-AI112)</f>
        <v>688.19999999999993</v>
      </c>
      <c r="AM112" s="1069">
        <v>-1.7</v>
      </c>
      <c r="AN112" s="1069"/>
      <c r="AO112" s="1069">
        <v>28</v>
      </c>
      <c r="AP112" s="1069">
        <f>AO112*('Ввод исходных данных'!$D$83-AM112)</f>
        <v>607.6</v>
      </c>
      <c r="AQ112" s="1064">
        <v>1.7</v>
      </c>
      <c r="AR112" s="1064"/>
      <c r="AS112" s="1064">
        <f t="shared" si="19"/>
        <v>31</v>
      </c>
      <c r="AT112" s="1064">
        <f>AS112*('Ввод исходных данных'!$D$83-AQ112)</f>
        <v>567.30000000000007</v>
      </c>
      <c r="AU112" s="1070">
        <v>6.7</v>
      </c>
      <c r="AV112" s="1070"/>
      <c r="AW112" s="1070">
        <f t="shared" si="20"/>
        <v>18.5</v>
      </c>
      <c r="AX112" s="1070">
        <f>AW112*('Ввод исходных данных'!$D$83-AU112)</f>
        <v>246.05</v>
      </c>
      <c r="AY112" s="1071">
        <v>12.2</v>
      </c>
      <c r="AZ112" s="1071"/>
      <c r="BA112" s="1071">
        <f t="shared" si="21"/>
        <v>0</v>
      </c>
      <c r="BB112" s="1071">
        <f>BA112*('Ввод исходных данных'!$D$83-AY112)</f>
        <v>0</v>
      </c>
      <c r="BC112" s="1072">
        <v>15.6</v>
      </c>
      <c r="BD112" s="1072"/>
      <c r="BE112" s="1072">
        <f t="shared" si="13"/>
        <v>0</v>
      </c>
      <c r="BF112" s="1073">
        <f>BE112*('Ввод исходных данных'!$D$83-BC112)</f>
        <v>0</v>
      </c>
    </row>
    <row r="113" spans="2:58" ht="15.75" customHeight="1" x14ac:dyDescent="0.25">
      <c r="B113" s="1052" t="s">
        <v>102</v>
      </c>
      <c r="C113" s="1052" t="s">
        <v>103</v>
      </c>
      <c r="D113" s="1053" t="str">
        <f>CONCATENATE(B113,C113)</f>
        <v>Калужская областьКалуга</v>
      </c>
      <c r="E113" s="1054">
        <v>210</v>
      </c>
      <c r="F113" s="1055">
        <v>-2.9</v>
      </c>
      <c r="G113" s="1055">
        <v>-27</v>
      </c>
      <c r="H113" s="1057">
        <v>4.9000000000000004</v>
      </c>
      <c r="I113" s="1058">
        <f>E113*('Ввод исходных данных'!$D$83-F113)</f>
        <v>4809</v>
      </c>
      <c r="J113" s="1059" t="str">
        <f t="shared" si="12"/>
        <v>4000-5000</v>
      </c>
      <c r="K113" s="1060">
        <v>18</v>
      </c>
      <c r="L113" s="1060"/>
      <c r="M113" s="1061">
        <f t="shared" si="14"/>
        <v>0</v>
      </c>
      <c r="N113" s="1062">
        <f>M113*('Ввод исходных данных'!$D$83-K113)</f>
        <v>0</v>
      </c>
      <c r="O113" s="1063">
        <v>16.5</v>
      </c>
      <c r="P113" s="1063"/>
      <c r="Q113" s="1063">
        <f t="shared" si="15"/>
        <v>0</v>
      </c>
      <c r="R113" s="1063">
        <f>Q113*('Ввод исходных данных'!$D$83-O113)</f>
        <v>0</v>
      </c>
      <c r="S113" s="1064">
        <v>11</v>
      </c>
      <c r="T113" s="1064"/>
      <c r="U113" s="1064">
        <f t="shared" si="16"/>
        <v>0</v>
      </c>
      <c r="V113" s="1064">
        <f>U113*('Ввод исходных данных'!$D$83-S113)</f>
        <v>0</v>
      </c>
      <c r="W113" s="1065">
        <v>4.7</v>
      </c>
      <c r="X113" s="1065"/>
      <c r="Y113" s="1065">
        <f t="shared" si="17"/>
        <v>29.5</v>
      </c>
      <c r="Z113" s="1065">
        <f>Y113*('Ввод исходных данных'!$D$83-W113)</f>
        <v>451.35</v>
      </c>
      <c r="AA113" s="1066">
        <v>-1.5</v>
      </c>
      <c r="AB113" s="1066"/>
      <c r="AC113" s="1066">
        <f t="shared" si="18"/>
        <v>30</v>
      </c>
      <c r="AD113" s="1066">
        <f>AC113*('Ввод исходных данных'!$D$83-AA113)</f>
        <v>645</v>
      </c>
      <c r="AE113" s="1067">
        <v>-6.5</v>
      </c>
      <c r="AF113" s="1067"/>
      <c r="AG113" s="1067">
        <v>31</v>
      </c>
      <c r="AH113" s="1067">
        <f>AG113*('Ввод исходных данных'!$D$83-AE113)</f>
        <v>821.5</v>
      </c>
      <c r="AI113" s="1068">
        <v>-10.1</v>
      </c>
      <c r="AJ113" s="1068"/>
      <c r="AK113" s="1068">
        <v>31</v>
      </c>
      <c r="AL113" s="1068">
        <f>AK113*('Ввод исходных данных'!$D$83-AI113)</f>
        <v>933.1</v>
      </c>
      <c r="AM113" s="1069">
        <v>-8.9</v>
      </c>
      <c r="AN113" s="1069"/>
      <c r="AO113" s="1069">
        <v>28</v>
      </c>
      <c r="AP113" s="1069">
        <f>AO113*('Ввод исходных данных'!$D$83-AM113)</f>
        <v>809.19999999999993</v>
      </c>
      <c r="AQ113" s="1064">
        <v>-3.9</v>
      </c>
      <c r="AR113" s="1064"/>
      <c r="AS113" s="1064">
        <f t="shared" si="19"/>
        <v>31</v>
      </c>
      <c r="AT113" s="1064">
        <f>AS113*('Ввод исходных данных'!$D$83-AQ113)</f>
        <v>740.9</v>
      </c>
      <c r="AU113" s="1070">
        <v>4.8</v>
      </c>
      <c r="AV113" s="1070"/>
      <c r="AW113" s="1070">
        <f t="shared" si="20"/>
        <v>29.5</v>
      </c>
      <c r="AX113" s="1070">
        <f>AW113*('Ввод исходных данных'!$D$83-AU113)</f>
        <v>448.4</v>
      </c>
      <c r="AY113" s="1071">
        <v>12.3</v>
      </c>
      <c r="AZ113" s="1071"/>
      <c r="BA113" s="1071">
        <f t="shared" si="21"/>
        <v>0</v>
      </c>
      <c r="BB113" s="1071">
        <f>BA113*('Ввод исходных данных'!$D$83-AY113)</f>
        <v>0</v>
      </c>
      <c r="BC113" s="1072">
        <v>16.2</v>
      </c>
      <c r="BD113" s="1072"/>
      <c r="BE113" s="1072">
        <f t="shared" si="13"/>
        <v>0</v>
      </c>
      <c r="BF113" s="1073">
        <f>BE113*('Ввод исходных данных'!$D$83-BC113)</f>
        <v>0</v>
      </c>
    </row>
    <row r="114" spans="2:58" ht="15.75" customHeight="1" x14ac:dyDescent="0.25">
      <c r="B114" s="1076" t="s">
        <v>615</v>
      </c>
      <c r="C114" s="1076" t="s">
        <v>645</v>
      </c>
      <c r="D114" s="1053" t="str">
        <f>CONCATENATE(B114,C114)</f>
        <v>Камчатская областьАпука</v>
      </c>
      <c r="E114" s="1054">
        <v>286</v>
      </c>
      <c r="F114" s="1055">
        <v>-5.8</v>
      </c>
      <c r="G114" s="1055">
        <v>-28</v>
      </c>
      <c r="H114" s="1057">
        <v>8.5</v>
      </c>
      <c r="I114" s="1058">
        <f>E114*('Ввод исходных данных'!$D$83-F114)</f>
        <v>7378.8</v>
      </c>
      <c r="J114" s="1059" t="str">
        <f t="shared" si="12"/>
        <v>7000-8000</v>
      </c>
      <c r="K114" s="1060">
        <v>10.199999999999999</v>
      </c>
      <c r="L114" s="1060"/>
      <c r="M114" s="1061">
        <f t="shared" si="14"/>
        <v>0</v>
      </c>
      <c r="N114" s="1062">
        <f>M114*('Ввод исходных данных'!$D$83-K114)</f>
        <v>0</v>
      </c>
      <c r="O114" s="1063">
        <v>10.7</v>
      </c>
      <c r="P114" s="1063"/>
      <c r="Q114" s="1063">
        <f t="shared" si="15"/>
        <v>6.5</v>
      </c>
      <c r="R114" s="1063">
        <f>Q114*('Ввод исходных данных'!$D$83-O114)</f>
        <v>60.45</v>
      </c>
      <c r="S114" s="1064">
        <v>7</v>
      </c>
      <c r="T114" s="1064"/>
      <c r="U114" s="1064">
        <f t="shared" si="16"/>
        <v>30</v>
      </c>
      <c r="V114" s="1064">
        <f>U114*('Ввод исходных данных'!$D$83-S114)</f>
        <v>390</v>
      </c>
      <c r="W114" s="1065">
        <v>-0.6</v>
      </c>
      <c r="X114" s="1065"/>
      <c r="Y114" s="1065">
        <f t="shared" si="17"/>
        <v>31</v>
      </c>
      <c r="Z114" s="1065">
        <f>Y114*('Ввод исходных данных'!$D$83-W114)</f>
        <v>638.6</v>
      </c>
      <c r="AA114" s="1066">
        <v>-7.6</v>
      </c>
      <c r="AB114" s="1066"/>
      <c r="AC114" s="1066">
        <f t="shared" si="18"/>
        <v>30</v>
      </c>
      <c r="AD114" s="1066">
        <f>AC114*('Ввод исходных данных'!$D$83-AA114)</f>
        <v>828</v>
      </c>
      <c r="AE114" s="1067">
        <v>-12</v>
      </c>
      <c r="AF114" s="1067"/>
      <c r="AG114" s="1067">
        <v>31</v>
      </c>
      <c r="AH114" s="1067">
        <f>AG114*('Ввод исходных данных'!$D$83-AE114)</f>
        <v>992</v>
      </c>
      <c r="AI114" s="1068">
        <v>-12.4</v>
      </c>
      <c r="AJ114" s="1068"/>
      <c r="AK114" s="1068">
        <v>31</v>
      </c>
      <c r="AL114" s="1068">
        <f>AK114*('Ввод исходных данных'!$D$83-AI114)</f>
        <v>1004.4</v>
      </c>
      <c r="AM114" s="1069">
        <v>-12.7</v>
      </c>
      <c r="AN114" s="1069"/>
      <c r="AO114" s="1069">
        <v>28</v>
      </c>
      <c r="AP114" s="1069">
        <f>AO114*('Ввод исходных данных'!$D$83-AM114)</f>
        <v>915.60000000000014</v>
      </c>
      <c r="AQ114" s="1064">
        <v>-11</v>
      </c>
      <c r="AR114" s="1064"/>
      <c r="AS114" s="1064">
        <f t="shared" si="19"/>
        <v>31</v>
      </c>
      <c r="AT114" s="1064">
        <f>AS114*('Ввод исходных данных'!$D$83-AQ114)</f>
        <v>961</v>
      </c>
      <c r="AU114" s="1070">
        <v>-6.4</v>
      </c>
      <c r="AV114" s="1070"/>
      <c r="AW114" s="1070">
        <f t="shared" si="20"/>
        <v>30</v>
      </c>
      <c r="AX114" s="1070">
        <f>AW114*('Ввод исходных данных'!$D$83-AU114)</f>
        <v>792</v>
      </c>
      <c r="AY114" s="1071">
        <v>1</v>
      </c>
      <c r="AZ114" s="1071"/>
      <c r="BA114" s="1071">
        <f t="shared" si="21"/>
        <v>31</v>
      </c>
      <c r="BB114" s="1071">
        <f>BA114*('Ввод исходных данных'!$D$83-AY114)</f>
        <v>589</v>
      </c>
      <c r="BC114" s="1072">
        <v>6.7</v>
      </c>
      <c r="BD114" s="1072"/>
      <c r="BE114" s="1072">
        <f t="shared" si="13"/>
        <v>6.5</v>
      </c>
      <c r="BF114" s="1073">
        <f>BE114*('Ввод исходных данных'!$D$83-BC114)</f>
        <v>86.45</v>
      </c>
    </row>
    <row r="115" spans="2:58" ht="15.75" customHeight="1" x14ac:dyDescent="0.25">
      <c r="B115" s="1052" t="s">
        <v>615</v>
      </c>
      <c r="C115" s="1052" t="s">
        <v>646</v>
      </c>
      <c r="D115" s="1053" t="str">
        <f>CONCATENATE(B115,C115)</f>
        <v>Камчатская областьИча</v>
      </c>
      <c r="E115" s="1054">
        <v>276</v>
      </c>
      <c r="F115" s="1055">
        <v>-4.0999999999999996</v>
      </c>
      <c r="G115" s="1055">
        <v>-26</v>
      </c>
      <c r="H115" s="1057">
        <v>4.2</v>
      </c>
      <c r="I115" s="1058">
        <f>E115*('Ввод исходных данных'!$D$83-F115)</f>
        <v>6651.6</v>
      </c>
      <c r="J115" s="1059" t="str">
        <f t="shared" si="12"/>
        <v>6000-7000</v>
      </c>
      <c r="K115" s="1060">
        <v>10.7</v>
      </c>
      <c r="L115" s="1060"/>
      <c r="M115" s="1061">
        <f t="shared" si="14"/>
        <v>0</v>
      </c>
      <c r="N115" s="1062">
        <f>M115*('Ввод исходных данных'!$D$83-K115)</f>
        <v>0</v>
      </c>
      <c r="O115" s="1063">
        <v>11.6</v>
      </c>
      <c r="P115" s="1063"/>
      <c r="Q115" s="1063">
        <f t="shared" si="15"/>
        <v>1.5</v>
      </c>
      <c r="R115" s="1063">
        <f>Q115*('Ввод исходных данных'!$D$83-O115)</f>
        <v>12.600000000000001</v>
      </c>
      <c r="S115" s="1064">
        <v>8.8000000000000007</v>
      </c>
      <c r="T115" s="1064"/>
      <c r="U115" s="1064">
        <f t="shared" si="16"/>
        <v>30</v>
      </c>
      <c r="V115" s="1064">
        <f>U115*('Ввод исходных данных'!$D$83-S115)</f>
        <v>336</v>
      </c>
      <c r="W115" s="1065">
        <v>3.7</v>
      </c>
      <c r="X115" s="1065"/>
      <c r="Y115" s="1065">
        <f t="shared" si="17"/>
        <v>31</v>
      </c>
      <c r="Z115" s="1065">
        <f>Y115*('Ввод исходных данных'!$D$83-W115)</f>
        <v>505.3</v>
      </c>
      <c r="AA115" s="1066">
        <v>-3.5</v>
      </c>
      <c r="AB115" s="1066"/>
      <c r="AC115" s="1066">
        <f t="shared" si="18"/>
        <v>30</v>
      </c>
      <c r="AD115" s="1066">
        <f>AC115*('Ввод исходных данных'!$D$83-AA115)</f>
        <v>705</v>
      </c>
      <c r="AE115" s="1067">
        <v>-9.3000000000000007</v>
      </c>
      <c r="AF115" s="1067"/>
      <c r="AG115" s="1067">
        <v>31</v>
      </c>
      <c r="AH115" s="1067">
        <f>AG115*('Ввод исходных данных'!$D$83-AE115)</f>
        <v>908.30000000000007</v>
      </c>
      <c r="AI115" s="1068">
        <v>-12.3</v>
      </c>
      <c r="AJ115" s="1068"/>
      <c r="AK115" s="1068">
        <v>31</v>
      </c>
      <c r="AL115" s="1068">
        <f>AK115*('Ввод исходных данных'!$D$83-AI115)</f>
        <v>1001.3</v>
      </c>
      <c r="AM115" s="1069">
        <v>-12.3</v>
      </c>
      <c r="AN115" s="1069"/>
      <c r="AO115" s="1069">
        <v>28</v>
      </c>
      <c r="AP115" s="1069">
        <f>AO115*('Ввод исходных данных'!$D$83-AM115)</f>
        <v>904.39999999999986</v>
      </c>
      <c r="AQ115" s="1064">
        <v>-8.6</v>
      </c>
      <c r="AR115" s="1064"/>
      <c r="AS115" s="1064">
        <f t="shared" si="19"/>
        <v>31</v>
      </c>
      <c r="AT115" s="1064">
        <f>AS115*('Ввод исходных данных'!$D$83-AQ115)</f>
        <v>886.6</v>
      </c>
      <c r="AU115" s="1070">
        <v>-2.8</v>
      </c>
      <c r="AV115" s="1070"/>
      <c r="AW115" s="1070">
        <f t="shared" si="20"/>
        <v>30</v>
      </c>
      <c r="AX115" s="1070">
        <f>AW115*('Ввод исходных данных'!$D$83-AU115)</f>
        <v>684</v>
      </c>
      <c r="AY115" s="1071">
        <v>2.2999999999999998</v>
      </c>
      <c r="AZ115" s="1071"/>
      <c r="BA115" s="1071">
        <f t="shared" si="21"/>
        <v>31</v>
      </c>
      <c r="BB115" s="1071">
        <f>BA115*('Ввод исходных данных'!$D$83-AY115)</f>
        <v>548.69999999999993</v>
      </c>
      <c r="BC115" s="1072">
        <v>6.7</v>
      </c>
      <c r="BD115" s="1072"/>
      <c r="BE115" s="1072">
        <f t="shared" si="13"/>
        <v>1.5</v>
      </c>
      <c r="BF115" s="1073">
        <f>BE115*('Ввод исходных данных'!$D$83-BC115)</f>
        <v>19.950000000000003</v>
      </c>
    </row>
    <row r="116" spans="2:58" ht="15.75" customHeight="1" x14ac:dyDescent="0.25">
      <c r="B116" s="1076" t="s">
        <v>615</v>
      </c>
      <c r="C116" s="1076" t="s">
        <v>104</v>
      </c>
      <c r="D116" s="1053" t="str">
        <f t="shared" si="11"/>
        <v>Камчатская областьКлючи</v>
      </c>
      <c r="E116" s="1054">
        <v>251</v>
      </c>
      <c r="F116" s="1055">
        <v>-6.6</v>
      </c>
      <c r="G116" s="1055">
        <v>-33</v>
      </c>
      <c r="H116" s="1057">
        <v>3.9</v>
      </c>
      <c r="I116" s="1058">
        <f>E116*('Ввод исходных данных'!$D$83-F116)</f>
        <v>6676.6</v>
      </c>
      <c r="J116" s="1059" t="str">
        <f t="shared" si="12"/>
        <v>6000-7000</v>
      </c>
      <c r="K116" s="1060">
        <v>15.1</v>
      </c>
      <c r="L116" s="1060"/>
      <c r="M116" s="1061">
        <f t="shared" si="14"/>
        <v>0</v>
      </c>
      <c r="N116" s="1062">
        <f>M116*('Ввод исходных данных'!$D$83-K116)</f>
        <v>0</v>
      </c>
      <c r="O116" s="1063">
        <v>13.8</v>
      </c>
      <c r="P116" s="1063"/>
      <c r="Q116" s="1063">
        <f t="shared" si="15"/>
        <v>0</v>
      </c>
      <c r="R116" s="1063">
        <f>Q116*('Ввод исходных данных'!$D$83-O116)</f>
        <v>0</v>
      </c>
      <c r="S116" s="1064">
        <v>9</v>
      </c>
      <c r="T116" s="1064"/>
      <c r="U116" s="1064">
        <f t="shared" si="16"/>
        <v>19.5</v>
      </c>
      <c r="V116" s="1064">
        <f>U116*('Ввод исходных данных'!$D$83-S116)</f>
        <v>214.5</v>
      </c>
      <c r="W116" s="1065">
        <v>2.4</v>
      </c>
      <c r="X116" s="1065"/>
      <c r="Y116" s="1065">
        <f t="shared" si="17"/>
        <v>31</v>
      </c>
      <c r="Z116" s="1065">
        <f>Y116*('Ввод исходных данных'!$D$83-W116)</f>
        <v>545.6</v>
      </c>
      <c r="AA116" s="1066">
        <v>-6.6</v>
      </c>
      <c r="AB116" s="1066"/>
      <c r="AC116" s="1066">
        <f t="shared" si="18"/>
        <v>30</v>
      </c>
      <c r="AD116" s="1066">
        <f>AC116*('Ввод исходных данных'!$D$83-AA116)</f>
        <v>798</v>
      </c>
      <c r="AE116" s="1067">
        <v>-14.2</v>
      </c>
      <c r="AF116" s="1067"/>
      <c r="AG116" s="1067">
        <v>31</v>
      </c>
      <c r="AH116" s="1067">
        <f>AG116*('Ввод исходных данных'!$D$83-AE116)</f>
        <v>1060.2</v>
      </c>
      <c r="AI116" s="1068">
        <v>-16.2</v>
      </c>
      <c r="AJ116" s="1068"/>
      <c r="AK116" s="1068">
        <v>31</v>
      </c>
      <c r="AL116" s="1068">
        <f>AK116*('Ввод исходных данных'!$D$83-AI116)</f>
        <v>1122.2</v>
      </c>
      <c r="AM116" s="1069">
        <v>-13.6</v>
      </c>
      <c r="AN116" s="1069"/>
      <c r="AO116" s="1069">
        <v>28</v>
      </c>
      <c r="AP116" s="1069">
        <f>AO116*('Ввод исходных данных'!$D$83-AM116)</f>
        <v>940.80000000000007</v>
      </c>
      <c r="AQ116" s="1064">
        <v>-8.6999999999999993</v>
      </c>
      <c r="AR116" s="1064"/>
      <c r="AS116" s="1064">
        <f t="shared" si="19"/>
        <v>31</v>
      </c>
      <c r="AT116" s="1064">
        <f>AS116*('Ввод исходных данных'!$D$83-AQ116)</f>
        <v>889.69999999999993</v>
      </c>
      <c r="AU116" s="1070">
        <v>-2.1</v>
      </c>
      <c r="AV116" s="1070"/>
      <c r="AW116" s="1070">
        <f t="shared" si="20"/>
        <v>30</v>
      </c>
      <c r="AX116" s="1070">
        <f>AW116*('Ввод исходных данных'!$D$83-AU116)</f>
        <v>663</v>
      </c>
      <c r="AY116" s="1071">
        <v>4.8</v>
      </c>
      <c r="AZ116" s="1071"/>
      <c r="BA116" s="1071">
        <f t="shared" si="21"/>
        <v>19.5</v>
      </c>
      <c r="BB116" s="1071">
        <f>BA116*('Ввод исходных данных'!$D$83-AY116)</f>
        <v>296.39999999999998</v>
      </c>
      <c r="BC116" s="1072">
        <v>11.8</v>
      </c>
      <c r="BD116" s="1072"/>
      <c r="BE116" s="1072">
        <f t="shared" si="13"/>
        <v>0</v>
      </c>
      <c r="BF116" s="1073">
        <f>BE116*('Ввод исходных данных'!$D$83-BC116)</f>
        <v>0</v>
      </c>
    </row>
    <row r="117" spans="2:58" ht="15.75" customHeight="1" x14ac:dyDescent="0.25">
      <c r="B117" s="1052" t="s">
        <v>615</v>
      </c>
      <c r="C117" s="1052" t="s">
        <v>105</v>
      </c>
      <c r="D117" s="1053" t="str">
        <f t="shared" si="11"/>
        <v>Камчатская областьКозыревск</v>
      </c>
      <c r="E117" s="1054">
        <v>256</v>
      </c>
      <c r="F117" s="1055">
        <v>-7.3</v>
      </c>
      <c r="G117" s="1055">
        <v>-37</v>
      </c>
      <c r="H117" s="1057">
        <f>H116</f>
        <v>3.9</v>
      </c>
      <c r="I117" s="1058">
        <f>E117*('Ввод исходных данных'!$D$83-F117)</f>
        <v>6988.8</v>
      </c>
      <c r="J117" s="1059" t="str">
        <f t="shared" si="12"/>
        <v>6000-7000</v>
      </c>
      <c r="K117" s="1060">
        <v>14.9</v>
      </c>
      <c r="L117" s="1060"/>
      <c r="M117" s="1061">
        <f t="shared" si="14"/>
        <v>0</v>
      </c>
      <c r="N117" s="1062">
        <f>M117*('Ввод исходных данных'!$D$83-K117)</f>
        <v>0</v>
      </c>
      <c r="O117" s="1063">
        <v>13.6</v>
      </c>
      <c r="P117" s="1063"/>
      <c r="Q117" s="1063">
        <f t="shared" si="15"/>
        <v>0</v>
      </c>
      <c r="R117" s="1063">
        <f>Q117*('Ввод исходных данных'!$D$83-O117)</f>
        <v>0</v>
      </c>
      <c r="S117" s="1064">
        <v>8.1</v>
      </c>
      <c r="T117" s="1064"/>
      <c r="U117" s="1064">
        <f t="shared" si="16"/>
        <v>22</v>
      </c>
      <c r="V117" s="1064">
        <f>U117*('Ввод исходных данных'!$D$83-S117)</f>
        <v>261.8</v>
      </c>
      <c r="W117" s="1065">
        <v>0.4</v>
      </c>
      <c r="X117" s="1065"/>
      <c r="Y117" s="1065">
        <f t="shared" si="17"/>
        <v>31</v>
      </c>
      <c r="Z117" s="1065">
        <f>Y117*('Ввод исходных данных'!$D$83-W117)</f>
        <v>607.6</v>
      </c>
      <c r="AA117" s="1066">
        <v>-9.8000000000000007</v>
      </c>
      <c r="AB117" s="1066"/>
      <c r="AC117" s="1066">
        <f t="shared" si="18"/>
        <v>30</v>
      </c>
      <c r="AD117" s="1066">
        <f>AC117*('Ввод исходных данных'!$D$83-AA117)</f>
        <v>894</v>
      </c>
      <c r="AE117" s="1067">
        <v>-16.7</v>
      </c>
      <c r="AF117" s="1067"/>
      <c r="AG117" s="1067">
        <v>31</v>
      </c>
      <c r="AH117" s="1067">
        <f>AG117*('Ввод исходных данных'!$D$83-AE117)</f>
        <v>1137.7</v>
      </c>
      <c r="AI117" s="1068">
        <v>-17.899999999999999</v>
      </c>
      <c r="AJ117" s="1068"/>
      <c r="AK117" s="1068">
        <v>31</v>
      </c>
      <c r="AL117" s="1068">
        <f>AK117*('Ввод исходных данных'!$D$83-AI117)</f>
        <v>1174.8999999999999</v>
      </c>
      <c r="AM117" s="1069">
        <v>-15.1</v>
      </c>
      <c r="AN117" s="1069"/>
      <c r="AO117" s="1069">
        <v>28</v>
      </c>
      <c r="AP117" s="1069">
        <f>AO117*('Ввод исходных данных'!$D$83-AM117)</f>
        <v>982.80000000000007</v>
      </c>
      <c r="AQ117" s="1064">
        <v>-10.199999999999999</v>
      </c>
      <c r="AR117" s="1064"/>
      <c r="AS117" s="1064">
        <f t="shared" si="19"/>
        <v>31</v>
      </c>
      <c r="AT117" s="1064">
        <f>AS117*('Ввод исходных данных'!$D$83-AQ117)</f>
        <v>936.19999999999993</v>
      </c>
      <c r="AU117" s="1070">
        <v>-2.1</v>
      </c>
      <c r="AV117" s="1070"/>
      <c r="AW117" s="1070">
        <f t="shared" si="20"/>
        <v>30</v>
      </c>
      <c r="AX117" s="1070">
        <f>AW117*('Ввод исходных данных'!$D$83-AU117)</f>
        <v>663</v>
      </c>
      <c r="AY117" s="1071">
        <v>5.0999999999999996</v>
      </c>
      <c r="AZ117" s="1071"/>
      <c r="BA117" s="1071">
        <f t="shared" si="21"/>
        <v>22</v>
      </c>
      <c r="BB117" s="1071">
        <f>BA117*('Ввод исходных данных'!$D$83-AY117)</f>
        <v>327.8</v>
      </c>
      <c r="BC117" s="1072">
        <v>11.5</v>
      </c>
      <c r="BD117" s="1072"/>
      <c r="BE117" s="1072">
        <f t="shared" si="13"/>
        <v>0</v>
      </c>
      <c r="BF117" s="1073">
        <f>BE117*('Ввод исходных данных'!$D$83-BC117)</f>
        <v>0</v>
      </c>
    </row>
    <row r="118" spans="2:58" ht="15.75" customHeight="1" x14ac:dyDescent="0.25">
      <c r="B118" s="1076" t="s">
        <v>615</v>
      </c>
      <c r="C118" s="1076" t="s">
        <v>647</v>
      </c>
      <c r="D118" s="1053" t="str">
        <f t="shared" si="11"/>
        <v xml:space="preserve">Камчатская областьКорф </v>
      </c>
      <c r="E118" s="1054">
        <v>270</v>
      </c>
      <c r="F118" s="1055">
        <v>-7.1</v>
      </c>
      <c r="G118" s="1055">
        <v>-29</v>
      </c>
      <c r="H118" s="1057">
        <v>5.8</v>
      </c>
      <c r="I118" s="1058">
        <f>E118*('Ввод исходных данных'!$D$83-F118)</f>
        <v>7317</v>
      </c>
      <c r="J118" s="1059" t="str">
        <f t="shared" si="12"/>
        <v>7000-8000</v>
      </c>
      <c r="K118" s="1060">
        <v>12.1</v>
      </c>
      <c r="L118" s="1060"/>
      <c r="M118" s="1061">
        <f t="shared" si="14"/>
        <v>0</v>
      </c>
      <c r="N118" s="1062">
        <f>M118*('Ввод исходных данных'!$D$83-K118)</f>
        <v>0</v>
      </c>
      <c r="O118" s="1063">
        <v>12.2</v>
      </c>
      <c r="P118" s="1063"/>
      <c r="Q118" s="1063">
        <f t="shared" si="15"/>
        <v>0</v>
      </c>
      <c r="R118" s="1063">
        <f>Q118*('Ввод исходных данных'!$D$83-O118)</f>
        <v>0</v>
      </c>
      <c r="S118" s="1064">
        <v>7.9</v>
      </c>
      <c r="T118" s="1064"/>
      <c r="U118" s="1064">
        <f t="shared" si="16"/>
        <v>29</v>
      </c>
      <c r="V118" s="1064">
        <f>U118*('Ввод исходных данных'!$D$83-S118)</f>
        <v>350.9</v>
      </c>
      <c r="W118" s="1065">
        <v>-0.3</v>
      </c>
      <c r="X118" s="1065"/>
      <c r="Y118" s="1065">
        <f t="shared" si="17"/>
        <v>31</v>
      </c>
      <c r="Z118" s="1065">
        <f>Y118*('Ввод исходных данных'!$D$83-W118)</f>
        <v>629.30000000000007</v>
      </c>
      <c r="AA118" s="1066">
        <v>-8.8000000000000007</v>
      </c>
      <c r="AB118" s="1066"/>
      <c r="AC118" s="1066">
        <f t="shared" si="18"/>
        <v>30</v>
      </c>
      <c r="AD118" s="1066">
        <f>AC118*('Ввод исходных данных'!$D$83-AA118)</f>
        <v>864</v>
      </c>
      <c r="AE118" s="1067">
        <v>-13.8</v>
      </c>
      <c r="AF118" s="1067"/>
      <c r="AG118" s="1067">
        <v>31</v>
      </c>
      <c r="AH118" s="1067">
        <f>AG118*('Ввод исходных данных'!$D$83-AE118)</f>
        <v>1047.8</v>
      </c>
      <c r="AI118" s="1068">
        <v>-14.3</v>
      </c>
      <c r="AJ118" s="1068"/>
      <c r="AK118" s="1068">
        <v>31</v>
      </c>
      <c r="AL118" s="1068">
        <f>AK118*('Ввод исходных данных'!$D$83-AI118)</f>
        <v>1063.3</v>
      </c>
      <c r="AM118" s="1069">
        <v>-14.1</v>
      </c>
      <c r="AN118" s="1069"/>
      <c r="AO118" s="1069">
        <v>28</v>
      </c>
      <c r="AP118" s="1069">
        <f>AO118*('Ввод исходных данных'!$D$83-AM118)</f>
        <v>954.80000000000007</v>
      </c>
      <c r="AQ118" s="1064">
        <v>-11.4</v>
      </c>
      <c r="AR118" s="1064"/>
      <c r="AS118" s="1064">
        <f t="shared" si="19"/>
        <v>31</v>
      </c>
      <c r="AT118" s="1064">
        <f>AS118*('Ввод исходных данных'!$D$83-AQ118)</f>
        <v>973.4</v>
      </c>
      <c r="AU118" s="1070">
        <v>-6.4</v>
      </c>
      <c r="AV118" s="1070"/>
      <c r="AW118" s="1070">
        <f t="shared" si="20"/>
        <v>30</v>
      </c>
      <c r="AX118" s="1070">
        <f>AW118*('Ввод исходных данных'!$D$83-AU118)</f>
        <v>792</v>
      </c>
      <c r="AY118" s="1071">
        <v>1.8</v>
      </c>
      <c r="AZ118" s="1071"/>
      <c r="BA118" s="1071">
        <f t="shared" si="21"/>
        <v>29</v>
      </c>
      <c r="BB118" s="1071">
        <f>BA118*('Ввод исходных данных'!$D$83-AY118)</f>
        <v>527.79999999999995</v>
      </c>
      <c r="BC118" s="1072">
        <v>8.5</v>
      </c>
      <c r="BD118" s="1072"/>
      <c r="BE118" s="1072">
        <f t="shared" si="13"/>
        <v>0</v>
      </c>
      <c r="BF118" s="1073">
        <f>BE118*('Ввод исходных данных'!$D$83-BC118)</f>
        <v>0</v>
      </c>
    </row>
    <row r="119" spans="2:58" ht="15.75" customHeight="1" x14ac:dyDescent="0.25">
      <c r="B119" s="1052" t="s">
        <v>615</v>
      </c>
      <c r="C119" s="1052" t="s">
        <v>106</v>
      </c>
      <c r="D119" s="1053" t="str">
        <f t="shared" si="11"/>
        <v>Камчатская областьКроноки</v>
      </c>
      <c r="E119" s="1054">
        <v>280</v>
      </c>
      <c r="F119" s="1055">
        <v>-2.2000000000000002</v>
      </c>
      <c r="G119" s="1055">
        <v>-20</v>
      </c>
      <c r="H119" s="1057">
        <f>H122</f>
        <v>2.8</v>
      </c>
      <c r="I119" s="1058">
        <f>E119*('Ввод исходных данных'!$D$83-F119)</f>
        <v>6216</v>
      </c>
      <c r="J119" s="1059" t="str">
        <f t="shared" si="12"/>
        <v>6000-7000</v>
      </c>
      <c r="K119" s="1060">
        <v>10.7</v>
      </c>
      <c r="L119" s="1060"/>
      <c r="M119" s="1061">
        <f t="shared" si="14"/>
        <v>0</v>
      </c>
      <c r="N119" s="1062">
        <f>M119*('Ввод исходных данных'!$D$83-K119)</f>
        <v>0</v>
      </c>
      <c r="O119" s="1063">
        <v>11.7</v>
      </c>
      <c r="P119" s="1063"/>
      <c r="Q119" s="1063">
        <f t="shared" si="15"/>
        <v>3.5</v>
      </c>
      <c r="R119" s="1063">
        <f>Q119*('Ввод исходных данных'!$D$83-O119)</f>
        <v>29.050000000000004</v>
      </c>
      <c r="S119" s="1064">
        <v>8.6</v>
      </c>
      <c r="T119" s="1064"/>
      <c r="U119" s="1064">
        <f t="shared" si="16"/>
        <v>30</v>
      </c>
      <c r="V119" s="1064">
        <f>U119*('Ввод исходных данных'!$D$83-S119)</f>
        <v>342</v>
      </c>
      <c r="W119" s="1065">
        <v>2.8</v>
      </c>
      <c r="X119" s="1065"/>
      <c r="Y119" s="1065">
        <f t="shared" si="17"/>
        <v>31</v>
      </c>
      <c r="Z119" s="1065">
        <f>Y119*('Ввод исходных данных'!$D$83-W119)</f>
        <v>533.19999999999993</v>
      </c>
      <c r="AA119" s="1066">
        <v>-3.3</v>
      </c>
      <c r="AB119" s="1066"/>
      <c r="AC119" s="1066">
        <f t="shared" si="18"/>
        <v>30</v>
      </c>
      <c r="AD119" s="1066">
        <f>AC119*('Ввод исходных данных'!$D$83-AA119)</f>
        <v>699</v>
      </c>
      <c r="AE119" s="1067">
        <v>-7.4</v>
      </c>
      <c r="AF119" s="1067"/>
      <c r="AG119" s="1067">
        <v>31</v>
      </c>
      <c r="AH119" s="1067">
        <f>AG119*('Ввод исходных данных'!$D$83-AE119)</f>
        <v>849.4</v>
      </c>
      <c r="AI119" s="1068">
        <v>-8.5</v>
      </c>
      <c r="AJ119" s="1068"/>
      <c r="AK119" s="1068">
        <v>31</v>
      </c>
      <c r="AL119" s="1068">
        <f>AK119*('Ввод исходных данных'!$D$83-AI119)</f>
        <v>883.5</v>
      </c>
      <c r="AM119" s="1069">
        <v>-8.1999999999999993</v>
      </c>
      <c r="AN119" s="1069"/>
      <c r="AO119" s="1069">
        <v>28</v>
      </c>
      <c r="AP119" s="1069">
        <f>AO119*('Ввод исходных данных'!$D$83-AM119)</f>
        <v>789.6</v>
      </c>
      <c r="AQ119" s="1064">
        <v>-6.2</v>
      </c>
      <c r="AR119" s="1064"/>
      <c r="AS119" s="1064">
        <f t="shared" si="19"/>
        <v>31</v>
      </c>
      <c r="AT119" s="1064">
        <f>AS119*('Ввод исходных данных'!$D$83-AQ119)</f>
        <v>812.19999999999993</v>
      </c>
      <c r="AU119" s="1070">
        <v>-1.6</v>
      </c>
      <c r="AV119" s="1070"/>
      <c r="AW119" s="1070">
        <f t="shared" si="20"/>
        <v>30</v>
      </c>
      <c r="AX119" s="1070">
        <f>AW119*('Ввод исходных данных'!$D$83-AU119)</f>
        <v>648</v>
      </c>
      <c r="AY119" s="1071">
        <v>2.6</v>
      </c>
      <c r="AZ119" s="1071"/>
      <c r="BA119" s="1071">
        <f t="shared" si="21"/>
        <v>31</v>
      </c>
      <c r="BB119" s="1071">
        <f>BA119*('Ввод исходных данных'!$D$83-AY119)</f>
        <v>539.4</v>
      </c>
      <c r="BC119" s="1072">
        <v>6.6</v>
      </c>
      <c r="BD119" s="1072"/>
      <c r="BE119" s="1072">
        <f t="shared" si="13"/>
        <v>3.5</v>
      </c>
      <c r="BF119" s="1073">
        <f>BE119*('Ввод исходных данных'!$D$83-BC119)</f>
        <v>46.9</v>
      </c>
    </row>
    <row r="120" spans="2:58" ht="15.75" customHeight="1" x14ac:dyDescent="0.25">
      <c r="B120" s="1076" t="s">
        <v>615</v>
      </c>
      <c r="C120" s="1076" t="s">
        <v>648</v>
      </c>
      <c r="D120" s="1053" t="str">
        <f t="shared" si="11"/>
        <v>Камчатская областьЛопатка, мыс</v>
      </c>
      <c r="E120" s="1054">
        <v>297</v>
      </c>
      <c r="F120" s="1055">
        <v>-0.2</v>
      </c>
      <c r="G120" s="1055">
        <v>-13</v>
      </c>
      <c r="H120" s="1057">
        <v>11.9</v>
      </c>
      <c r="I120" s="1058">
        <f>E120*('Ввод исходных данных'!$D$83-F120)</f>
        <v>5999.4</v>
      </c>
      <c r="J120" s="1059" t="str">
        <f t="shared" si="12"/>
        <v>5000-6000</v>
      </c>
      <c r="K120" s="1060">
        <v>7.6</v>
      </c>
      <c r="L120" s="1060"/>
      <c r="M120" s="1061">
        <f t="shared" si="14"/>
        <v>0</v>
      </c>
      <c r="N120" s="1062">
        <f>M120*('Ввод исходных данных'!$D$83-K120)</f>
        <v>0</v>
      </c>
      <c r="O120" s="1063">
        <v>9.5</v>
      </c>
      <c r="P120" s="1063"/>
      <c r="Q120" s="1063">
        <f t="shared" si="15"/>
        <v>12</v>
      </c>
      <c r="R120" s="1063">
        <f>Q120*('Ввод исходных данных'!$D$83-O120)</f>
        <v>126</v>
      </c>
      <c r="S120" s="1064">
        <v>8.6999999999999993</v>
      </c>
      <c r="T120" s="1064"/>
      <c r="U120" s="1064">
        <f t="shared" si="16"/>
        <v>30</v>
      </c>
      <c r="V120" s="1064">
        <f>U120*('Ввод исходных данных'!$D$83-S120)</f>
        <v>339</v>
      </c>
      <c r="W120" s="1065">
        <v>5.4</v>
      </c>
      <c r="X120" s="1065"/>
      <c r="Y120" s="1065">
        <f t="shared" si="17"/>
        <v>31</v>
      </c>
      <c r="Z120" s="1065">
        <f>Y120*('Ввод исходных данных'!$D$83-W120)</f>
        <v>452.59999999999997</v>
      </c>
      <c r="AA120" s="1066">
        <v>0.4</v>
      </c>
      <c r="AB120" s="1066"/>
      <c r="AC120" s="1066">
        <f t="shared" si="18"/>
        <v>30</v>
      </c>
      <c r="AD120" s="1066">
        <f>AC120*('Ввод исходных данных'!$D$83-AA120)</f>
        <v>588</v>
      </c>
      <c r="AE120" s="1067">
        <v>-2.8</v>
      </c>
      <c r="AF120" s="1067"/>
      <c r="AG120" s="1067">
        <v>31</v>
      </c>
      <c r="AH120" s="1067">
        <f>AG120*('Ввод исходных данных'!$D$83-AE120)</f>
        <v>706.80000000000007</v>
      </c>
      <c r="AI120" s="1068">
        <v>-4.7</v>
      </c>
      <c r="AJ120" s="1068"/>
      <c r="AK120" s="1068">
        <v>31</v>
      </c>
      <c r="AL120" s="1068">
        <f>AK120*('Ввод исходных данных'!$D$83-AI120)</f>
        <v>765.69999999999993</v>
      </c>
      <c r="AM120" s="1069">
        <v>-5.6</v>
      </c>
      <c r="AN120" s="1069"/>
      <c r="AO120" s="1069">
        <v>28</v>
      </c>
      <c r="AP120" s="1069">
        <f>AO120*('Ввод исходных данных'!$D$83-AM120)</f>
        <v>716.80000000000007</v>
      </c>
      <c r="AQ120" s="1064">
        <v>-4</v>
      </c>
      <c r="AR120" s="1064"/>
      <c r="AS120" s="1064">
        <f t="shared" si="19"/>
        <v>31</v>
      </c>
      <c r="AT120" s="1064">
        <f>AS120*('Ввод исходных данных'!$D$83-AQ120)</f>
        <v>744</v>
      </c>
      <c r="AU120" s="1070">
        <v>-1.3</v>
      </c>
      <c r="AV120" s="1070"/>
      <c r="AW120" s="1070">
        <f t="shared" si="20"/>
        <v>30</v>
      </c>
      <c r="AX120" s="1070">
        <f>AW120*('Ввод исходных данных'!$D$83-AU120)</f>
        <v>639</v>
      </c>
      <c r="AY120" s="1071">
        <v>1.2</v>
      </c>
      <c r="AZ120" s="1071"/>
      <c r="BA120" s="1071">
        <f t="shared" si="21"/>
        <v>31</v>
      </c>
      <c r="BB120" s="1071">
        <f>BA120*('Ввод исходных данных'!$D$83-AY120)</f>
        <v>582.80000000000007</v>
      </c>
      <c r="BC120" s="1072">
        <v>4.4000000000000004</v>
      </c>
      <c r="BD120" s="1072"/>
      <c r="BE120" s="1072">
        <f t="shared" si="13"/>
        <v>12</v>
      </c>
      <c r="BF120" s="1073">
        <f>BE120*('Ввод исходных данных'!$D$83-BC120)</f>
        <v>187.2</v>
      </c>
    </row>
    <row r="121" spans="2:58" ht="15.75" customHeight="1" x14ac:dyDescent="0.25">
      <c r="B121" s="1052" t="s">
        <v>615</v>
      </c>
      <c r="C121" s="1052" t="s">
        <v>649</v>
      </c>
      <c r="D121" s="1053" t="str">
        <f t="shared" si="11"/>
        <v>Камчатская областьМильково</v>
      </c>
      <c r="E121" s="1054">
        <v>256</v>
      </c>
      <c r="F121" s="1055">
        <v>-8.3000000000000007</v>
      </c>
      <c r="G121" s="1055">
        <v>-38</v>
      </c>
      <c r="H121" s="1057">
        <f>H122</f>
        <v>2.8</v>
      </c>
      <c r="I121" s="1058">
        <f>E121*('Ввод исходных данных'!$D$83-F121)</f>
        <v>7244.8</v>
      </c>
      <c r="J121" s="1059" t="str">
        <f t="shared" si="12"/>
        <v>7000-8000</v>
      </c>
      <c r="K121" s="1060">
        <v>15</v>
      </c>
      <c r="L121" s="1060"/>
      <c r="M121" s="1061">
        <f t="shared" si="14"/>
        <v>0</v>
      </c>
      <c r="N121" s="1062">
        <f>M121*('Ввод исходных данных'!$D$83-K121)</f>
        <v>0</v>
      </c>
      <c r="O121" s="1063">
        <v>13.6</v>
      </c>
      <c r="P121" s="1063"/>
      <c r="Q121" s="1063">
        <f t="shared" si="15"/>
        <v>0</v>
      </c>
      <c r="R121" s="1063">
        <f>Q121*('Ввод исходных данных'!$D$83-O121)</f>
        <v>0</v>
      </c>
      <c r="S121" s="1064">
        <v>8</v>
      </c>
      <c r="T121" s="1064"/>
      <c r="U121" s="1064">
        <f t="shared" si="16"/>
        <v>22</v>
      </c>
      <c r="V121" s="1064">
        <f>U121*('Ввод исходных данных'!$D$83-S121)</f>
        <v>264</v>
      </c>
      <c r="W121" s="1065">
        <v>0.3</v>
      </c>
      <c r="X121" s="1065"/>
      <c r="Y121" s="1065">
        <f t="shared" si="17"/>
        <v>31</v>
      </c>
      <c r="Z121" s="1065">
        <f>Y121*('Ввод исходных данных'!$D$83-W121)</f>
        <v>610.69999999999993</v>
      </c>
      <c r="AA121" s="1066">
        <v>-10.9</v>
      </c>
      <c r="AB121" s="1066"/>
      <c r="AC121" s="1066">
        <f t="shared" si="18"/>
        <v>30</v>
      </c>
      <c r="AD121" s="1066">
        <f>AC121*('Ввод исходных данных'!$D$83-AA121)</f>
        <v>927</v>
      </c>
      <c r="AE121" s="1067">
        <v>-17.600000000000001</v>
      </c>
      <c r="AF121" s="1067"/>
      <c r="AG121" s="1067">
        <v>31</v>
      </c>
      <c r="AH121" s="1067">
        <f>AG121*('Ввод исходных данных'!$D$83-AE121)</f>
        <v>1165.6000000000001</v>
      </c>
      <c r="AI121" s="1068">
        <v>-19.899999999999999</v>
      </c>
      <c r="AJ121" s="1068"/>
      <c r="AK121" s="1068">
        <v>31</v>
      </c>
      <c r="AL121" s="1068">
        <f>AK121*('Ввод исходных данных'!$D$83-AI121)</f>
        <v>1236.8999999999999</v>
      </c>
      <c r="AM121" s="1069">
        <v>-17</v>
      </c>
      <c r="AN121" s="1069"/>
      <c r="AO121" s="1069">
        <v>28</v>
      </c>
      <c r="AP121" s="1069">
        <f>AO121*('Ввод исходных данных'!$D$83-AM121)</f>
        <v>1036</v>
      </c>
      <c r="AQ121" s="1064">
        <v>-11.9</v>
      </c>
      <c r="AR121" s="1064"/>
      <c r="AS121" s="1064">
        <f t="shared" si="19"/>
        <v>31</v>
      </c>
      <c r="AT121" s="1064">
        <f>AS121*('Ввод исходных данных'!$D$83-AQ121)</f>
        <v>988.9</v>
      </c>
      <c r="AU121" s="1070">
        <v>-2.5</v>
      </c>
      <c r="AV121" s="1070"/>
      <c r="AW121" s="1070">
        <f t="shared" si="20"/>
        <v>30</v>
      </c>
      <c r="AX121" s="1070">
        <f>AW121*('Ввод исходных данных'!$D$83-AU121)</f>
        <v>675</v>
      </c>
      <c r="AY121" s="1071">
        <v>5.2</v>
      </c>
      <c r="AZ121" s="1071"/>
      <c r="BA121" s="1071">
        <f t="shared" si="21"/>
        <v>22</v>
      </c>
      <c r="BB121" s="1071">
        <f>BA121*('Ввод исходных данных'!$D$83-AY121)</f>
        <v>325.60000000000002</v>
      </c>
      <c r="BC121" s="1072">
        <v>11.6</v>
      </c>
      <c r="BD121" s="1072"/>
      <c r="BE121" s="1072">
        <f t="shared" si="13"/>
        <v>0</v>
      </c>
      <c r="BF121" s="1073">
        <f>BE121*('Ввод исходных данных'!$D$83-BC121)</f>
        <v>0</v>
      </c>
    </row>
    <row r="122" spans="2:58" ht="15.75" customHeight="1" x14ac:dyDescent="0.25">
      <c r="B122" s="1076" t="s">
        <v>615</v>
      </c>
      <c r="C122" s="1076" t="s">
        <v>107</v>
      </c>
      <c r="D122" s="1053" t="str">
        <f t="shared" si="11"/>
        <v>Камчатская областьНачики</v>
      </c>
      <c r="E122" s="1054">
        <v>275</v>
      </c>
      <c r="F122" s="1055">
        <v>-7.4</v>
      </c>
      <c r="G122" s="1055">
        <v>-32</v>
      </c>
      <c r="H122" s="1057">
        <v>2.8</v>
      </c>
      <c r="I122" s="1058">
        <f>E122*('Ввод исходных данных'!$D$83-F122)</f>
        <v>7535</v>
      </c>
      <c r="J122" s="1059" t="str">
        <f t="shared" si="12"/>
        <v>7000-8000</v>
      </c>
      <c r="K122" s="1060">
        <v>12.4</v>
      </c>
      <c r="L122" s="1060"/>
      <c r="M122" s="1061">
        <f t="shared" si="14"/>
        <v>0</v>
      </c>
      <c r="N122" s="1062">
        <f>M122*('Ввод исходных данных'!$D$83-K122)</f>
        <v>0</v>
      </c>
      <c r="O122" s="1063">
        <v>11.9</v>
      </c>
      <c r="P122" s="1063"/>
      <c r="Q122" s="1063">
        <f t="shared" si="15"/>
        <v>1</v>
      </c>
      <c r="R122" s="1063">
        <f>Q122*('Ввод исходных данных'!$D$83-O122)</f>
        <v>8.1</v>
      </c>
      <c r="S122" s="1064">
        <v>7.2</v>
      </c>
      <c r="T122" s="1064"/>
      <c r="U122" s="1064">
        <f t="shared" si="16"/>
        <v>30</v>
      </c>
      <c r="V122" s="1064">
        <f>U122*('Ввод исходных данных'!$D$83-S122)</f>
        <v>384</v>
      </c>
      <c r="W122" s="1065">
        <v>1.1000000000000001</v>
      </c>
      <c r="X122" s="1065"/>
      <c r="Y122" s="1065">
        <f t="shared" si="17"/>
        <v>31</v>
      </c>
      <c r="Z122" s="1065">
        <f>Y122*('Ввод исходных данных'!$D$83-W122)</f>
        <v>585.9</v>
      </c>
      <c r="AA122" s="1066">
        <v>-8.6</v>
      </c>
      <c r="AB122" s="1066"/>
      <c r="AC122" s="1066">
        <f t="shared" si="18"/>
        <v>30</v>
      </c>
      <c r="AD122" s="1066">
        <f>AC122*('Ввод исходных данных'!$D$83-AA122)</f>
        <v>858</v>
      </c>
      <c r="AE122" s="1067">
        <v>-16.7</v>
      </c>
      <c r="AF122" s="1067"/>
      <c r="AG122" s="1067">
        <v>31</v>
      </c>
      <c r="AH122" s="1067">
        <f>AG122*('Ввод исходных данных'!$D$83-AE122)</f>
        <v>1137.7</v>
      </c>
      <c r="AI122" s="1068">
        <v>-18.7</v>
      </c>
      <c r="AJ122" s="1068"/>
      <c r="AK122" s="1068">
        <v>31</v>
      </c>
      <c r="AL122" s="1068">
        <f>AK122*('Ввод исходных данных'!$D$83-AI122)</f>
        <v>1199.7</v>
      </c>
      <c r="AM122" s="1069">
        <v>-16.2</v>
      </c>
      <c r="AN122" s="1069"/>
      <c r="AO122" s="1069">
        <v>28</v>
      </c>
      <c r="AP122" s="1069">
        <f>AO122*('Ввод исходных данных'!$D$83-AM122)</f>
        <v>1013.6000000000001</v>
      </c>
      <c r="AQ122" s="1064">
        <v>-11</v>
      </c>
      <c r="AR122" s="1064"/>
      <c r="AS122" s="1064">
        <f t="shared" si="19"/>
        <v>31</v>
      </c>
      <c r="AT122" s="1064">
        <f>AS122*('Ввод исходных данных'!$D$83-AQ122)</f>
        <v>961</v>
      </c>
      <c r="AU122" s="1070">
        <v>-3.5</v>
      </c>
      <c r="AV122" s="1070"/>
      <c r="AW122" s="1070">
        <f t="shared" si="20"/>
        <v>30</v>
      </c>
      <c r="AX122" s="1070">
        <f>AW122*('Ввод исходных данных'!$D$83-AU122)</f>
        <v>705</v>
      </c>
      <c r="AY122" s="1071">
        <v>2.2999999999999998</v>
      </c>
      <c r="AZ122" s="1071"/>
      <c r="BA122" s="1071">
        <f t="shared" si="21"/>
        <v>31</v>
      </c>
      <c r="BB122" s="1071">
        <f>BA122*('Ввод исходных данных'!$D$83-AY122)</f>
        <v>548.69999999999993</v>
      </c>
      <c r="BC122" s="1072">
        <v>8.6</v>
      </c>
      <c r="BD122" s="1072"/>
      <c r="BE122" s="1072">
        <f t="shared" si="13"/>
        <v>1</v>
      </c>
      <c r="BF122" s="1073">
        <f>BE122*('Ввод исходных данных'!$D$83-BC122)</f>
        <v>11.4</v>
      </c>
    </row>
    <row r="123" spans="2:58" ht="15.75" customHeight="1" x14ac:dyDescent="0.25">
      <c r="B123" s="1052" t="s">
        <v>615</v>
      </c>
      <c r="C123" s="1052" t="s">
        <v>915</v>
      </c>
      <c r="D123" s="1053" t="str">
        <f t="shared" si="11"/>
        <v>Камчатская областьо,Беринга</v>
      </c>
      <c r="E123" s="1054">
        <v>283</v>
      </c>
      <c r="F123" s="1055">
        <v>0.4</v>
      </c>
      <c r="G123" s="1055">
        <v>-11</v>
      </c>
      <c r="H123" s="1057">
        <v>8.6999999999999993</v>
      </c>
      <c r="I123" s="1058">
        <f>E123*('Ввод исходных данных'!$D$83-F123)</f>
        <v>5546.8</v>
      </c>
      <c r="J123" s="1059" t="str">
        <f t="shared" si="12"/>
        <v>5000-6000</v>
      </c>
      <c r="K123" s="1060">
        <v>8.9</v>
      </c>
      <c r="L123" s="1060"/>
      <c r="M123" s="1061">
        <f t="shared" si="14"/>
        <v>0</v>
      </c>
      <c r="N123" s="1062">
        <f>M123*('Ввод исходных данных'!$D$83-K123)</f>
        <v>0</v>
      </c>
      <c r="O123" s="1063">
        <v>10.8</v>
      </c>
      <c r="P123" s="1063"/>
      <c r="Q123" s="1063">
        <f t="shared" si="15"/>
        <v>5</v>
      </c>
      <c r="R123" s="1063">
        <f>Q123*('Ввод исходных данных'!$D$83-O123)</f>
        <v>46</v>
      </c>
      <c r="S123" s="1064">
        <v>9.4</v>
      </c>
      <c r="T123" s="1064"/>
      <c r="U123" s="1064">
        <f t="shared" si="16"/>
        <v>30</v>
      </c>
      <c r="V123" s="1064">
        <f>U123*('Ввод исходных данных'!$D$83-S123)</f>
        <v>318</v>
      </c>
      <c r="W123" s="1065">
        <v>5.3</v>
      </c>
      <c r="X123" s="1065"/>
      <c r="Y123" s="1065">
        <f t="shared" si="17"/>
        <v>31</v>
      </c>
      <c r="Z123" s="1065">
        <f>Y123*('Ввод исходных данных'!$D$83-W123)</f>
        <v>455.7</v>
      </c>
      <c r="AA123" s="1066">
        <v>0.7</v>
      </c>
      <c r="AB123" s="1066"/>
      <c r="AC123" s="1066">
        <f t="shared" si="18"/>
        <v>30</v>
      </c>
      <c r="AD123" s="1066">
        <f>AC123*('Ввод исходных данных'!$D$83-AA123)</f>
        <v>579</v>
      </c>
      <c r="AE123" s="1067">
        <v>-2.2000000000000002</v>
      </c>
      <c r="AF123" s="1067"/>
      <c r="AG123" s="1067">
        <v>31</v>
      </c>
      <c r="AH123" s="1067">
        <f>AG123*('Ввод исходных данных'!$D$83-AE123)</f>
        <v>688.19999999999993</v>
      </c>
      <c r="AI123" s="1068">
        <v>-3.3</v>
      </c>
      <c r="AJ123" s="1068"/>
      <c r="AK123" s="1068">
        <v>31</v>
      </c>
      <c r="AL123" s="1068">
        <f>AK123*('Ввод исходных данных'!$D$83-AI123)</f>
        <v>722.30000000000007</v>
      </c>
      <c r="AM123" s="1069">
        <v>-3.5</v>
      </c>
      <c r="AN123" s="1069"/>
      <c r="AO123" s="1069">
        <v>28</v>
      </c>
      <c r="AP123" s="1069">
        <f>AO123*('Ввод исходных данных'!$D$83-AM123)</f>
        <v>658</v>
      </c>
      <c r="AQ123" s="1064">
        <v>-2.5</v>
      </c>
      <c r="AR123" s="1064"/>
      <c r="AS123" s="1064">
        <f t="shared" si="19"/>
        <v>31</v>
      </c>
      <c r="AT123" s="1064">
        <f>AS123*('Ввод исходных данных'!$D$83-AQ123)</f>
        <v>697.5</v>
      </c>
      <c r="AU123" s="1070">
        <v>-0.5</v>
      </c>
      <c r="AV123" s="1070"/>
      <c r="AW123" s="1070">
        <f t="shared" si="20"/>
        <v>30</v>
      </c>
      <c r="AX123" s="1070">
        <f>AW123*('Ввод исходных данных'!$D$83-AU123)</f>
        <v>615</v>
      </c>
      <c r="AY123" s="1071">
        <v>2.2999999999999998</v>
      </c>
      <c r="AZ123" s="1071"/>
      <c r="BA123" s="1071">
        <f t="shared" si="21"/>
        <v>31</v>
      </c>
      <c r="BB123" s="1071">
        <f>BA123*('Ввод исходных данных'!$D$83-AY123)</f>
        <v>548.69999999999993</v>
      </c>
      <c r="BC123" s="1072">
        <v>5.6</v>
      </c>
      <c r="BD123" s="1072"/>
      <c r="BE123" s="1072">
        <f t="shared" si="13"/>
        <v>5</v>
      </c>
      <c r="BF123" s="1073">
        <f>BE123*('Ввод исходных данных'!$D$83-BC123)</f>
        <v>72</v>
      </c>
    </row>
    <row r="124" spans="2:58" ht="15.75" customHeight="1" x14ac:dyDescent="0.25">
      <c r="B124" s="1076" t="s">
        <v>615</v>
      </c>
      <c r="C124" s="1076" t="s">
        <v>108</v>
      </c>
      <c r="D124" s="1053" t="str">
        <f t="shared" si="11"/>
        <v>Камчатская областьОктябрьская</v>
      </c>
      <c r="E124" s="1054">
        <v>281</v>
      </c>
      <c r="F124" s="1055">
        <v>-3.5</v>
      </c>
      <c r="G124" s="1055">
        <v>-25</v>
      </c>
      <c r="H124" s="1057">
        <v>6.4</v>
      </c>
      <c r="I124" s="1058">
        <f>E124*('Ввод исходных данных'!$D$83-F124)</f>
        <v>6603.5</v>
      </c>
      <c r="J124" s="1059" t="str">
        <f t="shared" si="12"/>
        <v>6000-7000</v>
      </c>
      <c r="K124" s="1060">
        <v>9.8000000000000007</v>
      </c>
      <c r="L124" s="1060"/>
      <c r="M124" s="1061">
        <f t="shared" si="14"/>
        <v>0</v>
      </c>
      <c r="N124" s="1062">
        <f>M124*('Ввод исходных данных'!$D$83-K124)</f>
        <v>0</v>
      </c>
      <c r="O124" s="1063">
        <v>11.4</v>
      </c>
      <c r="P124" s="1063"/>
      <c r="Q124" s="1063">
        <f t="shared" si="15"/>
        <v>4</v>
      </c>
      <c r="R124" s="1063">
        <f>Q124*('Ввод исходных данных'!$D$83-O124)</f>
        <v>34.4</v>
      </c>
      <c r="S124" s="1064">
        <v>9.3000000000000007</v>
      </c>
      <c r="T124" s="1064"/>
      <c r="U124" s="1064">
        <f t="shared" si="16"/>
        <v>30</v>
      </c>
      <c r="V124" s="1064">
        <f>U124*('Ввод исходных данных'!$D$83-S124)</f>
        <v>321</v>
      </c>
      <c r="W124" s="1065">
        <v>4.0999999999999996</v>
      </c>
      <c r="X124" s="1065"/>
      <c r="Y124" s="1065">
        <f t="shared" si="17"/>
        <v>31</v>
      </c>
      <c r="Z124" s="1065">
        <f>Y124*('Ввод исходных данных'!$D$83-W124)</f>
        <v>492.90000000000003</v>
      </c>
      <c r="AA124" s="1066">
        <v>-3</v>
      </c>
      <c r="AB124" s="1066"/>
      <c r="AC124" s="1066">
        <f t="shared" si="18"/>
        <v>30</v>
      </c>
      <c r="AD124" s="1066">
        <f>AC124*('Ввод исходных данных'!$D$83-AA124)</f>
        <v>690</v>
      </c>
      <c r="AE124" s="1067">
        <v>-9</v>
      </c>
      <c r="AF124" s="1067"/>
      <c r="AG124" s="1067">
        <v>31</v>
      </c>
      <c r="AH124" s="1067">
        <f>AG124*('Ввод исходных данных'!$D$83-AE124)</f>
        <v>899</v>
      </c>
      <c r="AI124" s="1068">
        <v>-12.1</v>
      </c>
      <c r="AJ124" s="1068"/>
      <c r="AK124" s="1068">
        <v>31</v>
      </c>
      <c r="AL124" s="1068">
        <f>AK124*('Ввод исходных данных'!$D$83-AI124)</f>
        <v>995.1</v>
      </c>
      <c r="AM124" s="1069">
        <v>-12.6</v>
      </c>
      <c r="AN124" s="1069"/>
      <c r="AO124" s="1069">
        <v>28</v>
      </c>
      <c r="AP124" s="1069">
        <f>AO124*('Ввод исходных данных'!$D$83-AM124)</f>
        <v>912.80000000000007</v>
      </c>
      <c r="AQ124" s="1064">
        <v>-8.6999999999999993</v>
      </c>
      <c r="AR124" s="1064"/>
      <c r="AS124" s="1064">
        <f t="shared" si="19"/>
        <v>31</v>
      </c>
      <c r="AT124" s="1064">
        <f>AS124*('Ввод исходных данных'!$D$83-AQ124)</f>
        <v>889.69999999999993</v>
      </c>
      <c r="AU124" s="1070">
        <v>-2.5</v>
      </c>
      <c r="AV124" s="1070"/>
      <c r="AW124" s="1070">
        <f t="shared" si="20"/>
        <v>30</v>
      </c>
      <c r="AX124" s="1070">
        <f>AW124*('Ввод исходных данных'!$D$83-AU124)</f>
        <v>675</v>
      </c>
      <c r="AY124" s="1071">
        <v>2.1</v>
      </c>
      <c r="AZ124" s="1071"/>
      <c r="BA124" s="1071">
        <f t="shared" si="21"/>
        <v>31</v>
      </c>
      <c r="BB124" s="1071">
        <f>BA124*('Ввод исходных данных'!$D$83-AY124)</f>
        <v>554.9</v>
      </c>
      <c r="BC124" s="1072">
        <v>6.1</v>
      </c>
      <c r="BD124" s="1072"/>
      <c r="BE124" s="1072">
        <f t="shared" si="13"/>
        <v>4</v>
      </c>
      <c r="BF124" s="1073">
        <f>BE124*('Ввод исходных данных'!$D$83-BC124)</f>
        <v>55.6</v>
      </c>
    </row>
    <row r="125" spans="2:58" ht="15.75" customHeight="1" x14ac:dyDescent="0.25">
      <c r="B125" s="1052" t="s">
        <v>615</v>
      </c>
      <c r="C125" s="1052" t="s">
        <v>651</v>
      </c>
      <c r="D125" s="1053" t="str">
        <f t="shared" si="11"/>
        <v xml:space="preserve">Камчатская областьОссора </v>
      </c>
      <c r="E125" s="1054">
        <v>272</v>
      </c>
      <c r="F125" s="1055">
        <v>-6.6</v>
      </c>
      <c r="G125" s="1055">
        <v>-31</v>
      </c>
      <c r="H125" s="1057">
        <f>H124</f>
        <v>6.4</v>
      </c>
      <c r="I125" s="1058">
        <f>E125*('Ввод исходных данных'!$D$83-F125)</f>
        <v>7235.2000000000007</v>
      </c>
      <c r="J125" s="1059" t="str">
        <f t="shared" si="12"/>
        <v>7000-8000</v>
      </c>
      <c r="K125" s="1060">
        <v>12.2</v>
      </c>
      <c r="L125" s="1060"/>
      <c r="M125" s="1061">
        <f t="shared" si="14"/>
        <v>0</v>
      </c>
      <c r="N125" s="1062">
        <f>M125*('Ввод исходных данных'!$D$83-K125)</f>
        <v>0</v>
      </c>
      <c r="O125" s="1063">
        <v>12.3</v>
      </c>
      <c r="P125" s="1063"/>
      <c r="Q125" s="1063">
        <f t="shared" si="15"/>
        <v>0</v>
      </c>
      <c r="R125" s="1063">
        <f>Q125*('Ввод исходных данных'!$D$83-O125)</f>
        <v>0</v>
      </c>
      <c r="S125" s="1064">
        <v>8.1999999999999993</v>
      </c>
      <c r="T125" s="1064"/>
      <c r="U125" s="1064">
        <f t="shared" si="16"/>
        <v>30</v>
      </c>
      <c r="V125" s="1064">
        <f>U125*('Ввод исходных данных'!$D$83-S125)</f>
        <v>354</v>
      </c>
      <c r="W125" s="1065">
        <v>1.2</v>
      </c>
      <c r="X125" s="1065"/>
      <c r="Y125" s="1065">
        <f t="shared" si="17"/>
        <v>31</v>
      </c>
      <c r="Z125" s="1065">
        <f>Y125*('Ввод исходных данных'!$D$83-W125)</f>
        <v>582.80000000000007</v>
      </c>
      <c r="AA125" s="1066">
        <v>-7</v>
      </c>
      <c r="AB125" s="1066"/>
      <c r="AC125" s="1066">
        <f t="shared" si="18"/>
        <v>30</v>
      </c>
      <c r="AD125" s="1066">
        <f>AC125*('Ввод исходных данных'!$D$83-AA125)</f>
        <v>810</v>
      </c>
      <c r="AE125" s="1067">
        <v>-12.9</v>
      </c>
      <c r="AF125" s="1067"/>
      <c r="AG125" s="1067">
        <v>31</v>
      </c>
      <c r="AH125" s="1067">
        <f>AG125*('Ввод исходных данных'!$D$83-AE125)</f>
        <v>1019.9</v>
      </c>
      <c r="AI125" s="1068">
        <v>-14.5</v>
      </c>
      <c r="AJ125" s="1068"/>
      <c r="AK125" s="1068">
        <v>31</v>
      </c>
      <c r="AL125" s="1068">
        <f>AK125*('Ввод исходных данных'!$D$83-AI125)</f>
        <v>1069.5</v>
      </c>
      <c r="AM125" s="1069">
        <v>-14.1</v>
      </c>
      <c r="AN125" s="1069"/>
      <c r="AO125" s="1069">
        <v>28</v>
      </c>
      <c r="AP125" s="1069">
        <f>AO125*('Ввод исходных данных'!$D$83-AM125)</f>
        <v>954.80000000000007</v>
      </c>
      <c r="AQ125" s="1064">
        <v>-11.4</v>
      </c>
      <c r="AR125" s="1064"/>
      <c r="AS125" s="1064">
        <f t="shared" si="19"/>
        <v>31</v>
      </c>
      <c r="AT125" s="1064">
        <f>AS125*('Ввод исходных данных'!$D$83-AQ125)</f>
        <v>973.4</v>
      </c>
      <c r="AU125" s="1070">
        <v>-6.1</v>
      </c>
      <c r="AV125" s="1070"/>
      <c r="AW125" s="1070">
        <f t="shared" si="20"/>
        <v>30</v>
      </c>
      <c r="AX125" s="1070">
        <f>AW125*('Ввод исходных данных'!$D$83-AU125)</f>
        <v>783</v>
      </c>
      <c r="AY125" s="1071">
        <v>1</v>
      </c>
      <c r="AZ125" s="1071"/>
      <c r="BA125" s="1071">
        <f t="shared" si="21"/>
        <v>30</v>
      </c>
      <c r="BB125" s="1071">
        <f>BA125*('Ввод исходных данных'!$D$83-AY125)</f>
        <v>570</v>
      </c>
      <c r="BC125" s="1072">
        <v>7.9</v>
      </c>
      <c r="BD125" s="1072"/>
      <c r="BE125" s="1072">
        <f t="shared" si="13"/>
        <v>0</v>
      </c>
      <c r="BF125" s="1073">
        <f>BE125*('Ввод исходных данных'!$D$83-BC125)</f>
        <v>0</v>
      </c>
    </row>
    <row r="126" spans="2:58" ht="15.75" customHeight="1" x14ac:dyDescent="0.25">
      <c r="B126" s="1076" t="s">
        <v>615</v>
      </c>
      <c r="C126" s="1076" t="s">
        <v>652</v>
      </c>
      <c r="D126" s="1053" t="str">
        <f t="shared" si="11"/>
        <v>Камчатская областьПетропавловск- Камчатский</v>
      </c>
      <c r="E126" s="1054">
        <v>250</v>
      </c>
      <c r="F126" s="1055">
        <v>-1.7</v>
      </c>
      <c r="G126" s="1055">
        <v>-18</v>
      </c>
      <c r="H126" s="1057">
        <v>5</v>
      </c>
      <c r="I126" s="1058">
        <f>E126*('Ввод исходных данных'!$D$83-F126)</f>
        <v>5425</v>
      </c>
      <c r="J126" s="1059" t="str">
        <f t="shared" si="12"/>
        <v>5000-6000</v>
      </c>
      <c r="K126" s="1060">
        <v>12.5</v>
      </c>
      <c r="L126" s="1060"/>
      <c r="M126" s="1061">
        <f t="shared" si="14"/>
        <v>0</v>
      </c>
      <c r="N126" s="1062">
        <f>M126*('Ввод исходных данных'!$D$83-K126)</f>
        <v>0</v>
      </c>
      <c r="O126" s="1063">
        <v>13.2</v>
      </c>
      <c r="P126" s="1063"/>
      <c r="Q126" s="1063">
        <f t="shared" si="15"/>
        <v>0</v>
      </c>
      <c r="R126" s="1063">
        <f>Q126*('Ввод исходных данных'!$D$83-O126)</f>
        <v>0</v>
      </c>
      <c r="S126" s="1064">
        <v>10.3</v>
      </c>
      <c r="T126" s="1064"/>
      <c r="U126" s="1064">
        <f t="shared" si="16"/>
        <v>19</v>
      </c>
      <c r="V126" s="1064">
        <f>U126*('Ввод исходных данных'!$D$83-S126)</f>
        <v>184.29999999999998</v>
      </c>
      <c r="W126" s="1065">
        <v>5.2</v>
      </c>
      <c r="X126" s="1065"/>
      <c r="Y126" s="1065">
        <f t="shared" si="17"/>
        <v>31</v>
      </c>
      <c r="Z126" s="1065">
        <f>Y126*('Ввод исходных данных'!$D$83-W126)</f>
        <v>458.8</v>
      </c>
      <c r="AA126" s="1066">
        <v>-1.1000000000000001</v>
      </c>
      <c r="AB126" s="1066"/>
      <c r="AC126" s="1066">
        <f t="shared" si="18"/>
        <v>30</v>
      </c>
      <c r="AD126" s="1066">
        <f>AC126*('Ввод исходных данных'!$D$83-AA126)</f>
        <v>633</v>
      </c>
      <c r="AE126" s="1067">
        <v>-5.2</v>
      </c>
      <c r="AF126" s="1067"/>
      <c r="AG126" s="1067">
        <v>31</v>
      </c>
      <c r="AH126" s="1067">
        <f>AG126*('Ввод исходных данных'!$D$83-AE126)</f>
        <v>781.19999999999993</v>
      </c>
      <c r="AI126" s="1068">
        <v>-7</v>
      </c>
      <c r="AJ126" s="1068"/>
      <c r="AK126" s="1068">
        <v>31</v>
      </c>
      <c r="AL126" s="1068">
        <f>AK126*('Ввод исходных данных'!$D$83-AI126)</f>
        <v>837</v>
      </c>
      <c r="AM126" s="1069">
        <v>-6.6</v>
      </c>
      <c r="AN126" s="1069"/>
      <c r="AO126" s="1069">
        <v>28</v>
      </c>
      <c r="AP126" s="1069">
        <f>AO126*('Ввод исходных данных'!$D$83-AM126)</f>
        <v>744.80000000000007</v>
      </c>
      <c r="AQ126" s="1064">
        <v>-4</v>
      </c>
      <c r="AR126" s="1064"/>
      <c r="AS126" s="1064">
        <f t="shared" si="19"/>
        <v>31</v>
      </c>
      <c r="AT126" s="1064">
        <f>AS126*('Ввод исходных данных'!$D$83-AQ126)</f>
        <v>744</v>
      </c>
      <c r="AU126" s="1070">
        <v>0.1</v>
      </c>
      <c r="AV126" s="1070"/>
      <c r="AW126" s="1070">
        <f t="shared" si="20"/>
        <v>30</v>
      </c>
      <c r="AX126" s="1070">
        <f>AW126*('Ввод исходных данных'!$D$83-AU126)</f>
        <v>597</v>
      </c>
      <c r="AY126" s="1071">
        <v>4.4000000000000004</v>
      </c>
      <c r="AZ126" s="1071"/>
      <c r="BA126" s="1071">
        <f t="shared" si="21"/>
        <v>19</v>
      </c>
      <c r="BB126" s="1071">
        <f>BA126*('Ввод исходных данных'!$D$83-AY126)</f>
        <v>296.39999999999998</v>
      </c>
      <c r="BC126" s="1072">
        <v>9.1999999999999993</v>
      </c>
      <c r="BD126" s="1072"/>
      <c r="BE126" s="1072">
        <f t="shared" si="13"/>
        <v>0</v>
      </c>
      <c r="BF126" s="1073">
        <f>BE126*('Ввод исходных данных'!$D$83-BC126)</f>
        <v>0</v>
      </c>
    </row>
    <row r="127" spans="2:58" ht="15.75" customHeight="1" x14ac:dyDescent="0.25">
      <c r="B127" s="1052" t="s">
        <v>615</v>
      </c>
      <c r="C127" s="1052" t="s">
        <v>109</v>
      </c>
      <c r="D127" s="1053" t="str">
        <f t="shared" si="11"/>
        <v>Камчатская областьСемлячики</v>
      </c>
      <c r="E127" s="1054">
        <v>260</v>
      </c>
      <c r="F127" s="1055">
        <v>-1.5</v>
      </c>
      <c r="G127" s="1055">
        <v>-15</v>
      </c>
      <c r="H127" s="1057">
        <v>7.5</v>
      </c>
      <c r="I127" s="1058">
        <f>E127*('Ввод исходных данных'!$D$83-F127)</f>
        <v>5590</v>
      </c>
      <c r="J127" s="1059" t="str">
        <f t="shared" si="12"/>
        <v>5000-6000</v>
      </c>
      <c r="K127" s="1060">
        <v>11.4</v>
      </c>
      <c r="L127" s="1060"/>
      <c r="M127" s="1061">
        <f t="shared" si="14"/>
        <v>0</v>
      </c>
      <c r="N127" s="1062">
        <f>M127*('Ввод исходных данных'!$D$83-K127)</f>
        <v>0</v>
      </c>
      <c r="O127" s="1063">
        <v>12.8</v>
      </c>
      <c r="P127" s="1063"/>
      <c r="Q127" s="1063">
        <f t="shared" si="15"/>
        <v>0</v>
      </c>
      <c r="R127" s="1063">
        <f>Q127*('Ввод исходных данных'!$D$83-O127)</f>
        <v>0</v>
      </c>
      <c r="S127" s="1064">
        <v>10.1</v>
      </c>
      <c r="T127" s="1064"/>
      <c r="U127" s="1064">
        <f t="shared" si="16"/>
        <v>24</v>
      </c>
      <c r="V127" s="1064">
        <f>U127*('Ввод исходных данных'!$D$83-S127)</f>
        <v>237.60000000000002</v>
      </c>
      <c r="W127" s="1065">
        <v>5.0999999999999996</v>
      </c>
      <c r="X127" s="1065"/>
      <c r="Y127" s="1065">
        <f t="shared" si="17"/>
        <v>31</v>
      </c>
      <c r="Z127" s="1065">
        <f>Y127*('Ввод исходных данных'!$D$83-W127)</f>
        <v>461.90000000000003</v>
      </c>
      <c r="AA127" s="1066">
        <v>-1.3</v>
      </c>
      <c r="AB127" s="1066"/>
      <c r="AC127" s="1066">
        <f t="shared" si="18"/>
        <v>30</v>
      </c>
      <c r="AD127" s="1066">
        <f>AC127*('Ввод исходных данных'!$D$83-AA127)</f>
        <v>639</v>
      </c>
      <c r="AE127" s="1067">
        <v>-5</v>
      </c>
      <c r="AF127" s="1067"/>
      <c r="AG127" s="1067">
        <v>31</v>
      </c>
      <c r="AH127" s="1067">
        <f>AG127*('Ввод исходных данных'!$D$83-AE127)</f>
        <v>775</v>
      </c>
      <c r="AI127" s="1068">
        <v>-6.3</v>
      </c>
      <c r="AJ127" s="1068"/>
      <c r="AK127" s="1068">
        <v>31</v>
      </c>
      <c r="AL127" s="1068">
        <f>AK127*('Ввод исходных данных'!$D$83-AI127)</f>
        <v>815.30000000000007</v>
      </c>
      <c r="AM127" s="1069">
        <v>-5.9</v>
      </c>
      <c r="AN127" s="1069"/>
      <c r="AO127" s="1069">
        <v>28</v>
      </c>
      <c r="AP127" s="1069">
        <f>AO127*('Ввод исходных данных'!$D$83-AM127)</f>
        <v>725.19999999999993</v>
      </c>
      <c r="AQ127" s="1064">
        <v>-4.4000000000000004</v>
      </c>
      <c r="AR127" s="1064"/>
      <c r="AS127" s="1064">
        <f t="shared" si="19"/>
        <v>31</v>
      </c>
      <c r="AT127" s="1064">
        <f>AS127*('Ввод исходных данных'!$D$83-AQ127)</f>
        <v>756.4</v>
      </c>
      <c r="AU127" s="1070">
        <v>-0.8</v>
      </c>
      <c r="AV127" s="1070"/>
      <c r="AW127" s="1070">
        <f t="shared" si="20"/>
        <v>30</v>
      </c>
      <c r="AX127" s="1070">
        <f>AW127*('Ввод исходных данных'!$D$83-AU127)</f>
        <v>624</v>
      </c>
      <c r="AY127" s="1071">
        <v>3.3</v>
      </c>
      <c r="AZ127" s="1071"/>
      <c r="BA127" s="1071">
        <f t="shared" si="21"/>
        <v>24</v>
      </c>
      <c r="BB127" s="1071">
        <f>BA127*('Ввод исходных данных'!$D$83-AY127)</f>
        <v>400.79999999999995</v>
      </c>
      <c r="BC127" s="1072">
        <v>7.9</v>
      </c>
      <c r="BD127" s="1072"/>
      <c r="BE127" s="1072">
        <f t="shared" si="13"/>
        <v>0</v>
      </c>
      <c r="BF127" s="1073">
        <f>BE127*('Ввод исходных данных'!$D$83-BC127)</f>
        <v>0</v>
      </c>
    </row>
    <row r="128" spans="2:58" ht="15.75" customHeight="1" x14ac:dyDescent="0.25">
      <c r="B128" s="1076" t="s">
        <v>615</v>
      </c>
      <c r="C128" s="1076" t="s">
        <v>110</v>
      </c>
      <c r="D128" s="1053" t="str">
        <f t="shared" si="11"/>
        <v>Камчатская областьСоболево</v>
      </c>
      <c r="E128" s="1054">
        <v>268</v>
      </c>
      <c r="F128" s="1055">
        <v>-5.0999999999999996</v>
      </c>
      <c r="G128" s="1055">
        <v>-30</v>
      </c>
      <c r="H128" s="1057">
        <v>2.9</v>
      </c>
      <c r="I128" s="1058">
        <f>E128*('Ввод исходных данных'!$D$83-F128)</f>
        <v>6726.8</v>
      </c>
      <c r="J128" s="1059" t="str">
        <f t="shared" si="12"/>
        <v>6000-7000</v>
      </c>
      <c r="K128" s="1060">
        <v>11.7</v>
      </c>
      <c r="L128" s="1060"/>
      <c r="M128" s="1061">
        <f t="shared" si="14"/>
        <v>0</v>
      </c>
      <c r="N128" s="1062">
        <f>M128*('Ввод исходных данных'!$D$83-K128)</f>
        <v>0</v>
      </c>
      <c r="O128" s="1063">
        <v>12.2</v>
      </c>
      <c r="P128" s="1063"/>
      <c r="Q128" s="1063">
        <f t="shared" si="15"/>
        <v>0</v>
      </c>
      <c r="R128" s="1063">
        <f>Q128*('Ввод исходных данных'!$D$83-O128)</f>
        <v>0</v>
      </c>
      <c r="S128" s="1064">
        <v>8.6</v>
      </c>
      <c r="T128" s="1064"/>
      <c r="U128" s="1064">
        <f t="shared" si="16"/>
        <v>28</v>
      </c>
      <c r="V128" s="1064">
        <f>U128*('Ввод исходных данных'!$D$83-S128)</f>
        <v>319.2</v>
      </c>
      <c r="W128" s="1065">
        <v>3.2</v>
      </c>
      <c r="X128" s="1065"/>
      <c r="Y128" s="1065">
        <f t="shared" si="17"/>
        <v>31</v>
      </c>
      <c r="Z128" s="1065">
        <f>Y128*('Ввод исходных данных'!$D$83-W128)</f>
        <v>520.80000000000007</v>
      </c>
      <c r="AA128" s="1066">
        <v>-4.9000000000000004</v>
      </c>
      <c r="AB128" s="1066"/>
      <c r="AC128" s="1066">
        <f t="shared" si="18"/>
        <v>30</v>
      </c>
      <c r="AD128" s="1066">
        <f>AC128*('Ввод исходных данных'!$D$83-AA128)</f>
        <v>747</v>
      </c>
      <c r="AE128" s="1067">
        <v>-11.1</v>
      </c>
      <c r="AF128" s="1067"/>
      <c r="AG128" s="1067">
        <v>31</v>
      </c>
      <c r="AH128" s="1067">
        <f>AG128*('Ввод исходных данных'!$D$83-AE128)</f>
        <v>964.1</v>
      </c>
      <c r="AI128" s="1068">
        <v>-13.9</v>
      </c>
      <c r="AJ128" s="1068"/>
      <c r="AK128" s="1068">
        <v>31</v>
      </c>
      <c r="AL128" s="1068">
        <f>AK128*('Ввод исходных данных'!$D$83-AI128)</f>
        <v>1050.8999999999999</v>
      </c>
      <c r="AM128" s="1069">
        <v>-13.3</v>
      </c>
      <c r="AN128" s="1069"/>
      <c r="AO128" s="1069">
        <v>28</v>
      </c>
      <c r="AP128" s="1069">
        <f>AO128*('Ввод исходных данных'!$D$83-AM128)</f>
        <v>932.39999999999986</v>
      </c>
      <c r="AQ128" s="1064">
        <v>-9</v>
      </c>
      <c r="AR128" s="1064"/>
      <c r="AS128" s="1064">
        <f t="shared" si="19"/>
        <v>31</v>
      </c>
      <c r="AT128" s="1064">
        <f>AS128*('Ввод исходных данных'!$D$83-AQ128)</f>
        <v>899</v>
      </c>
      <c r="AU128" s="1070">
        <v>-2.7</v>
      </c>
      <c r="AV128" s="1070"/>
      <c r="AW128" s="1070">
        <f t="shared" si="20"/>
        <v>30</v>
      </c>
      <c r="AX128" s="1070">
        <f>AW128*('Ввод исходных данных'!$D$83-AU128)</f>
        <v>681</v>
      </c>
      <c r="AY128" s="1071">
        <v>3</v>
      </c>
      <c r="AZ128" s="1071"/>
      <c r="BA128" s="1071">
        <f t="shared" si="21"/>
        <v>28</v>
      </c>
      <c r="BB128" s="1071">
        <f>BA128*('Ввод исходных данных'!$D$83-AY128)</f>
        <v>476</v>
      </c>
      <c r="BC128" s="1072">
        <v>8.1</v>
      </c>
      <c r="BD128" s="1072"/>
      <c r="BE128" s="1072">
        <f t="shared" si="13"/>
        <v>0</v>
      </c>
      <c r="BF128" s="1073">
        <f>BE128*('Ввод исходных данных'!$D$83-BC128)</f>
        <v>0</v>
      </c>
    </row>
    <row r="129" spans="2:58" ht="15.75" customHeight="1" x14ac:dyDescent="0.25">
      <c r="B129" s="1052" t="s">
        <v>615</v>
      </c>
      <c r="C129" s="1052" t="s">
        <v>111</v>
      </c>
      <c r="D129" s="1053" t="str">
        <f t="shared" si="11"/>
        <v>Камчатская областьУка</v>
      </c>
      <c r="E129" s="1054">
        <v>281</v>
      </c>
      <c r="F129" s="1055">
        <v>-6.7</v>
      </c>
      <c r="G129" s="1055">
        <v>-34</v>
      </c>
      <c r="H129" s="1057">
        <v>9.1999999999999993</v>
      </c>
      <c r="I129" s="1058">
        <f>E129*('Ввод исходных данных'!$D$83-F129)</f>
        <v>7502.7</v>
      </c>
      <c r="J129" s="1059" t="str">
        <f t="shared" si="12"/>
        <v>7000-8000</v>
      </c>
      <c r="K129" s="1060">
        <v>12.2</v>
      </c>
      <c r="L129" s="1060"/>
      <c r="M129" s="1061">
        <f t="shared" si="14"/>
        <v>0</v>
      </c>
      <c r="N129" s="1062">
        <f>M129*('Ввод исходных данных'!$D$83-K129)</f>
        <v>0</v>
      </c>
      <c r="O129" s="1063">
        <v>12.6</v>
      </c>
      <c r="P129" s="1063"/>
      <c r="Q129" s="1063">
        <f t="shared" si="15"/>
        <v>4</v>
      </c>
      <c r="R129" s="1063">
        <f>Q129*('Ввод исходных данных'!$D$83-O129)</f>
        <v>29.6</v>
      </c>
      <c r="S129" s="1064">
        <v>8.1</v>
      </c>
      <c r="T129" s="1064"/>
      <c r="U129" s="1064">
        <f t="shared" si="16"/>
        <v>30</v>
      </c>
      <c r="V129" s="1064">
        <f>U129*('Ввод исходных данных'!$D$83-S129)</f>
        <v>357</v>
      </c>
      <c r="W129" s="1065">
        <v>0.7</v>
      </c>
      <c r="X129" s="1065"/>
      <c r="Y129" s="1065">
        <f t="shared" si="17"/>
        <v>31</v>
      </c>
      <c r="Z129" s="1065">
        <f>Y129*('Ввод исходных данных'!$D$83-W129)</f>
        <v>598.30000000000007</v>
      </c>
      <c r="AA129" s="1066">
        <v>-7.1</v>
      </c>
      <c r="AB129" s="1066"/>
      <c r="AC129" s="1066">
        <f t="shared" si="18"/>
        <v>30</v>
      </c>
      <c r="AD129" s="1066">
        <f>AC129*('Ввод исходных данных'!$D$83-AA129)</f>
        <v>813</v>
      </c>
      <c r="AE129" s="1067">
        <v>-13.2</v>
      </c>
      <c r="AF129" s="1067"/>
      <c r="AG129" s="1067">
        <v>31</v>
      </c>
      <c r="AH129" s="1067">
        <f>AG129*('Ввод исходных данных'!$D$83-AE129)</f>
        <v>1029.2</v>
      </c>
      <c r="AI129" s="1068">
        <v>-15.8</v>
      </c>
      <c r="AJ129" s="1068"/>
      <c r="AK129" s="1068">
        <v>31</v>
      </c>
      <c r="AL129" s="1068">
        <f>AK129*('Ввод исходных данных'!$D$83-AI129)</f>
        <v>1109.8</v>
      </c>
      <c r="AM129" s="1069">
        <v>-16.3</v>
      </c>
      <c r="AN129" s="1069"/>
      <c r="AO129" s="1069">
        <v>28</v>
      </c>
      <c r="AP129" s="1069">
        <f>AO129*('Ввод исходных данных'!$D$83-AM129)</f>
        <v>1016.3999999999999</v>
      </c>
      <c r="AQ129" s="1064">
        <v>-13.5</v>
      </c>
      <c r="AR129" s="1064"/>
      <c r="AS129" s="1064">
        <f t="shared" si="19"/>
        <v>31</v>
      </c>
      <c r="AT129" s="1064">
        <f>AS129*('Ввод исходных данных'!$D$83-AQ129)</f>
        <v>1038.5</v>
      </c>
      <c r="AU129" s="1070">
        <v>-6.2</v>
      </c>
      <c r="AV129" s="1070"/>
      <c r="AW129" s="1070">
        <f t="shared" si="20"/>
        <v>30</v>
      </c>
      <c r="AX129" s="1070">
        <f>AW129*('Ввод исходных данных'!$D$83-AU129)</f>
        <v>786</v>
      </c>
      <c r="AY129" s="1071">
        <v>-0.1</v>
      </c>
      <c r="AZ129" s="1071"/>
      <c r="BA129" s="1071">
        <f t="shared" si="21"/>
        <v>31</v>
      </c>
      <c r="BB129" s="1071">
        <f>BA129*('Ввод исходных данных'!$D$83-AY129)</f>
        <v>623.1</v>
      </c>
      <c r="BC129" s="1072">
        <v>6.3</v>
      </c>
      <c r="BD129" s="1072"/>
      <c r="BE129" s="1072">
        <f t="shared" si="13"/>
        <v>4</v>
      </c>
      <c r="BF129" s="1073">
        <f>BE129*('Ввод исходных данных'!$D$83-BC129)</f>
        <v>54.8</v>
      </c>
    </row>
    <row r="130" spans="2:58" ht="15.75" customHeight="1" x14ac:dyDescent="0.25">
      <c r="B130" s="1076" t="s">
        <v>615</v>
      </c>
      <c r="C130" s="1076" t="s">
        <v>653</v>
      </c>
      <c r="D130" s="1053" t="str">
        <f t="shared" si="11"/>
        <v xml:space="preserve">Камчатская областьУсть- Воямполка </v>
      </c>
      <c r="E130" s="1054">
        <v>286</v>
      </c>
      <c r="F130" s="1055">
        <v>-6.8</v>
      </c>
      <c r="G130" s="1055">
        <v>-34</v>
      </c>
      <c r="H130" s="1057">
        <v>3.9</v>
      </c>
      <c r="I130" s="1058">
        <f>E130*('Ввод исходных данных'!$D$83-F130)</f>
        <v>7664.8</v>
      </c>
      <c r="J130" s="1059" t="str">
        <f t="shared" si="12"/>
        <v>7000-8000</v>
      </c>
      <c r="K130" s="1060">
        <v>10.199999999999999</v>
      </c>
      <c r="L130" s="1060"/>
      <c r="M130" s="1061">
        <f t="shared" si="14"/>
        <v>0</v>
      </c>
      <c r="N130" s="1062">
        <f>M130*('Ввод исходных данных'!$D$83-K130)</f>
        <v>0</v>
      </c>
      <c r="O130" s="1063">
        <v>10.7</v>
      </c>
      <c r="P130" s="1063"/>
      <c r="Q130" s="1063">
        <f t="shared" si="15"/>
        <v>6.5</v>
      </c>
      <c r="R130" s="1063">
        <f>Q130*('Ввод исходных данных'!$D$83-O130)</f>
        <v>60.45</v>
      </c>
      <c r="S130" s="1064">
        <v>7.4</v>
      </c>
      <c r="T130" s="1064"/>
      <c r="U130" s="1064">
        <f t="shared" si="16"/>
        <v>30</v>
      </c>
      <c r="V130" s="1064">
        <f>U130*('Ввод исходных данных'!$D$83-S130)</f>
        <v>378</v>
      </c>
      <c r="W130" s="1065">
        <v>1.2</v>
      </c>
      <c r="X130" s="1065"/>
      <c r="Y130" s="1065">
        <f t="shared" si="17"/>
        <v>31</v>
      </c>
      <c r="Z130" s="1065">
        <f>Y130*('Ввод исходных данных'!$D$83-W130)</f>
        <v>582.80000000000007</v>
      </c>
      <c r="AA130" s="1066">
        <v>-7.1</v>
      </c>
      <c r="AB130" s="1066"/>
      <c r="AC130" s="1066">
        <f t="shared" si="18"/>
        <v>30</v>
      </c>
      <c r="AD130" s="1066">
        <f>AC130*('Ввод исходных данных'!$D$83-AA130)</f>
        <v>813</v>
      </c>
      <c r="AE130" s="1067">
        <v>-14.2</v>
      </c>
      <c r="AF130" s="1067"/>
      <c r="AG130" s="1067">
        <v>31</v>
      </c>
      <c r="AH130" s="1067">
        <f>AG130*('Ввод исходных данных'!$D$83-AE130)</f>
        <v>1060.2</v>
      </c>
      <c r="AI130" s="1068">
        <v>-17.5</v>
      </c>
      <c r="AJ130" s="1068"/>
      <c r="AK130" s="1068">
        <v>31</v>
      </c>
      <c r="AL130" s="1068">
        <f>AK130*('Ввод исходных данных'!$D$83-AI130)</f>
        <v>1162.5</v>
      </c>
      <c r="AM130" s="1069">
        <v>-16.5</v>
      </c>
      <c r="AN130" s="1069"/>
      <c r="AO130" s="1069">
        <v>28</v>
      </c>
      <c r="AP130" s="1069">
        <f>AO130*('Ввод исходных данных'!$D$83-AM130)</f>
        <v>1022</v>
      </c>
      <c r="AQ130" s="1064">
        <v>-12.9</v>
      </c>
      <c r="AR130" s="1064"/>
      <c r="AS130" s="1064">
        <f t="shared" si="19"/>
        <v>31</v>
      </c>
      <c r="AT130" s="1064">
        <f>AS130*('Ввод исходных данных'!$D$83-AQ130)</f>
        <v>1019.9</v>
      </c>
      <c r="AU130" s="1070">
        <v>-5.6</v>
      </c>
      <c r="AV130" s="1070"/>
      <c r="AW130" s="1070">
        <f t="shared" si="20"/>
        <v>30</v>
      </c>
      <c r="AX130" s="1070">
        <f>AW130*('Ввод исходных данных'!$D$83-AU130)</f>
        <v>768</v>
      </c>
      <c r="AY130" s="1071">
        <v>1.4</v>
      </c>
      <c r="AZ130" s="1071"/>
      <c r="BA130" s="1071">
        <f t="shared" si="21"/>
        <v>31</v>
      </c>
      <c r="BB130" s="1071">
        <f>BA130*('Ввод исходных данных'!$D$83-AY130)</f>
        <v>576.6</v>
      </c>
      <c r="BC130" s="1072">
        <v>6.7</v>
      </c>
      <c r="BD130" s="1072"/>
      <c r="BE130" s="1072">
        <f t="shared" si="13"/>
        <v>6.5</v>
      </c>
      <c r="BF130" s="1073">
        <f>BE130*('Ввод исходных данных'!$D$83-BC130)</f>
        <v>86.45</v>
      </c>
    </row>
    <row r="131" spans="2:58" ht="15.75" customHeight="1" x14ac:dyDescent="0.25">
      <c r="B131" s="1052" t="s">
        <v>615</v>
      </c>
      <c r="C131" s="1052" t="s">
        <v>654</v>
      </c>
      <c r="D131" s="1053" t="str">
        <f t="shared" si="11"/>
        <v>Камчатская областьУсть- Хайрюзово</v>
      </c>
      <c r="E131" s="1054">
        <v>273</v>
      </c>
      <c r="F131" s="1055">
        <v>-5.2</v>
      </c>
      <c r="G131" s="1055">
        <v>-30</v>
      </c>
      <c r="H131" s="1057">
        <v>5.5</v>
      </c>
      <c r="I131" s="1058">
        <f>E131*('Ввод исходных данных'!$D$83-F131)</f>
        <v>6879.5999999999995</v>
      </c>
      <c r="J131" s="1059" t="str">
        <f t="shared" si="12"/>
        <v>6000-7000</v>
      </c>
      <c r="K131" s="1060">
        <v>11.6</v>
      </c>
      <c r="L131" s="1060"/>
      <c r="M131" s="1061">
        <f t="shared" si="14"/>
        <v>0.5</v>
      </c>
      <c r="N131" s="1062">
        <f>M131*('Ввод исходных данных'!$D$83-K131)</f>
        <v>4.2</v>
      </c>
      <c r="O131" s="1063">
        <v>12.1</v>
      </c>
      <c r="P131" s="1063"/>
      <c r="Q131" s="1063">
        <f t="shared" si="15"/>
        <v>0</v>
      </c>
      <c r="R131" s="1063">
        <f>Q131*('Ввод исходных данных'!$D$83-O131)</f>
        <v>0</v>
      </c>
      <c r="S131" s="1064">
        <v>8.3000000000000007</v>
      </c>
      <c r="T131" s="1064"/>
      <c r="U131" s="1064">
        <f t="shared" si="16"/>
        <v>30</v>
      </c>
      <c r="V131" s="1064">
        <f>U131*('Ввод исходных данных'!$D$83-S131)</f>
        <v>351</v>
      </c>
      <c r="W131" s="1065">
        <v>2.6</v>
      </c>
      <c r="X131" s="1065"/>
      <c r="Y131" s="1065">
        <f t="shared" si="17"/>
        <v>31</v>
      </c>
      <c r="Z131" s="1065">
        <f>Y131*('Ввод исходных данных'!$D$83-W131)</f>
        <v>539.4</v>
      </c>
      <c r="AA131" s="1066">
        <v>-5.0999999999999996</v>
      </c>
      <c r="AB131" s="1066"/>
      <c r="AC131" s="1066">
        <f t="shared" si="18"/>
        <v>30</v>
      </c>
      <c r="AD131" s="1066">
        <f>AC131*('Ввод исходных данных'!$D$83-AA131)</f>
        <v>753</v>
      </c>
      <c r="AE131" s="1067">
        <v>-11.2</v>
      </c>
      <c r="AF131" s="1067"/>
      <c r="AG131" s="1067">
        <v>31</v>
      </c>
      <c r="AH131" s="1067">
        <f>AG131*('Ввод исходных данных'!$D$83-AE131)</f>
        <v>967.19999999999993</v>
      </c>
      <c r="AI131" s="1068">
        <v>-14.1</v>
      </c>
      <c r="AJ131" s="1068"/>
      <c r="AK131" s="1068">
        <v>31</v>
      </c>
      <c r="AL131" s="1068">
        <f>AK131*('Ввод исходных данных'!$D$83-AI131)</f>
        <v>1057.1000000000001</v>
      </c>
      <c r="AM131" s="1069">
        <v>-13.6</v>
      </c>
      <c r="AN131" s="1069"/>
      <c r="AO131" s="1069">
        <v>28</v>
      </c>
      <c r="AP131" s="1069">
        <f>AO131*('Ввод исходных данных'!$D$83-AM131)</f>
        <v>940.80000000000007</v>
      </c>
      <c r="AQ131" s="1064">
        <v>-9.9</v>
      </c>
      <c r="AR131" s="1064"/>
      <c r="AS131" s="1064">
        <f t="shared" si="19"/>
        <v>31</v>
      </c>
      <c r="AT131" s="1064">
        <f>AS131*('Ввод исходных данных'!$D$83-AQ131)</f>
        <v>926.9</v>
      </c>
      <c r="AU131" s="1070">
        <v>-3.5</v>
      </c>
      <c r="AV131" s="1070"/>
      <c r="AW131" s="1070">
        <f t="shared" si="20"/>
        <v>30</v>
      </c>
      <c r="AX131" s="1070">
        <f>AW131*('Ввод исходных данных'!$D$83-AU131)</f>
        <v>705</v>
      </c>
      <c r="AY131" s="1071">
        <v>2.8</v>
      </c>
      <c r="AZ131" s="1071"/>
      <c r="BA131" s="1071">
        <f t="shared" si="21"/>
        <v>30.5</v>
      </c>
      <c r="BB131" s="1071">
        <f>BA131*('Ввод исходных данных'!$D$83-AY131)</f>
        <v>524.6</v>
      </c>
      <c r="BC131" s="1072">
        <v>7.9</v>
      </c>
      <c r="BD131" s="1072"/>
      <c r="BE131" s="1072">
        <f t="shared" si="13"/>
        <v>0</v>
      </c>
      <c r="BF131" s="1073">
        <f>BE131*('Ввод исходных данных'!$D$83-BC131)</f>
        <v>0</v>
      </c>
    </row>
    <row r="132" spans="2:58" ht="15.75" customHeight="1" x14ac:dyDescent="0.25">
      <c r="B132" s="1076" t="s">
        <v>615</v>
      </c>
      <c r="C132" s="1076" t="s">
        <v>655</v>
      </c>
      <c r="D132" s="1053" t="str">
        <f t="shared" si="11"/>
        <v>Камчатская областьУсть-Камчатск</v>
      </c>
      <c r="E132" s="1054">
        <v>277</v>
      </c>
      <c r="F132" s="1055">
        <v>-4</v>
      </c>
      <c r="G132" s="1055">
        <v>-28</v>
      </c>
      <c r="H132" s="1057">
        <v>7.1</v>
      </c>
      <c r="I132" s="1058">
        <f>E132*('Ввод исходных данных'!$D$83-F132)</f>
        <v>6648</v>
      </c>
      <c r="J132" s="1059" t="str">
        <f t="shared" si="12"/>
        <v>6000-7000</v>
      </c>
      <c r="K132" s="1060">
        <v>11.2</v>
      </c>
      <c r="L132" s="1060"/>
      <c r="M132" s="1061">
        <f t="shared" si="14"/>
        <v>0</v>
      </c>
      <c r="N132" s="1062">
        <f>M132*('Ввод исходных данных'!$D$83-K132)</f>
        <v>0</v>
      </c>
      <c r="O132" s="1063">
        <v>12.2</v>
      </c>
      <c r="P132" s="1063"/>
      <c r="Q132" s="1063">
        <f t="shared" si="15"/>
        <v>2</v>
      </c>
      <c r="R132" s="1063">
        <f>Q132*('Ввод исходных данных'!$D$83-O132)</f>
        <v>15.600000000000001</v>
      </c>
      <c r="S132" s="1064">
        <v>9</v>
      </c>
      <c r="T132" s="1064"/>
      <c r="U132" s="1064">
        <f t="shared" si="16"/>
        <v>30</v>
      </c>
      <c r="V132" s="1064">
        <f>U132*('Ввод исходных данных'!$D$83-S132)</f>
        <v>330</v>
      </c>
      <c r="W132" s="1065">
        <v>2.6</v>
      </c>
      <c r="X132" s="1065"/>
      <c r="Y132" s="1065">
        <f t="shared" si="17"/>
        <v>31</v>
      </c>
      <c r="Z132" s="1065">
        <f>Y132*('Ввод исходных данных'!$D$83-W132)</f>
        <v>539.4</v>
      </c>
      <c r="AA132" s="1066">
        <v>-4.7</v>
      </c>
      <c r="AB132" s="1066"/>
      <c r="AC132" s="1066">
        <f t="shared" si="18"/>
        <v>30</v>
      </c>
      <c r="AD132" s="1066">
        <f>AC132*('Ввод исходных данных'!$D$83-AA132)</f>
        <v>741</v>
      </c>
      <c r="AE132" s="1067">
        <v>-9.6999999999999993</v>
      </c>
      <c r="AF132" s="1067"/>
      <c r="AG132" s="1067">
        <v>31</v>
      </c>
      <c r="AH132" s="1067">
        <f>AG132*('Ввод исходных данных'!$D$83-AE132)</f>
        <v>920.69999999999993</v>
      </c>
      <c r="AI132" s="1068">
        <v>-11.4</v>
      </c>
      <c r="AJ132" s="1068"/>
      <c r="AK132" s="1068">
        <v>31</v>
      </c>
      <c r="AL132" s="1068">
        <f>AK132*('Ввод исходных данных'!$D$83-AI132)</f>
        <v>973.4</v>
      </c>
      <c r="AM132" s="1069">
        <v>-11.2</v>
      </c>
      <c r="AN132" s="1069"/>
      <c r="AO132" s="1069">
        <v>28</v>
      </c>
      <c r="AP132" s="1069">
        <f>AO132*('Ввод исходных данных'!$D$83-AM132)</f>
        <v>873.6</v>
      </c>
      <c r="AQ132" s="1064">
        <v>-9</v>
      </c>
      <c r="AR132" s="1064"/>
      <c r="AS132" s="1064">
        <f t="shared" si="19"/>
        <v>31</v>
      </c>
      <c r="AT132" s="1064">
        <f>AS132*('Ввод исходных данных'!$D$83-AQ132)</f>
        <v>899</v>
      </c>
      <c r="AU132" s="1070">
        <v>-3.6</v>
      </c>
      <c r="AV132" s="1070"/>
      <c r="AW132" s="1070">
        <f t="shared" si="20"/>
        <v>30</v>
      </c>
      <c r="AX132" s="1070">
        <f>AW132*('Ввод исходных данных'!$D$83-AU132)</f>
        <v>708</v>
      </c>
      <c r="AY132" s="1071">
        <v>1.6</v>
      </c>
      <c r="AZ132" s="1071"/>
      <c r="BA132" s="1071">
        <f t="shared" si="21"/>
        <v>31</v>
      </c>
      <c r="BB132" s="1071">
        <f>BA132*('Ввод исходных данных'!$D$83-AY132)</f>
        <v>570.4</v>
      </c>
      <c r="BC132" s="1072">
        <v>6.8</v>
      </c>
      <c r="BD132" s="1072"/>
      <c r="BE132" s="1072">
        <f t="shared" si="13"/>
        <v>2</v>
      </c>
      <c r="BF132" s="1073">
        <f>BE132*('Ввод исходных данных'!$D$83-BC132)</f>
        <v>26.4</v>
      </c>
    </row>
    <row r="133" spans="2:58" ht="15.75" customHeight="1" x14ac:dyDescent="0.25">
      <c r="B133" s="1052" t="s">
        <v>616</v>
      </c>
      <c r="C133" s="1052" t="s">
        <v>112</v>
      </c>
      <c r="D133" s="1053" t="str">
        <f t="shared" si="11"/>
        <v>Карачаево-Черкесская РеспубликаЧеркесск</v>
      </c>
      <c r="E133" s="1054">
        <v>169</v>
      </c>
      <c r="F133" s="1055">
        <v>0.6</v>
      </c>
      <c r="G133" s="1055">
        <v>-18</v>
      </c>
      <c r="H133" s="1057">
        <v>3</v>
      </c>
      <c r="I133" s="1058">
        <f>E133*('Ввод исходных данных'!$D$83-F133)</f>
        <v>3278.6</v>
      </c>
      <c r="J133" s="1059" t="str">
        <f t="shared" si="12"/>
        <v>3000-4000</v>
      </c>
      <c r="K133" s="1060">
        <v>21.1</v>
      </c>
      <c r="L133" s="1060"/>
      <c r="M133" s="1061">
        <f t="shared" si="14"/>
        <v>0</v>
      </c>
      <c r="N133" s="1062">
        <f>M133*('Ввод исходных данных'!$D$83-K133)</f>
        <v>0</v>
      </c>
      <c r="O133" s="1063">
        <v>20.6</v>
      </c>
      <c r="P133" s="1063"/>
      <c r="Q133" s="1063">
        <f t="shared" si="15"/>
        <v>0</v>
      </c>
      <c r="R133" s="1063">
        <f>Q133*('Ввод исходных данных'!$D$83-O133)</f>
        <v>0</v>
      </c>
      <c r="S133" s="1064">
        <v>15.7</v>
      </c>
      <c r="T133" s="1064"/>
      <c r="U133" s="1064">
        <f t="shared" si="16"/>
        <v>0</v>
      </c>
      <c r="V133" s="1064">
        <f>U133*('Ввод исходных данных'!$D$83-S133)</f>
        <v>0</v>
      </c>
      <c r="W133" s="1065">
        <v>9.6</v>
      </c>
      <c r="X133" s="1065"/>
      <c r="Y133" s="1065">
        <f t="shared" si="17"/>
        <v>9</v>
      </c>
      <c r="Z133" s="1065">
        <f>Y133*('Ввод исходных данных'!$D$83-W133)</f>
        <v>93.600000000000009</v>
      </c>
      <c r="AA133" s="1066">
        <v>3.7</v>
      </c>
      <c r="AB133" s="1066"/>
      <c r="AC133" s="1066">
        <f t="shared" si="18"/>
        <v>30</v>
      </c>
      <c r="AD133" s="1066">
        <f>AC133*('Ввод исходных данных'!$D$83-AA133)</f>
        <v>489</v>
      </c>
      <c r="AE133" s="1067">
        <v>-1.1000000000000001</v>
      </c>
      <c r="AF133" s="1067"/>
      <c r="AG133" s="1067">
        <v>31</v>
      </c>
      <c r="AH133" s="1067">
        <f>AG133*('Ввод исходных данных'!$D$83-AE133)</f>
        <v>654.1</v>
      </c>
      <c r="AI133" s="1068">
        <v>-4.4000000000000004</v>
      </c>
      <c r="AJ133" s="1068"/>
      <c r="AK133" s="1068">
        <v>31</v>
      </c>
      <c r="AL133" s="1068">
        <f>AK133*('Ввод исходных данных'!$D$83-AI133)</f>
        <v>756.4</v>
      </c>
      <c r="AM133" s="1069">
        <v>-2.2999999999999998</v>
      </c>
      <c r="AN133" s="1069"/>
      <c r="AO133" s="1069">
        <v>28</v>
      </c>
      <c r="AP133" s="1069">
        <f>AO133*('Ввод исходных данных'!$D$83-AM133)</f>
        <v>624.4</v>
      </c>
      <c r="AQ133" s="1064">
        <v>1.5</v>
      </c>
      <c r="AR133" s="1064"/>
      <c r="AS133" s="1064">
        <f t="shared" si="19"/>
        <v>31</v>
      </c>
      <c r="AT133" s="1064">
        <f>AS133*('Ввод исходных данных'!$D$83-AQ133)</f>
        <v>573.5</v>
      </c>
      <c r="AU133" s="1070">
        <v>9</v>
      </c>
      <c r="AV133" s="1070"/>
      <c r="AW133" s="1070">
        <f t="shared" si="20"/>
        <v>9</v>
      </c>
      <c r="AX133" s="1070">
        <f>AW133*('Ввод исходных данных'!$D$83-AU133)</f>
        <v>99</v>
      </c>
      <c r="AY133" s="1071">
        <v>14.8</v>
      </c>
      <c r="AZ133" s="1071"/>
      <c r="BA133" s="1071">
        <f t="shared" si="21"/>
        <v>0</v>
      </c>
      <c r="BB133" s="1071">
        <f>BA133*('Ввод исходных данных'!$D$83-AY133)</f>
        <v>0</v>
      </c>
      <c r="BC133" s="1072">
        <v>18.3</v>
      </c>
      <c r="BD133" s="1072"/>
      <c r="BE133" s="1072">
        <f t="shared" si="13"/>
        <v>0</v>
      </c>
      <c r="BF133" s="1073">
        <f>BE133*('Ввод исходных данных'!$D$83-BC133)</f>
        <v>0</v>
      </c>
    </row>
    <row r="134" spans="2:58" ht="15.75" customHeight="1" x14ac:dyDescent="0.25">
      <c r="B134" s="1076" t="s">
        <v>113</v>
      </c>
      <c r="C134" s="1076" t="s">
        <v>114</v>
      </c>
      <c r="D134" s="1053" t="str">
        <f t="shared" si="11"/>
        <v>Кемеровская областьКемерово</v>
      </c>
      <c r="E134" s="1054">
        <v>227</v>
      </c>
      <c r="F134" s="1055">
        <v>-8</v>
      </c>
      <c r="G134" s="1055">
        <v>-39</v>
      </c>
      <c r="H134" s="1057">
        <v>3.4</v>
      </c>
      <c r="I134" s="1058">
        <f>E134*('Ввод исходных данных'!$D$83-F134)</f>
        <v>6356</v>
      </c>
      <c r="J134" s="1059" t="str">
        <f t="shared" si="12"/>
        <v>6000-7000</v>
      </c>
      <c r="K134" s="1060">
        <v>19</v>
      </c>
      <c r="L134" s="1060"/>
      <c r="M134" s="1061">
        <f t="shared" si="14"/>
        <v>0</v>
      </c>
      <c r="N134" s="1062">
        <f>M134*('Ввод исходных данных'!$D$83-K134)</f>
        <v>0</v>
      </c>
      <c r="O134" s="1063">
        <v>15.8</v>
      </c>
      <c r="P134" s="1063"/>
      <c r="Q134" s="1063">
        <f t="shared" si="15"/>
        <v>0</v>
      </c>
      <c r="R134" s="1063">
        <f>Q134*('Ввод исходных данных'!$D$83-O134)</f>
        <v>0</v>
      </c>
      <c r="S134" s="1064">
        <v>9.5</v>
      </c>
      <c r="T134" s="1064"/>
      <c r="U134" s="1064">
        <f t="shared" si="16"/>
        <v>7.5</v>
      </c>
      <c r="V134" s="1064">
        <f>U134*('Ввод исходных данных'!$D$83-S134)</f>
        <v>78.75</v>
      </c>
      <c r="W134" s="1065">
        <v>1.9</v>
      </c>
      <c r="X134" s="1065"/>
      <c r="Y134" s="1065">
        <f t="shared" si="17"/>
        <v>31</v>
      </c>
      <c r="Z134" s="1065">
        <f>Y134*('Ввод исходных данных'!$D$83-W134)</f>
        <v>561.1</v>
      </c>
      <c r="AA134" s="1066">
        <v>-7.8</v>
      </c>
      <c r="AB134" s="1066"/>
      <c r="AC134" s="1066">
        <f t="shared" si="18"/>
        <v>30</v>
      </c>
      <c r="AD134" s="1066">
        <f>AC134*('Ввод исходных данных'!$D$83-AA134)</f>
        <v>834</v>
      </c>
      <c r="AE134" s="1067">
        <v>-15.2</v>
      </c>
      <c r="AF134" s="1067"/>
      <c r="AG134" s="1067">
        <v>31</v>
      </c>
      <c r="AH134" s="1067">
        <f>AG134*('Ввод исходных данных'!$D$83-AE134)</f>
        <v>1091.2</v>
      </c>
      <c r="AI134" s="1068">
        <v>-17.899999999999999</v>
      </c>
      <c r="AJ134" s="1068"/>
      <c r="AK134" s="1068">
        <v>31</v>
      </c>
      <c r="AL134" s="1068">
        <f>AK134*('Ввод исходных данных'!$D$83-AI134)</f>
        <v>1174.8999999999999</v>
      </c>
      <c r="AM134" s="1069">
        <v>-15.8</v>
      </c>
      <c r="AN134" s="1069"/>
      <c r="AO134" s="1069">
        <v>28</v>
      </c>
      <c r="AP134" s="1069">
        <f>AO134*('Ввод исходных данных'!$D$83-AM134)</f>
        <v>1002.3999999999999</v>
      </c>
      <c r="AQ134" s="1064">
        <v>-8.1</v>
      </c>
      <c r="AR134" s="1064"/>
      <c r="AS134" s="1064">
        <f t="shared" si="19"/>
        <v>31</v>
      </c>
      <c r="AT134" s="1064">
        <f>AS134*('Ввод исходных данных'!$D$83-AQ134)</f>
        <v>871.1</v>
      </c>
      <c r="AU134" s="1070">
        <v>1.8</v>
      </c>
      <c r="AV134" s="1070"/>
      <c r="AW134" s="1070">
        <f t="shared" si="20"/>
        <v>30</v>
      </c>
      <c r="AX134" s="1070">
        <f>AW134*('Ввод исходных данных'!$D$83-AU134)</f>
        <v>546</v>
      </c>
      <c r="AY134" s="1071">
        <v>10.6</v>
      </c>
      <c r="AZ134" s="1071"/>
      <c r="BA134" s="1071">
        <f t="shared" si="21"/>
        <v>7.5</v>
      </c>
      <c r="BB134" s="1071">
        <f>BA134*('Ввод исходных данных'!$D$83-AY134)</f>
        <v>70.5</v>
      </c>
      <c r="BC134" s="1072">
        <v>16.399999999999999</v>
      </c>
      <c r="BD134" s="1072"/>
      <c r="BE134" s="1072">
        <f t="shared" si="13"/>
        <v>0</v>
      </c>
      <c r="BF134" s="1073">
        <f>BE134*('Ввод исходных данных'!$D$83-BC134)</f>
        <v>0</v>
      </c>
    </row>
    <row r="135" spans="2:58" ht="15.75" customHeight="1" x14ac:dyDescent="0.25">
      <c r="B135" s="1052" t="s">
        <v>113</v>
      </c>
      <c r="C135" s="1052" t="s">
        <v>115</v>
      </c>
      <c r="D135" s="1053" t="str">
        <f t="shared" si="11"/>
        <v>Кемеровская областьКиселевск</v>
      </c>
      <c r="E135" s="1054">
        <v>227</v>
      </c>
      <c r="F135" s="1055">
        <v>-7.3</v>
      </c>
      <c r="G135" s="1055">
        <v>-39</v>
      </c>
      <c r="H135" s="1057">
        <v>5.5</v>
      </c>
      <c r="I135" s="1058">
        <f>E135*('Ввод исходных данных'!$D$83-F135)</f>
        <v>6197.1</v>
      </c>
      <c r="J135" s="1059" t="str">
        <f t="shared" si="12"/>
        <v>6000-7000</v>
      </c>
      <c r="K135" s="1060">
        <v>18.8</v>
      </c>
      <c r="L135" s="1060"/>
      <c r="M135" s="1061">
        <f t="shared" si="14"/>
        <v>0</v>
      </c>
      <c r="N135" s="1062">
        <f>M135*('Ввод исходных данных'!$D$83-K135)</f>
        <v>0</v>
      </c>
      <c r="O135" s="1063">
        <v>15.8</v>
      </c>
      <c r="P135" s="1063"/>
      <c r="Q135" s="1063">
        <f t="shared" si="15"/>
        <v>0</v>
      </c>
      <c r="R135" s="1063">
        <f>Q135*('Ввод исходных данных'!$D$83-O135)</f>
        <v>0</v>
      </c>
      <c r="S135" s="1064">
        <v>10</v>
      </c>
      <c r="T135" s="1064"/>
      <c r="U135" s="1064">
        <f t="shared" si="16"/>
        <v>7.5</v>
      </c>
      <c r="V135" s="1064">
        <f>U135*('Ввод исходных данных'!$D$83-S135)</f>
        <v>75</v>
      </c>
      <c r="W135" s="1065">
        <v>2.2000000000000002</v>
      </c>
      <c r="X135" s="1065"/>
      <c r="Y135" s="1065">
        <f t="shared" si="17"/>
        <v>31</v>
      </c>
      <c r="Z135" s="1065">
        <f>Y135*('Ввод исходных данных'!$D$83-W135)</f>
        <v>551.80000000000007</v>
      </c>
      <c r="AA135" s="1066">
        <v>-8.3000000000000007</v>
      </c>
      <c r="AB135" s="1066"/>
      <c r="AC135" s="1066">
        <f t="shared" si="18"/>
        <v>30</v>
      </c>
      <c r="AD135" s="1066">
        <f>AC135*('Ввод исходных данных'!$D$83-AA135)</f>
        <v>849</v>
      </c>
      <c r="AE135" s="1067">
        <v>-15.4</v>
      </c>
      <c r="AF135" s="1067"/>
      <c r="AG135" s="1067">
        <v>31</v>
      </c>
      <c r="AH135" s="1067">
        <f>AG135*('Ввод исходных данных'!$D$83-AE135)</f>
        <v>1097.3999999999999</v>
      </c>
      <c r="AI135" s="1068">
        <v>-17.2</v>
      </c>
      <c r="AJ135" s="1068"/>
      <c r="AK135" s="1068">
        <v>31</v>
      </c>
      <c r="AL135" s="1068">
        <f>AK135*('Ввод исходных данных'!$D$83-AI135)</f>
        <v>1153.2</v>
      </c>
      <c r="AM135" s="1069">
        <v>-15.5</v>
      </c>
      <c r="AN135" s="1069"/>
      <c r="AO135" s="1069">
        <v>28</v>
      </c>
      <c r="AP135" s="1069">
        <f>AO135*('Ввод исходных данных'!$D$83-AM135)</f>
        <v>994</v>
      </c>
      <c r="AQ135" s="1064">
        <v>-8.1</v>
      </c>
      <c r="AR135" s="1064"/>
      <c r="AS135" s="1064">
        <f t="shared" si="19"/>
        <v>31</v>
      </c>
      <c r="AT135" s="1064">
        <f>AS135*('Ввод исходных данных'!$D$83-AQ135)</f>
        <v>871.1</v>
      </c>
      <c r="AU135" s="1070">
        <v>2</v>
      </c>
      <c r="AV135" s="1070"/>
      <c r="AW135" s="1070">
        <f t="shared" si="20"/>
        <v>30</v>
      </c>
      <c r="AX135" s="1070">
        <f>AW135*('Ввод исходных данных'!$D$83-AU135)</f>
        <v>540</v>
      </c>
      <c r="AY135" s="1071">
        <v>10</v>
      </c>
      <c r="AZ135" s="1071"/>
      <c r="BA135" s="1071">
        <f t="shared" si="21"/>
        <v>7.5</v>
      </c>
      <c r="BB135" s="1071">
        <f>BA135*('Ввод исходных данных'!$D$83-AY135)</f>
        <v>75</v>
      </c>
      <c r="BC135" s="1072">
        <v>16.600000000000001</v>
      </c>
      <c r="BD135" s="1072"/>
      <c r="BE135" s="1072">
        <f t="shared" si="13"/>
        <v>0</v>
      </c>
      <c r="BF135" s="1073">
        <f>BE135*('Ввод исходных данных'!$D$83-BC135)</f>
        <v>0</v>
      </c>
    </row>
    <row r="136" spans="2:58" ht="15.75" customHeight="1" x14ac:dyDescent="0.25">
      <c r="B136" s="1076" t="s">
        <v>113</v>
      </c>
      <c r="C136" s="1076" t="s">
        <v>116</v>
      </c>
      <c r="D136" s="1053" t="str">
        <f t="shared" si="11"/>
        <v>Кемеровская областьКондома</v>
      </c>
      <c r="E136" s="1054">
        <v>236</v>
      </c>
      <c r="F136" s="1055">
        <v>-7.8</v>
      </c>
      <c r="G136" s="1055">
        <v>-40</v>
      </c>
      <c r="H136" s="1057">
        <v>3.6</v>
      </c>
      <c r="I136" s="1058">
        <f>E136*('Ввод исходных данных'!$D$83-F136)</f>
        <v>6560.8</v>
      </c>
      <c r="J136" s="1059" t="str">
        <f t="shared" si="12"/>
        <v>6000-7000</v>
      </c>
      <c r="K136" s="1060">
        <v>17.399999999999999</v>
      </c>
      <c r="L136" s="1060"/>
      <c r="M136" s="1061">
        <f t="shared" si="14"/>
        <v>0</v>
      </c>
      <c r="N136" s="1062">
        <f>M136*('Ввод исходных данных'!$D$83-K136)</f>
        <v>0</v>
      </c>
      <c r="O136" s="1063">
        <v>14.5</v>
      </c>
      <c r="P136" s="1063"/>
      <c r="Q136" s="1063">
        <f t="shared" si="15"/>
        <v>0</v>
      </c>
      <c r="R136" s="1063">
        <f>Q136*('Ввод исходных данных'!$D$83-O136)</f>
        <v>0</v>
      </c>
      <c r="S136" s="1064">
        <v>8.6</v>
      </c>
      <c r="T136" s="1064"/>
      <c r="U136" s="1064">
        <f t="shared" si="16"/>
        <v>12</v>
      </c>
      <c r="V136" s="1064">
        <f>U136*('Ввод исходных данных'!$D$83-S136)</f>
        <v>136.80000000000001</v>
      </c>
      <c r="W136" s="1065">
        <v>1.4</v>
      </c>
      <c r="X136" s="1065"/>
      <c r="Y136" s="1065">
        <f t="shared" si="17"/>
        <v>31</v>
      </c>
      <c r="Z136" s="1065">
        <f>Y136*('Ввод исходных данных'!$D$83-W136)</f>
        <v>576.6</v>
      </c>
      <c r="AA136" s="1066">
        <v>-9.4</v>
      </c>
      <c r="AB136" s="1066"/>
      <c r="AC136" s="1066">
        <f t="shared" si="18"/>
        <v>30</v>
      </c>
      <c r="AD136" s="1066">
        <f>AC136*('Ввод исходных данных'!$D$83-AA136)</f>
        <v>882</v>
      </c>
      <c r="AE136" s="1067">
        <v>-17</v>
      </c>
      <c r="AF136" s="1067"/>
      <c r="AG136" s="1067">
        <v>31</v>
      </c>
      <c r="AH136" s="1067">
        <f>AG136*('Ввод исходных данных'!$D$83-AE136)</f>
        <v>1147</v>
      </c>
      <c r="AI136" s="1068">
        <v>-19.100000000000001</v>
      </c>
      <c r="AJ136" s="1068"/>
      <c r="AK136" s="1068">
        <v>31</v>
      </c>
      <c r="AL136" s="1068">
        <f>AK136*('Ввод исходных данных'!$D$83-AI136)</f>
        <v>1212.1000000000001</v>
      </c>
      <c r="AM136" s="1069">
        <v>-16.3</v>
      </c>
      <c r="AN136" s="1069"/>
      <c r="AO136" s="1069">
        <v>28</v>
      </c>
      <c r="AP136" s="1069">
        <f>AO136*('Ввод исходных данных'!$D$83-AM136)</f>
        <v>1016.3999999999999</v>
      </c>
      <c r="AQ136" s="1064">
        <v>-8.6</v>
      </c>
      <c r="AR136" s="1064"/>
      <c r="AS136" s="1064">
        <f t="shared" si="19"/>
        <v>31</v>
      </c>
      <c r="AT136" s="1064">
        <f>AS136*('Ввод исходных данных'!$D$83-AQ136)</f>
        <v>886.6</v>
      </c>
      <c r="AU136" s="1070">
        <v>0.9</v>
      </c>
      <c r="AV136" s="1070"/>
      <c r="AW136" s="1070">
        <f t="shared" si="20"/>
        <v>30</v>
      </c>
      <c r="AX136" s="1070">
        <f>AW136*('Ввод исходных данных'!$D$83-AU136)</f>
        <v>573</v>
      </c>
      <c r="AY136" s="1071">
        <v>9.1</v>
      </c>
      <c r="AZ136" s="1071"/>
      <c r="BA136" s="1071">
        <f t="shared" si="21"/>
        <v>12</v>
      </c>
      <c r="BB136" s="1071">
        <f>BA136*('Ввод исходных данных'!$D$83-AY136)</f>
        <v>130.80000000000001</v>
      </c>
      <c r="BC136" s="1072">
        <v>15.2</v>
      </c>
      <c r="BD136" s="1072"/>
      <c r="BE136" s="1072">
        <f t="shared" si="13"/>
        <v>0</v>
      </c>
      <c r="BF136" s="1073">
        <f>BE136*('Ввод исходных данных'!$D$83-BC136)</f>
        <v>0</v>
      </c>
    </row>
    <row r="137" spans="2:58" ht="15.75" customHeight="1" x14ac:dyDescent="0.25">
      <c r="B137" s="1052" t="s">
        <v>113</v>
      </c>
      <c r="C137" s="1052" t="s">
        <v>117</v>
      </c>
      <c r="D137" s="1053" t="str">
        <f t="shared" ref="D137:D203" si="22">CONCATENATE(B137,C137)</f>
        <v>Кемеровская областьМариинск</v>
      </c>
      <c r="E137" s="1054">
        <v>235</v>
      </c>
      <c r="F137" s="1055">
        <v>-7.7</v>
      </c>
      <c r="G137" s="1055">
        <v>-40</v>
      </c>
      <c r="H137" s="1057">
        <v>5.7</v>
      </c>
      <c r="I137" s="1058">
        <f>E137*('Ввод исходных данных'!$D$83-F137)</f>
        <v>6509.5</v>
      </c>
      <c r="J137" s="1059" t="str">
        <f t="shared" ref="J137:J200" si="23">CONCATENATE(ROUNDDOWN(I137/1000,0)*1000,"-",ROUNDUP(I137/1000,0)*1000)</f>
        <v>6000-7000</v>
      </c>
      <c r="K137" s="1060">
        <v>18.3</v>
      </c>
      <c r="L137" s="1060"/>
      <c r="M137" s="1061">
        <f t="shared" si="14"/>
        <v>0</v>
      </c>
      <c r="N137" s="1062">
        <f>M137*('Ввод исходных данных'!$D$83-K137)</f>
        <v>0</v>
      </c>
      <c r="O137" s="1063">
        <v>15.2</v>
      </c>
      <c r="P137" s="1063"/>
      <c r="Q137" s="1063">
        <f t="shared" si="15"/>
        <v>0</v>
      </c>
      <c r="R137" s="1063">
        <f>Q137*('Ввод исходных данных'!$D$83-O137)</f>
        <v>0</v>
      </c>
      <c r="S137" s="1064">
        <v>9.1</v>
      </c>
      <c r="T137" s="1064"/>
      <c r="U137" s="1064">
        <f t="shared" si="16"/>
        <v>11.5</v>
      </c>
      <c r="V137" s="1064">
        <f>U137*('Ввод исходных данных'!$D$83-S137)</f>
        <v>125.35000000000001</v>
      </c>
      <c r="W137" s="1065">
        <v>1</v>
      </c>
      <c r="X137" s="1065"/>
      <c r="Y137" s="1065">
        <f t="shared" si="17"/>
        <v>31</v>
      </c>
      <c r="Z137" s="1065">
        <f>Y137*('Ввод исходных данных'!$D$83-W137)</f>
        <v>589</v>
      </c>
      <c r="AA137" s="1066">
        <v>-9.1</v>
      </c>
      <c r="AB137" s="1066"/>
      <c r="AC137" s="1066">
        <f t="shared" si="18"/>
        <v>30</v>
      </c>
      <c r="AD137" s="1066">
        <f>AC137*('Ввод исходных данных'!$D$83-AA137)</f>
        <v>873</v>
      </c>
      <c r="AE137" s="1067">
        <v>-16.2</v>
      </c>
      <c r="AF137" s="1067"/>
      <c r="AG137" s="1067">
        <v>31</v>
      </c>
      <c r="AH137" s="1067">
        <f>AG137*('Ввод исходных данных'!$D$83-AE137)</f>
        <v>1122.2</v>
      </c>
      <c r="AI137" s="1068">
        <v>-17.8</v>
      </c>
      <c r="AJ137" s="1068"/>
      <c r="AK137" s="1068">
        <v>31</v>
      </c>
      <c r="AL137" s="1068">
        <f>AK137*('Ввод исходных данных'!$D$83-AI137)</f>
        <v>1171.8</v>
      </c>
      <c r="AM137" s="1069">
        <v>-16.2</v>
      </c>
      <c r="AN137" s="1069"/>
      <c r="AO137" s="1069">
        <v>28</v>
      </c>
      <c r="AP137" s="1069">
        <f>AO137*('Ввод исходных данных'!$D$83-AM137)</f>
        <v>1013.6000000000001</v>
      </c>
      <c r="AQ137" s="1064">
        <v>-9.3000000000000007</v>
      </c>
      <c r="AR137" s="1064"/>
      <c r="AS137" s="1064">
        <f t="shared" si="19"/>
        <v>31</v>
      </c>
      <c r="AT137" s="1064">
        <f>AS137*('Ввод исходных данных'!$D$83-AQ137)</f>
        <v>908.30000000000007</v>
      </c>
      <c r="AU137" s="1070">
        <v>0.8</v>
      </c>
      <c r="AV137" s="1070"/>
      <c r="AW137" s="1070">
        <f t="shared" si="20"/>
        <v>30</v>
      </c>
      <c r="AX137" s="1070">
        <f>AW137*('Ввод исходных данных'!$D$83-AU137)</f>
        <v>576</v>
      </c>
      <c r="AY137" s="1071">
        <v>9</v>
      </c>
      <c r="AZ137" s="1071"/>
      <c r="BA137" s="1071">
        <f t="shared" si="21"/>
        <v>11.5</v>
      </c>
      <c r="BB137" s="1071">
        <f>BA137*('Ввод исходных данных'!$D$83-AY137)</f>
        <v>126.5</v>
      </c>
      <c r="BC137" s="1072">
        <v>15.9</v>
      </c>
      <c r="BD137" s="1072"/>
      <c r="BE137" s="1072">
        <f t="shared" si="13"/>
        <v>0</v>
      </c>
      <c r="BF137" s="1073">
        <f>BE137*('Ввод исходных данных'!$D$83-BC137)</f>
        <v>0</v>
      </c>
    </row>
    <row r="138" spans="2:58" ht="15.75" customHeight="1" x14ac:dyDescent="0.25">
      <c r="B138" s="1076" t="s">
        <v>113</v>
      </c>
      <c r="C138" s="1076" t="s">
        <v>118</v>
      </c>
      <c r="D138" s="1053" t="str">
        <f t="shared" si="22"/>
        <v>Кемеровская областьТайга</v>
      </c>
      <c r="E138" s="1054">
        <v>240</v>
      </c>
      <c r="F138" s="1055">
        <v>-8</v>
      </c>
      <c r="G138" s="1055">
        <v>-39</v>
      </c>
      <c r="H138" s="1057">
        <v>5.0999999999999996</v>
      </c>
      <c r="I138" s="1058">
        <f>E138*('Ввод исходных данных'!$D$83-F138)</f>
        <v>6720</v>
      </c>
      <c r="J138" s="1059" t="str">
        <f t="shared" si="23"/>
        <v>6000-7000</v>
      </c>
      <c r="K138" s="1060">
        <v>17.600000000000001</v>
      </c>
      <c r="L138" s="1060"/>
      <c r="M138" s="1061">
        <f t="shared" si="14"/>
        <v>0</v>
      </c>
      <c r="N138" s="1062">
        <f>M138*('Ввод исходных данных'!$D$83-K138)</f>
        <v>0</v>
      </c>
      <c r="O138" s="1063">
        <v>14.3</v>
      </c>
      <c r="P138" s="1063"/>
      <c r="Q138" s="1063">
        <f t="shared" si="15"/>
        <v>0</v>
      </c>
      <c r="R138" s="1063">
        <f>Q138*('Ввод исходных данных'!$D$83-O138)</f>
        <v>0</v>
      </c>
      <c r="S138" s="1064">
        <v>8.1</v>
      </c>
      <c r="T138" s="1064"/>
      <c r="U138" s="1064">
        <f t="shared" si="16"/>
        <v>14</v>
      </c>
      <c r="V138" s="1064">
        <f>U138*('Ввод исходных данных'!$D$83-S138)</f>
        <v>166.6</v>
      </c>
      <c r="W138" s="1065">
        <v>0.5</v>
      </c>
      <c r="X138" s="1065"/>
      <c r="Y138" s="1065">
        <f t="shared" si="17"/>
        <v>31</v>
      </c>
      <c r="Z138" s="1065">
        <f>Y138*('Ввод исходных данных'!$D$83-W138)</f>
        <v>604.5</v>
      </c>
      <c r="AA138" s="1066">
        <v>-9.1</v>
      </c>
      <c r="AB138" s="1066"/>
      <c r="AC138" s="1066">
        <f t="shared" si="18"/>
        <v>30</v>
      </c>
      <c r="AD138" s="1066">
        <f>AC138*('Ввод исходных данных'!$D$83-AA138)</f>
        <v>873</v>
      </c>
      <c r="AE138" s="1067">
        <v>-15.8</v>
      </c>
      <c r="AF138" s="1067"/>
      <c r="AG138" s="1067">
        <v>31</v>
      </c>
      <c r="AH138" s="1067">
        <f>AG138*('Ввод исходных данных'!$D$83-AE138)</f>
        <v>1109.8</v>
      </c>
      <c r="AI138" s="1068">
        <v>-18</v>
      </c>
      <c r="AJ138" s="1068"/>
      <c r="AK138" s="1068">
        <v>31</v>
      </c>
      <c r="AL138" s="1068">
        <f>AK138*('Ввод исходных данных'!$D$83-AI138)</f>
        <v>1178</v>
      </c>
      <c r="AM138" s="1069">
        <v>-16.100000000000001</v>
      </c>
      <c r="AN138" s="1069"/>
      <c r="AO138" s="1069">
        <v>28</v>
      </c>
      <c r="AP138" s="1069">
        <f>AO138*('Ввод исходных данных'!$D$83-AM138)</f>
        <v>1010.8000000000001</v>
      </c>
      <c r="AQ138" s="1064">
        <v>-8.3000000000000007</v>
      </c>
      <c r="AR138" s="1064"/>
      <c r="AS138" s="1064">
        <f t="shared" si="19"/>
        <v>31</v>
      </c>
      <c r="AT138" s="1064">
        <f>AS138*('Ввод исходных данных'!$D$83-AQ138)</f>
        <v>877.30000000000007</v>
      </c>
      <c r="AU138" s="1070">
        <v>0.3</v>
      </c>
      <c r="AV138" s="1070"/>
      <c r="AW138" s="1070">
        <f t="shared" si="20"/>
        <v>30</v>
      </c>
      <c r="AX138" s="1070">
        <f>AW138*('Ввод исходных данных'!$D$83-AU138)</f>
        <v>591</v>
      </c>
      <c r="AY138" s="1071">
        <v>8.8000000000000007</v>
      </c>
      <c r="AZ138" s="1071"/>
      <c r="BA138" s="1071">
        <f t="shared" si="21"/>
        <v>14</v>
      </c>
      <c r="BB138" s="1071">
        <f>BA138*('Ввод исходных данных'!$D$83-AY138)</f>
        <v>156.79999999999998</v>
      </c>
      <c r="BC138" s="1072">
        <v>14.9</v>
      </c>
      <c r="BD138" s="1072"/>
      <c r="BE138" s="1072">
        <f t="shared" ref="BE138:BE201" si="24">IF((E138-273)&gt;0,IF((E138-273)/2&gt;30,30,(E138-273)/2),0)</f>
        <v>0</v>
      </c>
      <c r="BF138" s="1073">
        <f>BE138*('Ввод исходных данных'!$D$83-BC138)</f>
        <v>0</v>
      </c>
    </row>
    <row r="139" spans="2:58" ht="15.75" customHeight="1" x14ac:dyDescent="0.25">
      <c r="B139" s="1052" t="s">
        <v>113</v>
      </c>
      <c r="C139" s="1052" t="s">
        <v>656</v>
      </c>
      <c r="D139" s="1053" t="str">
        <f t="shared" si="22"/>
        <v>Кемеровская областьТисуль</v>
      </c>
      <c r="E139" s="1054">
        <v>231</v>
      </c>
      <c r="F139" s="1055">
        <v>-7.1</v>
      </c>
      <c r="G139" s="1055">
        <v>-39</v>
      </c>
      <c r="H139" s="1057">
        <v>6.6</v>
      </c>
      <c r="I139" s="1058">
        <f>E139*('Ввод исходных данных'!$D$83-F139)</f>
        <v>6260.1</v>
      </c>
      <c r="J139" s="1059" t="str">
        <f t="shared" si="23"/>
        <v>6000-7000</v>
      </c>
      <c r="K139" s="1060">
        <v>18.100000000000001</v>
      </c>
      <c r="L139" s="1060"/>
      <c r="M139" s="1061">
        <f t="shared" ref="M139:M202" si="25">MAX(0,E139-Q139-U139-Y139-AC139-AG139-AK139-AO139-AS139-AW139-BA139-BE139)</f>
        <v>0</v>
      </c>
      <c r="N139" s="1062">
        <f>M139*('Ввод исходных данных'!$D$83-K139)</f>
        <v>0</v>
      </c>
      <c r="O139" s="1063">
        <v>15.2</v>
      </c>
      <c r="P139" s="1063"/>
      <c r="Q139" s="1063">
        <f t="shared" ref="Q139:Q202" si="26">IF((E139-273)&gt;0,IF((E139-273)/2&gt;31,31,(E139-273)/2),0)</f>
        <v>0</v>
      </c>
      <c r="R139" s="1063">
        <f>Q139*('Ввод исходных данных'!$D$83-O139)</f>
        <v>0</v>
      </c>
      <c r="S139" s="1064">
        <v>9.1999999999999993</v>
      </c>
      <c r="T139" s="1064"/>
      <c r="U139" s="1064">
        <f t="shared" ref="U139:U202" si="27">IF((E139-212)&gt;0,IF((E139-212)/2&gt;30,30,(E139-212)/2),0)</f>
        <v>9.5</v>
      </c>
      <c r="V139" s="1064">
        <f>U139*('Ввод исходных данных'!$D$83-S139)</f>
        <v>102.60000000000001</v>
      </c>
      <c r="W139" s="1065">
        <v>1.8</v>
      </c>
      <c r="X139" s="1065"/>
      <c r="Y139" s="1065">
        <f t="shared" ref="Y139:Y202" si="28">IF((E139-151)&gt;0,IF((E139-151)/2&gt;31,31,(E139-151)/2),0)</f>
        <v>31</v>
      </c>
      <c r="Z139" s="1065">
        <f>Y139*('Ввод исходных данных'!$D$83-W139)</f>
        <v>564.19999999999993</v>
      </c>
      <c r="AA139" s="1066">
        <v>-7.5</v>
      </c>
      <c r="AB139" s="1066"/>
      <c r="AC139" s="1066">
        <f t="shared" ref="AC139:AC202" si="29">IF((E139-90)/2&gt;30,30,(E139-90)/2)</f>
        <v>30</v>
      </c>
      <c r="AD139" s="1066">
        <f>AC139*('Ввод исходных данных'!$D$83-AA139)</f>
        <v>825</v>
      </c>
      <c r="AE139" s="1067">
        <v>-13.8</v>
      </c>
      <c r="AF139" s="1067"/>
      <c r="AG139" s="1067">
        <v>31</v>
      </c>
      <c r="AH139" s="1067">
        <f>AG139*('Ввод исходных данных'!$D$83-AE139)</f>
        <v>1047.8</v>
      </c>
      <c r="AI139" s="1068">
        <v>-16.3</v>
      </c>
      <c r="AJ139" s="1068"/>
      <c r="AK139" s="1068">
        <v>31</v>
      </c>
      <c r="AL139" s="1068">
        <f>AK139*('Ввод исходных данных'!$D$83-AI139)</f>
        <v>1125.3</v>
      </c>
      <c r="AM139" s="1069">
        <v>-14.7</v>
      </c>
      <c r="AN139" s="1069"/>
      <c r="AO139" s="1069">
        <v>28</v>
      </c>
      <c r="AP139" s="1069">
        <f>AO139*('Ввод исходных данных'!$D$83-AM139)</f>
        <v>971.60000000000014</v>
      </c>
      <c r="AQ139" s="1064">
        <v>-7.2</v>
      </c>
      <c r="AR139" s="1064"/>
      <c r="AS139" s="1064">
        <f t="shared" ref="AS139:AS202" si="30">IF((E139-90)/2&gt;31,31,(E139-90)/2)</f>
        <v>31</v>
      </c>
      <c r="AT139" s="1064">
        <f>AS139*('Ввод исходных данных'!$D$83-AQ139)</f>
        <v>843.19999999999993</v>
      </c>
      <c r="AU139" s="1070">
        <v>1.7</v>
      </c>
      <c r="AV139" s="1070"/>
      <c r="AW139" s="1070">
        <f t="shared" ref="AW139:AW202" si="31">IF((E139-151)&gt;0,IF((E139-151)/2&gt;30,30,(E139-151)/2),0)</f>
        <v>30</v>
      </c>
      <c r="AX139" s="1070">
        <f>AW139*('Ввод исходных данных'!$D$83-AU139)</f>
        <v>549</v>
      </c>
      <c r="AY139" s="1071">
        <v>9.8000000000000007</v>
      </c>
      <c r="AZ139" s="1071"/>
      <c r="BA139" s="1071">
        <f t="shared" ref="BA139:BA202" si="32">IF((E139-212)&gt;0,IF((E139-212)/2&gt;31,31,(E139-212)/2),0)</f>
        <v>9.5</v>
      </c>
      <c r="BB139" s="1071">
        <f>BA139*('Ввод исходных данных'!$D$83-AY139)</f>
        <v>96.899999999999991</v>
      </c>
      <c r="BC139" s="1072">
        <v>15.7</v>
      </c>
      <c r="BD139" s="1072"/>
      <c r="BE139" s="1072">
        <f t="shared" si="24"/>
        <v>0</v>
      </c>
      <c r="BF139" s="1073">
        <f>BE139*('Ввод исходных данных'!$D$83-BC139)</f>
        <v>0</v>
      </c>
    </row>
    <row r="140" spans="2:58" ht="15.75" customHeight="1" x14ac:dyDescent="0.25">
      <c r="B140" s="1076" t="s">
        <v>113</v>
      </c>
      <c r="C140" s="1052" t="s">
        <v>119</v>
      </c>
      <c r="D140" s="1053" t="str">
        <f t="shared" si="22"/>
        <v>Кемеровская областьТопки</v>
      </c>
      <c r="E140" s="1054">
        <v>235</v>
      </c>
      <c r="F140" s="1055">
        <v>-8.1999999999999993</v>
      </c>
      <c r="G140" s="1055">
        <v>-39</v>
      </c>
      <c r="H140" s="1057">
        <f>H139</f>
        <v>6.6</v>
      </c>
      <c r="I140" s="1058">
        <f>E140*('Ввод исходных данных'!$D$83-F140)</f>
        <v>6627</v>
      </c>
      <c r="J140" s="1059" t="str">
        <f t="shared" si="23"/>
        <v>6000-7000</v>
      </c>
      <c r="K140" s="1060">
        <v>18.2</v>
      </c>
      <c r="L140" s="1060"/>
      <c r="M140" s="1061">
        <f t="shared" si="25"/>
        <v>0</v>
      </c>
      <c r="N140" s="1062">
        <f>M140*('Ввод исходных данных'!$D$83-K140)</f>
        <v>0</v>
      </c>
      <c r="O140" s="1063">
        <v>15.4</v>
      </c>
      <c r="P140" s="1063"/>
      <c r="Q140" s="1063">
        <f t="shared" si="26"/>
        <v>0</v>
      </c>
      <c r="R140" s="1063">
        <f>Q140*('Ввод исходных данных'!$D$83-O140)</f>
        <v>0</v>
      </c>
      <c r="S140" s="1064">
        <v>9.1999999999999993</v>
      </c>
      <c r="T140" s="1064"/>
      <c r="U140" s="1064">
        <f t="shared" si="27"/>
        <v>11.5</v>
      </c>
      <c r="V140" s="1064">
        <f>U140*('Ввод исходных данных'!$D$83-S140)</f>
        <v>124.2</v>
      </c>
      <c r="W140" s="1065">
        <v>0.7</v>
      </c>
      <c r="X140" s="1065"/>
      <c r="Y140" s="1065">
        <f t="shared" si="28"/>
        <v>31</v>
      </c>
      <c r="Z140" s="1065">
        <f>Y140*('Ввод исходных данных'!$D$83-W140)</f>
        <v>598.30000000000007</v>
      </c>
      <c r="AA140" s="1066">
        <v>-10.199999999999999</v>
      </c>
      <c r="AB140" s="1066"/>
      <c r="AC140" s="1066">
        <f t="shared" si="29"/>
        <v>30</v>
      </c>
      <c r="AD140" s="1066">
        <f>AC140*('Ввод исходных данных'!$D$83-AA140)</f>
        <v>906</v>
      </c>
      <c r="AE140" s="1067">
        <v>-16.5</v>
      </c>
      <c r="AF140" s="1067"/>
      <c r="AG140" s="1067">
        <v>31</v>
      </c>
      <c r="AH140" s="1067">
        <f>AG140*('Ввод исходных данных'!$D$83-AE140)</f>
        <v>1131.5</v>
      </c>
      <c r="AI140" s="1068">
        <v>-18.2</v>
      </c>
      <c r="AJ140" s="1068"/>
      <c r="AK140" s="1068">
        <v>31</v>
      </c>
      <c r="AL140" s="1068">
        <f>AK140*('Ввод исходных данных'!$D$83-AI140)</f>
        <v>1184.2</v>
      </c>
      <c r="AM140" s="1069">
        <v>-16.100000000000001</v>
      </c>
      <c r="AN140" s="1069"/>
      <c r="AO140" s="1069">
        <v>28</v>
      </c>
      <c r="AP140" s="1069">
        <f>AO140*('Ввод исходных данных'!$D$83-AM140)</f>
        <v>1010.8000000000001</v>
      </c>
      <c r="AQ140" s="1064">
        <v>-10.199999999999999</v>
      </c>
      <c r="AR140" s="1064"/>
      <c r="AS140" s="1064">
        <f t="shared" si="30"/>
        <v>31</v>
      </c>
      <c r="AT140" s="1064">
        <f>AS140*('Ввод исходных данных'!$D$83-AQ140)</f>
        <v>936.19999999999993</v>
      </c>
      <c r="AU140" s="1070">
        <v>-0.2</v>
      </c>
      <c r="AV140" s="1070"/>
      <c r="AW140" s="1070">
        <f t="shared" si="31"/>
        <v>30</v>
      </c>
      <c r="AX140" s="1070">
        <f>AW140*('Ввод исходных данных'!$D$83-AU140)</f>
        <v>606</v>
      </c>
      <c r="AY140" s="1071">
        <v>8.9</v>
      </c>
      <c r="AZ140" s="1071"/>
      <c r="BA140" s="1071">
        <f t="shared" si="32"/>
        <v>11.5</v>
      </c>
      <c r="BB140" s="1071">
        <f>BA140*('Ввод исходных данных'!$D$83-AY140)</f>
        <v>127.64999999999999</v>
      </c>
      <c r="BC140" s="1072">
        <v>15.8</v>
      </c>
      <c r="BD140" s="1072"/>
      <c r="BE140" s="1072">
        <f t="shared" si="24"/>
        <v>0</v>
      </c>
      <c r="BF140" s="1073">
        <f>BE140*('Ввод исходных данных'!$D$83-BC140)</f>
        <v>0</v>
      </c>
    </row>
    <row r="141" spans="2:58" ht="15.75" customHeight="1" x14ac:dyDescent="0.25">
      <c r="B141" s="1052" t="s">
        <v>113</v>
      </c>
      <c r="C141" s="1052" t="s">
        <v>120</v>
      </c>
      <c r="D141" s="1053" t="str">
        <f t="shared" si="22"/>
        <v>Кемеровская областьУсть-Кабырза</v>
      </c>
      <c r="E141" s="1054">
        <v>241</v>
      </c>
      <c r="F141" s="1055">
        <v>-9</v>
      </c>
      <c r="G141" s="1055">
        <v>-41</v>
      </c>
      <c r="H141" s="1057">
        <f>H140</f>
        <v>6.6</v>
      </c>
      <c r="I141" s="1058">
        <f>E141*('Ввод исходных данных'!$D$83-F141)</f>
        <v>6989</v>
      </c>
      <c r="J141" s="1059" t="str">
        <f t="shared" si="23"/>
        <v>6000-7000</v>
      </c>
      <c r="K141" s="1060">
        <v>16.899999999999999</v>
      </c>
      <c r="L141" s="1060"/>
      <c r="M141" s="1061">
        <f t="shared" si="25"/>
        <v>0</v>
      </c>
      <c r="N141" s="1062">
        <f>M141*('Ввод исходных данных'!$D$83-K141)</f>
        <v>0</v>
      </c>
      <c r="O141" s="1063">
        <v>14.5</v>
      </c>
      <c r="P141" s="1063"/>
      <c r="Q141" s="1063">
        <f t="shared" si="26"/>
        <v>0</v>
      </c>
      <c r="R141" s="1063">
        <f>Q141*('Ввод исходных данных'!$D$83-O141)</f>
        <v>0</v>
      </c>
      <c r="S141" s="1064">
        <v>8.4</v>
      </c>
      <c r="T141" s="1064"/>
      <c r="U141" s="1064">
        <f t="shared" si="27"/>
        <v>14.5</v>
      </c>
      <c r="V141" s="1064">
        <f>U141*('Ввод исходных данных'!$D$83-S141)</f>
        <v>168.2</v>
      </c>
      <c r="W141" s="1065">
        <v>0.4</v>
      </c>
      <c r="X141" s="1065"/>
      <c r="Y141" s="1065">
        <f t="shared" si="28"/>
        <v>31</v>
      </c>
      <c r="Z141" s="1065">
        <f>Y141*('Ввод исходных данных'!$D$83-W141)</f>
        <v>607.6</v>
      </c>
      <c r="AA141" s="1066">
        <v>-10.5</v>
      </c>
      <c r="AB141" s="1066"/>
      <c r="AC141" s="1066">
        <f t="shared" si="29"/>
        <v>30</v>
      </c>
      <c r="AD141" s="1066">
        <f>AC141*('Ввод исходных данных'!$D$83-AA141)</f>
        <v>915</v>
      </c>
      <c r="AE141" s="1067">
        <v>-19</v>
      </c>
      <c r="AF141" s="1067"/>
      <c r="AG141" s="1067">
        <v>31</v>
      </c>
      <c r="AH141" s="1067">
        <f>AG141*('Ввод исходных данных'!$D$83-AE141)</f>
        <v>1209</v>
      </c>
      <c r="AI141" s="1068">
        <v>-22.1</v>
      </c>
      <c r="AJ141" s="1068"/>
      <c r="AK141" s="1068">
        <v>31</v>
      </c>
      <c r="AL141" s="1068">
        <f>AK141*('Ввод исходных данных'!$D$83-AI141)</f>
        <v>1305.1000000000001</v>
      </c>
      <c r="AM141" s="1069">
        <v>-18</v>
      </c>
      <c r="AN141" s="1069"/>
      <c r="AO141" s="1069">
        <v>28</v>
      </c>
      <c r="AP141" s="1069">
        <f>AO141*('Ввод исходных данных'!$D$83-AM141)</f>
        <v>1064</v>
      </c>
      <c r="AQ141" s="1064">
        <v>-10</v>
      </c>
      <c r="AR141" s="1064"/>
      <c r="AS141" s="1064">
        <f t="shared" si="30"/>
        <v>31</v>
      </c>
      <c r="AT141" s="1064">
        <f>AS141*('Ввод исходных данных'!$D$83-AQ141)</f>
        <v>930</v>
      </c>
      <c r="AU141" s="1070">
        <v>-0.4</v>
      </c>
      <c r="AV141" s="1070"/>
      <c r="AW141" s="1070">
        <f t="shared" si="31"/>
        <v>30</v>
      </c>
      <c r="AX141" s="1070">
        <f>AW141*('Ввод исходных данных'!$D$83-AU141)</f>
        <v>612</v>
      </c>
      <c r="AY141" s="1071">
        <v>8.1</v>
      </c>
      <c r="AZ141" s="1071"/>
      <c r="BA141" s="1071">
        <f t="shared" si="32"/>
        <v>14.5</v>
      </c>
      <c r="BB141" s="1071">
        <f>BA141*('Ввод исходных данных'!$D$83-AY141)</f>
        <v>172.55</v>
      </c>
      <c r="BC141" s="1072">
        <v>14.6</v>
      </c>
      <c r="BD141" s="1072"/>
      <c r="BE141" s="1072">
        <f t="shared" si="24"/>
        <v>0</v>
      </c>
      <c r="BF141" s="1073">
        <f>BE141*('Ввод исходных данных'!$D$83-BC141)</f>
        <v>0</v>
      </c>
    </row>
    <row r="142" spans="2:58" ht="15.75" customHeight="1" x14ac:dyDescent="0.25">
      <c r="B142" s="1076" t="s">
        <v>142</v>
      </c>
      <c r="C142" s="1076" t="s">
        <v>144</v>
      </c>
      <c r="D142" s="1053" t="str">
        <f t="shared" si="22"/>
        <v>Кировская областьВятка</v>
      </c>
      <c r="E142" s="1054">
        <v>231</v>
      </c>
      <c r="F142" s="1055">
        <v>-5.4</v>
      </c>
      <c r="G142" s="1055">
        <v>-33</v>
      </c>
      <c r="H142" s="1057">
        <v>5.3</v>
      </c>
      <c r="I142" s="1058">
        <f>E142*('Ввод исходных данных'!$D$83-F142)</f>
        <v>5867.4</v>
      </c>
      <c r="J142" s="1059" t="str">
        <f t="shared" si="23"/>
        <v>5000-6000</v>
      </c>
      <c r="K142" s="1060">
        <v>17.899999999999999</v>
      </c>
      <c r="L142" s="1060"/>
      <c r="M142" s="1061">
        <f t="shared" si="25"/>
        <v>0</v>
      </c>
      <c r="N142" s="1062">
        <f>M142*('Ввод исходных данных'!$D$83-K142)</f>
        <v>0</v>
      </c>
      <c r="O142" s="1063">
        <v>15.3</v>
      </c>
      <c r="P142" s="1063"/>
      <c r="Q142" s="1063">
        <f t="shared" si="26"/>
        <v>0</v>
      </c>
      <c r="R142" s="1063">
        <f>Q142*('Ввод исходных данных'!$D$83-O142)</f>
        <v>0</v>
      </c>
      <c r="S142" s="1064">
        <v>9</v>
      </c>
      <c r="T142" s="1064"/>
      <c r="U142" s="1064">
        <f t="shared" si="27"/>
        <v>9.5</v>
      </c>
      <c r="V142" s="1064">
        <f>U142*('Ввод исходных данных'!$D$83-S142)</f>
        <v>104.5</v>
      </c>
      <c r="W142" s="1065">
        <v>1.5</v>
      </c>
      <c r="X142" s="1065"/>
      <c r="Y142" s="1065">
        <f t="shared" si="28"/>
        <v>31</v>
      </c>
      <c r="Z142" s="1065">
        <f>Y142*('Ввод исходных данных'!$D$83-W142)</f>
        <v>573.5</v>
      </c>
      <c r="AA142" s="1066">
        <v>-5.7</v>
      </c>
      <c r="AB142" s="1066"/>
      <c r="AC142" s="1066">
        <f t="shared" si="29"/>
        <v>30</v>
      </c>
      <c r="AD142" s="1066">
        <f>AC142*('Ввод исходных данных'!$D$83-AA142)</f>
        <v>771</v>
      </c>
      <c r="AE142" s="1067">
        <v>-11.8</v>
      </c>
      <c r="AF142" s="1067"/>
      <c r="AG142" s="1067">
        <v>31</v>
      </c>
      <c r="AH142" s="1067">
        <f>AG142*('Ввод исходных данных'!$D$83-AE142)</f>
        <v>985.80000000000007</v>
      </c>
      <c r="AI142" s="1068">
        <v>-14.4</v>
      </c>
      <c r="AJ142" s="1068"/>
      <c r="AK142" s="1068">
        <v>31</v>
      </c>
      <c r="AL142" s="1068">
        <f>AK142*('Ввод исходных данных'!$D$83-AI142)</f>
        <v>1066.3999999999999</v>
      </c>
      <c r="AM142" s="1069">
        <v>-12.9</v>
      </c>
      <c r="AN142" s="1069"/>
      <c r="AO142" s="1069">
        <v>28</v>
      </c>
      <c r="AP142" s="1069">
        <f>AO142*('Ввод исходных данных'!$D$83-AM142)</f>
        <v>921.19999999999993</v>
      </c>
      <c r="AQ142" s="1064">
        <v>-6.7</v>
      </c>
      <c r="AR142" s="1064"/>
      <c r="AS142" s="1064">
        <f t="shared" si="30"/>
        <v>31</v>
      </c>
      <c r="AT142" s="1064">
        <f>AS142*('Ввод исходных данных'!$D$83-AQ142)</f>
        <v>827.69999999999993</v>
      </c>
      <c r="AU142" s="1070">
        <v>2.2000000000000002</v>
      </c>
      <c r="AV142" s="1070"/>
      <c r="AW142" s="1070">
        <f t="shared" si="31"/>
        <v>30</v>
      </c>
      <c r="AX142" s="1070">
        <f>AW142*('Ввод исходных данных'!$D$83-AU142)</f>
        <v>534</v>
      </c>
      <c r="AY142" s="1071">
        <v>10</v>
      </c>
      <c r="AZ142" s="1071"/>
      <c r="BA142" s="1071">
        <f t="shared" si="32"/>
        <v>9.5</v>
      </c>
      <c r="BB142" s="1071">
        <f>BA142*('Ввод исходных данных'!$D$83-AY142)</f>
        <v>95</v>
      </c>
      <c r="BC142" s="1072">
        <v>15.4</v>
      </c>
      <c r="BD142" s="1072"/>
      <c r="BE142" s="1072">
        <f t="shared" si="24"/>
        <v>0</v>
      </c>
      <c r="BF142" s="1073">
        <f>BE142*('Ввод исходных данных'!$D$83-BC142)</f>
        <v>0</v>
      </c>
    </row>
    <row r="143" spans="2:58" ht="15.75" customHeight="1" x14ac:dyDescent="0.25">
      <c r="B143" s="1052" t="s">
        <v>142</v>
      </c>
      <c r="C143" s="1052" t="s">
        <v>657</v>
      </c>
      <c r="D143" s="1053" t="str">
        <f t="shared" si="22"/>
        <v>Кировская областьНагорское</v>
      </c>
      <c r="E143" s="1054">
        <v>239</v>
      </c>
      <c r="F143" s="1055">
        <v>-5.8</v>
      </c>
      <c r="G143" s="1055">
        <v>-34</v>
      </c>
      <c r="H143" s="1057">
        <f>H142</f>
        <v>5.3</v>
      </c>
      <c r="I143" s="1058">
        <f>E143*('Ввод исходных данных'!$D$83-F143)</f>
        <v>6166.2</v>
      </c>
      <c r="J143" s="1059" t="str">
        <f t="shared" si="23"/>
        <v>6000-7000</v>
      </c>
      <c r="K143" s="1060">
        <v>16.899999999999999</v>
      </c>
      <c r="L143" s="1060"/>
      <c r="M143" s="1061">
        <f t="shared" si="25"/>
        <v>0</v>
      </c>
      <c r="N143" s="1062">
        <f>M143*('Ввод исходных данных'!$D$83-K143)</f>
        <v>0</v>
      </c>
      <c r="O143" s="1063">
        <v>14.8</v>
      </c>
      <c r="P143" s="1063"/>
      <c r="Q143" s="1063">
        <f t="shared" si="26"/>
        <v>0</v>
      </c>
      <c r="R143" s="1063">
        <f>Q143*('Ввод исходных данных'!$D$83-O143)</f>
        <v>0</v>
      </c>
      <c r="S143" s="1064">
        <v>8.5</v>
      </c>
      <c r="T143" s="1064"/>
      <c r="U143" s="1064">
        <f t="shared" si="27"/>
        <v>13.5</v>
      </c>
      <c r="V143" s="1064">
        <f>U143*('Ввод исходных данных'!$D$83-S143)</f>
        <v>155.25</v>
      </c>
      <c r="W143" s="1065">
        <v>0.8</v>
      </c>
      <c r="X143" s="1065"/>
      <c r="Y143" s="1065">
        <f t="shared" si="28"/>
        <v>31</v>
      </c>
      <c r="Z143" s="1065">
        <f>Y143*('Ввод исходных данных'!$D$83-W143)</f>
        <v>595.19999999999993</v>
      </c>
      <c r="AA143" s="1066">
        <v>-6</v>
      </c>
      <c r="AB143" s="1066"/>
      <c r="AC143" s="1066">
        <f t="shared" si="29"/>
        <v>30</v>
      </c>
      <c r="AD143" s="1066">
        <f>AC143*('Ввод исходных данных'!$D$83-AA143)</f>
        <v>780</v>
      </c>
      <c r="AE143" s="1067">
        <v>-12.5</v>
      </c>
      <c r="AF143" s="1067"/>
      <c r="AG143" s="1067">
        <v>31</v>
      </c>
      <c r="AH143" s="1067">
        <f>AG143*('Ввод исходных данных'!$D$83-AE143)</f>
        <v>1007.5</v>
      </c>
      <c r="AI143" s="1068">
        <v>-14.9</v>
      </c>
      <c r="AJ143" s="1068"/>
      <c r="AK143" s="1068">
        <v>31</v>
      </c>
      <c r="AL143" s="1068">
        <f>AK143*('Ввод исходных данных'!$D$83-AI143)</f>
        <v>1081.8999999999999</v>
      </c>
      <c r="AM143" s="1069">
        <v>-13.7</v>
      </c>
      <c r="AN143" s="1069"/>
      <c r="AO143" s="1069">
        <v>28</v>
      </c>
      <c r="AP143" s="1069">
        <f>AO143*('Ввод исходных данных'!$D$83-AM143)</f>
        <v>943.60000000000014</v>
      </c>
      <c r="AQ143" s="1064">
        <v>-7.1</v>
      </c>
      <c r="AR143" s="1064"/>
      <c r="AS143" s="1064">
        <f t="shared" si="30"/>
        <v>31</v>
      </c>
      <c r="AT143" s="1064">
        <f>AS143*('Ввод исходных данных'!$D$83-AQ143)</f>
        <v>840.1</v>
      </c>
      <c r="AU143" s="1070">
        <v>1.6</v>
      </c>
      <c r="AV143" s="1070"/>
      <c r="AW143" s="1070">
        <f t="shared" si="31"/>
        <v>30</v>
      </c>
      <c r="AX143" s="1070">
        <f>AW143*('Ввод исходных данных'!$D$83-AU143)</f>
        <v>552</v>
      </c>
      <c r="AY143" s="1071">
        <v>9</v>
      </c>
      <c r="AZ143" s="1071"/>
      <c r="BA143" s="1071">
        <f t="shared" si="32"/>
        <v>13.5</v>
      </c>
      <c r="BB143" s="1071">
        <f>BA143*('Ввод исходных данных'!$D$83-AY143)</f>
        <v>148.5</v>
      </c>
      <c r="BC143" s="1072">
        <v>14.6</v>
      </c>
      <c r="BD143" s="1072"/>
      <c r="BE143" s="1072">
        <f t="shared" si="24"/>
        <v>0</v>
      </c>
      <c r="BF143" s="1073">
        <f>BE143*('Ввод исходных данных'!$D$83-BC143)</f>
        <v>0</v>
      </c>
    </row>
    <row r="144" spans="2:58" ht="15.75" customHeight="1" x14ac:dyDescent="0.25">
      <c r="B144" s="1076" t="s">
        <v>142</v>
      </c>
      <c r="C144" s="1076" t="s">
        <v>143</v>
      </c>
      <c r="D144" s="1053" t="str">
        <f t="shared" si="22"/>
        <v>Кировская областьСавали</v>
      </c>
      <c r="E144" s="1054">
        <v>220</v>
      </c>
      <c r="F144" s="1055">
        <v>-5.7</v>
      </c>
      <c r="G144" s="1055">
        <v>-33</v>
      </c>
      <c r="H144" s="1057">
        <f>H143</f>
        <v>5.3</v>
      </c>
      <c r="I144" s="1058">
        <f>E144*('Ввод исходных данных'!$D$83-F144)</f>
        <v>5654</v>
      </c>
      <c r="J144" s="1059" t="str">
        <f t="shared" si="23"/>
        <v>5000-6000</v>
      </c>
      <c r="K144" s="1060">
        <v>18.8</v>
      </c>
      <c r="L144" s="1060"/>
      <c r="M144" s="1061">
        <f t="shared" si="25"/>
        <v>0</v>
      </c>
      <c r="N144" s="1062">
        <f>M144*('Ввод исходных данных'!$D$83-K144)</f>
        <v>0</v>
      </c>
      <c r="O144" s="1063">
        <v>16.8</v>
      </c>
      <c r="P144" s="1063"/>
      <c r="Q144" s="1063">
        <f t="shared" si="26"/>
        <v>0</v>
      </c>
      <c r="R144" s="1063">
        <f>Q144*('Ввод исходных данных'!$D$83-O144)</f>
        <v>0</v>
      </c>
      <c r="S144" s="1064">
        <v>10.4</v>
      </c>
      <c r="T144" s="1064"/>
      <c r="U144" s="1064">
        <f t="shared" si="27"/>
        <v>4</v>
      </c>
      <c r="V144" s="1064">
        <f>U144*('Ввод исходных данных'!$D$83-S144)</f>
        <v>38.4</v>
      </c>
      <c r="W144" s="1065">
        <v>2.8</v>
      </c>
      <c r="X144" s="1065"/>
      <c r="Y144" s="1065">
        <f t="shared" si="28"/>
        <v>31</v>
      </c>
      <c r="Z144" s="1065">
        <f>Y144*('Ввод исходных данных'!$D$83-W144)</f>
        <v>533.19999999999993</v>
      </c>
      <c r="AA144" s="1066">
        <v>-5.2</v>
      </c>
      <c r="AB144" s="1066"/>
      <c r="AC144" s="1066">
        <f t="shared" si="29"/>
        <v>30</v>
      </c>
      <c r="AD144" s="1066">
        <f>AC144*('Ввод исходных данных'!$D$83-AA144)</f>
        <v>756</v>
      </c>
      <c r="AE144" s="1067">
        <v>-11.5</v>
      </c>
      <c r="AF144" s="1067"/>
      <c r="AG144" s="1067">
        <v>31</v>
      </c>
      <c r="AH144" s="1067">
        <f>AG144*('Ввод исходных данных'!$D$83-AE144)</f>
        <v>976.5</v>
      </c>
      <c r="AI144" s="1068">
        <v>-14</v>
      </c>
      <c r="AJ144" s="1068"/>
      <c r="AK144" s="1068">
        <v>31</v>
      </c>
      <c r="AL144" s="1068">
        <f>AK144*('Ввод исходных данных'!$D$83-AI144)</f>
        <v>1054</v>
      </c>
      <c r="AM144" s="1069">
        <v>-13.2</v>
      </c>
      <c r="AN144" s="1069"/>
      <c r="AO144" s="1069">
        <v>28</v>
      </c>
      <c r="AP144" s="1069">
        <f>AO144*('Ввод исходных данных'!$D$83-AM144)</f>
        <v>929.60000000000014</v>
      </c>
      <c r="AQ144" s="1064">
        <v>-7.4</v>
      </c>
      <c r="AR144" s="1064"/>
      <c r="AS144" s="1064">
        <f t="shared" si="30"/>
        <v>31</v>
      </c>
      <c r="AT144" s="1064">
        <f>AS144*('Ввод исходных данных'!$D$83-AQ144)</f>
        <v>849.4</v>
      </c>
      <c r="AU144" s="1070">
        <v>2.8</v>
      </c>
      <c r="AV144" s="1070"/>
      <c r="AW144" s="1070">
        <f t="shared" si="31"/>
        <v>30</v>
      </c>
      <c r="AX144" s="1070">
        <f>AW144*('Ввод исходных данных'!$D$83-AU144)</f>
        <v>516</v>
      </c>
      <c r="AY144" s="1071">
        <v>11.6</v>
      </c>
      <c r="AZ144" s="1071"/>
      <c r="BA144" s="1071">
        <f t="shared" si="32"/>
        <v>4</v>
      </c>
      <c r="BB144" s="1071">
        <f>BA144*('Ввод исходных данных'!$D$83-AY144)</f>
        <v>33.6</v>
      </c>
      <c r="BC144" s="1072">
        <v>16.8</v>
      </c>
      <c r="BD144" s="1072"/>
      <c r="BE144" s="1072">
        <f t="shared" si="24"/>
        <v>0</v>
      </c>
      <c r="BF144" s="1073">
        <f>BE144*('Ввод исходных данных'!$D$83-BC144)</f>
        <v>0</v>
      </c>
    </row>
    <row r="145" spans="2:58" ht="15.75" customHeight="1" x14ac:dyDescent="0.25">
      <c r="B145" s="1052" t="s">
        <v>155</v>
      </c>
      <c r="C145" s="1052" t="s">
        <v>157</v>
      </c>
      <c r="D145" s="1053" t="str">
        <f t="shared" si="22"/>
        <v>Костромская областьКострома</v>
      </c>
      <c r="E145" s="1054">
        <v>222</v>
      </c>
      <c r="F145" s="1055">
        <v>-3.9</v>
      </c>
      <c r="G145" s="1055">
        <v>-31</v>
      </c>
      <c r="H145" s="1057">
        <v>5.8</v>
      </c>
      <c r="I145" s="1058">
        <f>E145*('Ввод исходных данных'!$D$83-F145)</f>
        <v>5305.7999999999993</v>
      </c>
      <c r="J145" s="1059" t="str">
        <f t="shared" si="23"/>
        <v>5000-6000</v>
      </c>
      <c r="K145" s="1060">
        <v>17.8</v>
      </c>
      <c r="L145" s="1060"/>
      <c r="M145" s="1061">
        <f t="shared" si="25"/>
        <v>0</v>
      </c>
      <c r="N145" s="1062">
        <f>M145*('Ввод исходных данных'!$D$83-K145)</f>
        <v>0</v>
      </c>
      <c r="O145" s="1063">
        <v>16.100000000000001</v>
      </c>
      <c r="P145" s="1063"/>
      <c r="Q145" s="1063">
        <f t="shared" si="26"/>
        <v>0</v>
      </c>
      <c r="R145" s="1063">
        <f>Q145*('Ввод исходных данных'!$D$83-O145)</f>
        <v>0</v>
      </c>
      <c r="S145" s="1064">
        <v>10</v>
      </c>
      <c r="T145" s="1064"/>
      <c r="U145" s="1064">
        <f t="shared" si="27"/>
        <v>5</v>
      </c>
      <c r="V145" s="1064">
        <f>U145*('Ввод исходных данных'!$D$83-S145)</f>
        <v>50</v>
      </c>
      <c r="W145" s="1065">
        <v>3.2</v>
      </c>
      <c r="X145" s="1065"/>
      <c r="Y145" s="1065">
        <f t="shared" si="28"/>
        <v>31</v>
      </c>
      <c r="Z145" s="1065">
        <f>Y145*('Ввод исходных данных'!$D$83-W145)</f>
        <v>520.80000000000007</v>
      </c>
      <c r="AA145" s="1066">
        <v>-2.9</v>
      </c>
      <c r="AB145" s="1066"/>
      <c r="AC145" s="1066">
        <f t="shared" si="29"/>
        <v>30</v>
      </c>
      <c r="AD145" s="1066">
        <f>AC145*('Ввод исходных данных'!$D$83-AA145)</f>
        <v>687</v>
      </c>
      <c r="AE145" s="1067">
        <v>-8.6999999999999993</v>
      </c>
      <c r="AF145" s="1067"/>
      <c r="AG145" s="1067">
        <v>31</v>
      </c>
      <c r="AH145" s="1067">
        <f>AG145*('Ввод исходных данных'!$D$83-AE145)</f>
        <v>889.69999999999993</v>
      </c>
      <c r="AI145" s="1068">
        <v>-11.8</v>
      </c>
      <c r="AJ145" s="1068"/>
      <c r="AK145" s="1068">
        <v>31</v>
      </c>
      <c r="AL145" s="1068">
        <f>AK145*('Ввод исходных данных'!$D$83-AI145)</f>
        <v>985.80000000000007</v>
      </c>
      <c r="AM145" s="1069">
        <v>-11.1</v>
      </c>
      <c r="AN145" s="1069"/>
      <c r="AO145" s="1069">
        <v>28</v>
      </c>
      <c r="AP145" s="1069">
        <f>AO145*('Ввод исходных данных'!$D$83-AM145)</f>
        <v>870.80000000000007</v>
      </c>
      <c r="AQ145" s="1064">
        <v>-5.3</v>
      </c>
      <c r="AR145" s="1064"/>
      <c r="AS145" s="1064">
        <f t="shared" si="30"/>
        <v>31</v>
      </c>
      <c r="AT145" s="1064">
        <f>AS145*('Ввод исходных данных'!$D$83-AQ145)</f>
        <v>784.30000000000007</v>
      </c>
      <c r="AU145" s="1070">
        <v>3.2</v>
      </c>
      <c r="AV145" s="1070"/>
      <c r="AW145" s="1070">
        <f t="shared" si="31"/>
        <v>30</v>
      </c>
      <c r="AX145" s="1070">
        <f>AW145*('Ввод исходных данных'!$D$83-AU145)</f>
        <v>504</v>
      </c>
      <c r="AY145" s="1071">
        <v>10.9</v>
      </c>
      <c r="AZ145" s="1071"/>
      <c r="BA145" s="1071">
        <f t="shared" si="32"/>
        <v>5</v>
      </c>
      <c r="BB145" s="1071">
        <f>BA145*('Ввод исходных данных'!$D$83-AY145)</f>
        <v>45.5</v>
      </c>
      <c r="BC145" s="1072">
        <v>15.5</v>
      </c>
      <c r="BD145" s="1072"/>
      <c r="BE145" s="1072">
        <f t="shared" si="24"/>
        <v>0</v>
      </c>
      <c r="BF145" s="1073">
        <f>BE145*('Ввод исходных данных'!$D$83-BC145)</f>
        <v>0</v>
      </c>
    </row>
    <row r="146" spans="2:58" ht="15.75" customHeight="1" x14ac:dyDescent="0.25">
      <c r="B146" s="1076" t="s">
        <v>155</v>
      </c>
      <c r="C146" s="1076" t="s">
        <v>156</v>
      </c>
      <c r="D146" s="1053" t="str">
        <f t="shared" si="22"/>
        <v>Костромская областьЧухлома</v>
      </c>
      <c r="E146" s="1054">
        <v>230</v>
      </c>
      <c r="F146" s="1055">
        <v>-4.3</v>
      </c>
      <c r="G146" s="1055">
        <v>-32</v>
      </c>
      <c r="H146" s="1057">
        <f>H145</f>
        <v>5.8</v>
      </c>
      <c r="I146" s="1058">
        <f>E146*('Ввод исходных данных'!$D$83-F146)</f>
        <v>5589</v>
      </c>
      <c r="J146" s="1059" t="str">
        <f t="shared" si="23"/>
        <v>5000-6000</v>
      </c>
      <c r="K146" s="1060">
        <v>17</v>
      </c>
      <c r="L146" s="1060"/>
      <c r="M146" s="1061">
        <f t="shared" si="25"/>
        <v>0</v>
      </c>
      <c r="N146" s="1062">
        <f>M146*('Ввод исходных данных'!$D$83-K146)</f>
        <v>0</v>
      </c>
      <c r="O146" s="1063">
        <v>15.1</v>
      </c>
      <c r="P146" s="1063"/>
      <c r="Q146" s="1063">
        <f t="shared" si="26"/>
        <v>0</v>
      </c>
      <c r="R146" s="1063">
        <f>Q146*('Ввод исходных данных'!$D$83-O146)</f>
        <v>0</v>
      </c>
      <c r="S146" s="1064">
        <v>9.1999999999999993</v>
      </c>
      <c r="T146" s="1064"/>
      <c r="U146" s="1064">
        <f t="shared" si="27"/>
        <v>9</v>
      </c>
      <c r="V146" s="1064">
        <f>U146*('Ввод исходных данных'!$D$83-S146)</f>
        <v>97.2</v>
      </c>
      <c r="W146" s="1065">
        <v>2.4</v>
      </c>
      <c r="X146" s="1065"/>
      <c r="Y146" s="1065">
        <f t="shared" si="28"/>
        <v>31</v>
      </c>
      <c r="Z146" s="1065">
        <f>Y146*('Ввод исходных данных'!$D$83-W146)</f>
        <v>545.6</v>
      </c>
      <c r="AA146" s="1066">
        <v>-3.6</v>
      </c>
      <c r="AB146" s="1066"/>
      <c r="AC146" s="1066">
        <f t="shared" si="29"/>
        <v>30</v>
      </c>
      <c r="AD146" s="1066">
        <f>AC146*('Ввод исходных данных'!$D$83-AA146)</f>
        <v>708</v>
      </c>
      <c r="AE146" s="1067">
        <v>-9.8000000000000007</v>
      </c>
      <c r="AF146" s="1067"/>
      <c r="AG146" s="1067">
        <v>31</v>
      </c>
      <c r="AH146" s="1067">
        <f>AG146*('Ввод исходных данных'!$D$83-AE146)</f>
        <v>923.80000000000007</v>
      </c>
      <c r="AI146" s="1068">
        <v>-12.8</v>
      </c>
      <c r="AJ146" s="1068"/>
      <c r="AK146" s="1068">
        <v>31</v>
      </c>
      <c r="AL146" s="1068">
        <f>AK146*('Ввод исходных данных'!$D$83-AI146)</f>
        <v>1016.8</v>
      </c>
      <c r="AM146" s="1069">
        <v>-11.6</v>
      </c>
      <c r="AN146" s="1069"/>
      <c r="AO146" s="1069">
        <v>28</v>
      </c>
      <c r="AP146" s="1069">
        <f>AO146*('Ввод исходных данных'!$D$83-AM146)</f>
        <v>884.80000000000007</v>
      </c>
      <c r="AQ146" s="1064">
        <v>-5.7</v>
      </c>
      <c r="AR146" s="1064"/>
      <c r="AS146" s="1064">
        <f t="shared" si="30"/>
        <v>31</v>
      </c>
      <c r="AT146" s="1064">
        <f>AS146*('Ввод исходных данных'!$D$83-AQ146)</f>
        <v>796.69999999999993</v>
      </c>
      <c r="AU146" s="1070">
        <v>2.5</v>
      </c>
      <c r="AV146" s="1070"/>
      <c r="AW146" s="1070">
        <f t="shared" si="31"/>
        <v>30</v>
      </c>
      <c r="AX146" s="1070">
        <f>AW146*('Ввод исходных данных'!$D$83-AU146)</f>
        <v>525</v>
      </c>
      <c r="AY146" s="1071">
        <v>9.6999999999999993</v>
      </c>
      <c r="AZ146" s="1071"/>
      <c r="BA146" s="1071">
        <f t="shared" si="32"/>
        <v>9</v>
      </c>
      <c r="BB146" s="1071">
        <f>BA146*('Ввод исходных данных'!$D$83-AY146)</f>
        <v>92.7</v>
      </c>
      <c r="BC146" s="1072">
        <v>14.8</v>
      </c>
      <c r="BD146" s="1072"/>
      <c r="BE146" s="1072">
        <f t="shared" si="24"/>
        <v>0</v>
      </c>
      <c r="BF146" s="1073">
        <f>BE146*('Ввод исходных данных'!$D$83-BC146)</f>
        <v>0</v>
      </c>
    </row>
    <row r="147" spans="2:58" ht="15.75" customHeight="1" x14ac:dyDescent="0.25">
      <c r="B147" s="1052" t="s">
        <v>155</v>
      </c>
      <c r="C147" s="1052" t="s">
        <v>158</v>
      </c>
      <c r="D147" s="1053" t="str">
        <f t="shared" si="22"/>
        <v>Костромская областьШарья</v>
      </c>
      <c r="E147" s="1054">
        <v>228</v>
      </c>
      <c r="F147" s="1055">
        <v>-4.7</v>
      </c>
      <c r="G147" s="1055">
        <v>-32</v>
      </c>
      <c r="H147" s="1057">
        <v>4.5</v>
      </c>
      <c r="I147" s="1058">
        <f>E147*('Ввод исходных данных'!$D$83-F147)</f>
        <v>5631.5999999999995</v>
      </c>
      <c r="J147" s="1059" t="str">
        <f t="shared" si="23"/>
        <v>5000-6000</v>
      </c>
      <c r="K147" s="1060">
        <v>17.399999999999999</v>
      </c>
      <c r="L147" s="1060"/>
      <c r="M147" s="1061">
        <f t="shared" si="25"/>
        <v>0</v>
      </c>
      <c r="N147" s="1062">
        <f>M147*('Ввод исходных данных'!$D$83-K147)</f>
        <v>0</v>
      </c>
      <c r="O147" s="1063">
        <v>15.1</v>
      </c>
      <c r="P147" s="1063"/>
      <c r="Q147" s="1063">
        <f t="shared" si="26"/>
        <v>0</v>
      </c>
      <c r="R147" s="1063">
        <f>Q147*('Ввод исходных данных'!$D$83-O147)</f>
        <v>0</v>
      </c>
      <c r="S147" s="1064">
        <v>9.3000000000000007</v>
      </c>
      <c r="T147" s="1064"/>
      <c r="U147" s="1064">
        <f t="shared" si="27"/>
        <v>8</v>
      </c>
      <c r="V147" s="1064">
        <f>U147*('Ввод исходных данных'!$D$83-S147)</f>
        <v>85.6</v>
      </c>
      <c r="W147" s="1065">
        <v>2.2999999999999998</v>
      </c>
      <c r="X147" s="1065"/>
      <c r="Y147" s="1065">
        <f t="shared" si="28"/>
        <v>31</v>
      </c>
      <c r="Z147" s="1065">
        <f>Y147*('Ввод исходных данных'!$D$83-W147)</f>
        <v>548.69999999999993</v>
      </c>
      <c r="AA147" s="1066">
        <v>-4.7</v>
      </c>
      <c r="AB147" s="1066"/>
      <c r="AC147" s="1066">
        <f t="shared" si="29"/>
        <v>30</v>
      </c>
      <c r="AD147" s="1066">
        <f>AC147*('Ввод исходных данных'!$D$83-AA147)</f>
        <v>741</v>
      </c>
      <c r="AE147" s="1067">
        <v>-10.6</v>
      </c>
      <c r="AF147" s="1067"/>
      <c r="AG147" s="1067">
        <v>31</v>
      </c>
      <c r="AH147" s="1067">
        <f>AG147*('Ввод исходных данных'!$D$83-AE147)</f>
        <v>948.6</v>
      </c>
      <c r="AI147" s="1068">
        <v>-13</v>
      </c>
      <c r="AJ147" s="1068"/>
      <c r="AK147" s="1068">
        <v>31</v>
      </c>
      <c r="AL147" s="1068">
        <f>AK147*('Ввод исходных данных'!$D$83-AI147)</f>
        <v>1023</v>
      </c>
      <c r="AM147" s="1069">
        <v>-12.1</v>
      </c>
      <c r="AN147" s="1069"/>
      <c r="AO147" s="1069">
        <v>28</v>
      </c>
      <c r="AP147" s="1069">
        <f>AO147*('Ввод исходных данных'!$D$83-AM147)</f>
        <v>898.80000000000007</v>
      </c>
      <c r="AQ147" s="1064">
        <v>-6</v>
      </c>
      <c r="AR147" s="1064"/>
      <c r="AS147" s="1064">
        <f t="shared" si="30"/>
        <v>31</v>
      </c>
      <c r="AT147" s="1064">
        <f>AS147*('Ввод исходных данных'!$D$83-AQ147)</f>
        <v>806</v>
      </c>
      <c r="AU147" s="1070">
        <v>2.9</v>
      </c>
      <c r="AV147" s="1070"/>
      <c r="AW147" s="1070">
        <f t="shared" si="31"/>
        <v>30</v>
      </c>
      <c r="AX147" s="1070">
        <f>AW147*('Ввод исходных данных'!$D$83-AU147)</f>
        <v>513</v>
      </c>
      <c r="AY147" s="1071">
        <v>10.199999999999999</v>
      </c>
      <c r="AZ147" s="1071"/>
      <c r="BA147" s="1071">
        <f t="shared" si="32"/>
        <v>8</v>
      </c>
      <c r="BB147" s="1071">
        <f>BA147*('Ввод исходных данных'!$D$83-AY147)</f>
        <v>78.400000000000006</v>
      </c>
      <c r="BC147" s="1072">
        <v>15.1</v>
      </c>
      <c r="BD147" s="1072"/>
      <c r="BE147" s="1072">
        <f t="shared" si="24"/>
        <v>0</v>
      </c>
      <c r="BF147" s="1073">
        <f>BE147*('Ввод исходных данных'!$D$83-BC147)</f>
        <v>0</v>
      </c>
    </row>
    <row r="148" spans="2:58" ht="15.75" customHeight="1" x14ac:dyDescent="0.25">
      <c r="B148" s="1076" t="s">
        <v>159</v>
      </c>
      <c r="C148" s="1076" t="s">
        <v>160</v>
      </c>
      <c r="D148" s="1053" t="str">
        <f t="shared" si="22"/>
        <v>Краснодарский крайКрасная Поляна</v>
      </c>
      <c r="E148" s="1054">
        <v>155</v>
      </c>
      <c r="F148" s="1055">
        <v>3</v>
      </c>
      <c r="G148" s="1055">
        <v>-9</v>
      </c>
      <c r="H148" s="1057">
        <f>H147</f>
        <v>4.5</v>
      </c>
      <c r="I148" s="1058">
        <f>E148*('Ввод исходных данных'!$D$83-F148)</f>
        <v>2635</v>
      </c>
      <c r="J148" s="1059" t="str">
        <f t="shared" si="23"/>
        <v>2000-3000</v>
      </c>
      <c r="K148" s="1060">
        <v>19.5</v>
      </c>
      <c r="L148" s="1060"/>
      <c r="M148" s="1061">
        <f t="shared" si="25"/>
        <v>0</v>
      </c>
      <c r="N148" s="1062">
        <f>M148*('Ввод исходных данных'!$D$83-K148)</f>
        <v>0</v>
      </c>
      <c r="O148" s="1063">
        <v>19.399999999999999</v>
      </c>
      <c r="P148" s="1063"/>
      <c r="Q148" s="1063">
        <f t="shared" si="26"/>
        <v>0</v>
      </c>
      <c r="R148" s="1063">
        <f>Q148*('Ввод исходных данных'!$D$83-O148)</f>
        <v>0</v>
      </c>
      <c r="S148" s="1064">
        <v>15.6</v>
      </c>
      <c r="T148" s="1064"/>
      <c r="U148" s="1064">
        <f t="shared" si="27"/>
        <v>0</v>
      </c>
      <c r="V148" s="1064">
        <f>U148*('Ввод исходных данных'!$D$83-S148)</f>
        <v>0</v>
      </c>
      <c r="W148" s="1065">
        <v>10.8</v>
      </c>
      <c r="X148" s="1065"/>
      <c r="Y148" s="1065">
        <f t="shared" si="28"/>
        <v>2</v>
      </c>
      <c r="Z148" s="1065">
        <f>Y148*('Ввод исходных данных'!$D$83-W148)</f>
        <v>18.399999999999999</v>
      </c>
      <c r="AA148" s="1066">
        <v>6.9</v>
      </c>
      <c r="AB148" s="1066"/>
      <c r="AC148" s="1066">
        <f t="shared" si="29"/>
        <v>30</v>
      </c>
      <c r="AD148" s="1066">
        <f>AC148*('Ввод исходных данных'!$D$83-AA148)</f>
        <v>393</v>
      </c>
      <c r="AE148" s="1067">
        <v>2.2000000000000002</v>
      </c>
      <c r="AF148" s="1067"/>
      <c r="AG148" s="1067">
        <v>31</v>
      </c>
      <c r="AH148" s="1067">
        <f>AG148*('Ввод исходных данных'!$D$83-AE148)</f>
        <v>551.80000000000007</v>
      </c>
      <c r="AI148" s="1068">
        <v>0.3</v>
      </c>
      <c r="AJ148" s="1068"/>
      <c r="AK148" s="1068">
        <v>31</v>
      </c>
      <c r="AL148" s="1068">
        <f>AK148*('Ввод исходных данных'!$D$83-AI148)</f>
        <v>610.69999999999993</v>
      </c>
      <c r="AM148" s="1069">
        <v>1.3</v>
      </c>
      <c r="AN148" s="1069"/>
      <c r="AO148" s="1069">
        <v>28</v>
      </c>
      <c r="AP148" s="1069">
        <f>AO148*('Ввод исходных данных'!$D$83-AM148)</f>
        <v>523.6</v>
      </c>
      <c r="AQ148" s="1064">
        <v>4.2</v>
      </c>
      <c r="AR148" s="1064"/>
      <c r="AS148" s="1064">
        <f t="shared" si="30"/>
        <v>31</v>
      </c>
      <c r="AT148" s="1064">
        <f>AS148*('Ввод исходных данных'!$D$83-AQ148)</f>
        <v>489.8</v>
      </c>
      <c r="AU148" s="1070">
        <v>9.5</v>
      </c>
      <c r="AV148" s="1070"/>
      <c r="AW148" s="1070">
        <f t="shared" si="31"/>
        <v>2</v>
      </c>
      <c r="AX148" s="1070">
        <f>AW148*('Ввод исходных данных'!$D$83-AU148)</f>
        <v>21</v>
      </c>
      <c r="AY148" s="1071">
        <v>14.2</v>
      </c>
      <c r="AZ148" s="1071"/>
      <c r="BA148" s="1071">
        <f t="shared" si="32"/>
        <v>0</v>
      </c>
      <c r="BB148" s="1071">
        <f>BA148*('Ввод исходных данных'!$D$83-AY148)</f>
        <v>0</v>
      </c>
      <c r="BC148" s="1072">
        <v>17.100000000000001</v>
      </c>
      <c r="BD148" s="1072"/>
      <c r="BE148" s="1072">
        <f t="shared" si="24"/>
        <v>0</v>
      </c>
      <c r="BF148" s="1073">
        <f>BE148*('Ввод исходных данных'!$D$83-BC148)</f>
        <v>0</v>
      </c>
    </row>
    <row r="149" spans="2:58" ht="15.75" customHeight="1" x14ac:dyDescent="0.25">
      <c r="B149" s="1052" t="s">
        <v>159</v>
      </c>
      <c r="C149" s="1052" t="s">
        <v>161</v>
      </c>
      <c r="D149" s="1053" t="str">
        <f t="shared" si="22"/>
        <v>Краснодарский крайКраснодар</v>
      </c>
      <c r="E149" s="1054">
        <v>145</v>
      </c>
      <c r="F149" s="1055">
        <v>2.5</v>
      </c>
      <c r="G149" s="1055">
        <v>-14</v>
      </c>
      <c r="H149" s="1057">
        <v>3.7</v>
      </c>
      <c r="I149" s="1058">
        <f>E149*('Ввод исходных данных'!$D$83-F149)</f>
        <v>2537.5</v>
      </c>
      <c r="J149" s="1059" t="str">
        <f t="shared" si="23"/>
        <v>2000-3000</v>
      </c>
      <c r="K149" s="1060">
        <v>23.8</v>
      </c>
      <c r="L149" s="1060"/>
      <c r="M149" s="1061">
        <f t="shared" si="25"/>
        <v>0</v>
      </c>
      <c r="N149" s="1062">
        <f>M149*('Ввод исходных данных'!$D$83-K149)</f>
        <v>0</v>
      </c>
      <c r="O149" s="1063">
        <v>23.2</v>
      </c>
      <c r="P149" s="1063"/>
      <c r="Q149" s="1063">
        <f t="shared" si="26"/>
        <v>0</v>
      </c>
      <c r="R149" s="1063">
        <f>Q149*('Ввод исходных данных'!$D$83-O149)</f>
        <v>0</v>
      </c>
      <c r="S149" s="1064">
        <v>18.100000000000001</v>
      </c>
      <c r="T149" s="1064"/>
      <c r="U149" s="1064">
        <f t="shared" si="27"/>
        <v>0</v>
      </c>
      <c r="V149" s="1064">
        <f>U149*('Ввод исходных данных'!$D$83-S149)</f>
        <v>0</v>
      </c>
      <c r="W149" s="1065">
        <v>11.9</v>
      </c>
      <c r="X149" s="1065"/>
      <c r="Y149" s="1065">
        <f t="shared" si="28"/>
        <v>0</v>
      </c>
      <c r="Z149" s="1065">
        <f>Y149*('Ввод исходных данных'!$D$83-W149)</f>
        <v>0</v>
      </c>
      <c r="AA149" s="1066">
        <v>6.3</v>
      </c>
      <c r="AB149" s="1066"/>
      <c r="AC149" s="1066">
        <f t="shared" si="29"/>
        <v>27.5</v>
      </c>
      <c r="AD149" s="1066">
        <f>AC149*('Ввод исходных данных'!$D$83-AA149)</f>
        <v>376.75</v>
      </c>
      <c r="AE149" s="1067">
        <v>2</v>
      </c>
      <c r="AF149" s="1067"/>
      <c r="AG149" s="1067">
        <v>31</v>
      </c>
      <c r="AH149" s="1067">
        <f>AG149*('Ввод исходных данных'!$D$83-AE149)</f>
        <v>558</v>
      </c>
      <c r="AI149" s="1068">
        <v>-0.2</v>
      </c>
      <c r="AJ149" s="1068"/>
      <c r="AK149" s="1068">
        <v>31</v>
      </c>
      <c r="AL149" s="1068">
        <f>AK149*('Ввод исходных данных'!$D$83-AI149)</f>
        <v>626.19999999999993</v>
      </c>
      <c r="AM149" s="1069">
        <v>1</v>
      </c>
      <c r="AN149" s="1069"/>
      <c r="AO149" s="1069">
        <v>28</v>
      </c>
      <c r="AP149" s="1069">
        <f>AO149*('Ввод исходных данных'!$D$83-AM149)</f>
        <v>532</v>
      </c>
      <c r="AQ149" s="1064">
        <v>5.4</v>
      </c>
      <c r="AR149" s="1064"/>
      <c r="AS149" s="1064">
        <f t="shared" si="30"/>
        <v>27.5</v>
      </c>
      <c r="AT149" s="1064">
        <f>AS149*('Ввод исходных данных'!$D$83-AQ149)</f>
        <v>401.5</v>
      </c>
      <c r="AU149" s="1070">
        <v>12.2</v>
      </c>
      <c r="AV149" s="1070"/>
      <c r="AW149" s="1070">
        <f t="shared" si="31"/>
        <v>0</v>
      </c>
      <c r="AX149" s="1070">
        <f>AW149*('Ввод исходных данных'!$D$83-AU149)</f>
        <v>0</v>
      </c>
      <c r="AY149" s="1071">
        <v>17.3</v>
      </c>
      <c r="AZ149" s="1071"/>
      <c r="BA149" s="1071">
        <f t="shared" si="32"/>
        <v>0</v>
      </c>
      <c r="BB149" s="1071">
        <f>BA149*('Ввод исходных данных'!$D$83-AY149)</f>
        <v>0</v>
      </c>
      <c r="BC149" s="1072">
        <v>21</v>
      </c>
      <c r="BD149" s="1072"/>
      <c r="BE149" s="1072">
        <f t="shared" si="24"/>
        <v>0</v>
      </c>
      <c r="BF149" s="1073">
        <f>BE149*('Ввод исходных данных'!$D$83-BC149)</f>
        <v>0</v>
      </c>
    </row>
    <row r="150" spans="2:58" ht="15.75" customHeight="1" x14ac:dyDescent="0.25">
      <c r="B150" s="1076" t="s">
        <v>159</v>
      </c>
      <c r="C150" s="1076" t="s">
        <v>162</v>
      </c>
      <c r="D150" s="1053" t="str">
        <f t="shared" si="22"/>
        <v>Краснодарский крайПриморско-Ахтарск</v>
      </c>
      <c r="E150" s="1054">
        <v>159</v>
      </c>
      <c r="F150" s="1055">
        <v>1</v>
      </c>
      <c r="G150" s="1055">
        <v>-20</v>
      </c>
      <c r="H150" s="1057">
        <f>H149</f>
        <v>3.7</v>
      </c>
      <c r="I150" s="1058">
        <f>E150*('Ввод исходных данных'!$D$83-F150)</f>
        <v>3021</v>
      </c>
      <c r="J150" s="1059" t="str">
        <f t="shared" si="23"/>
        <v>3000-4000</v>
      </c>
      <c r="K150" s="1060">
        <v>24.2</v>
      </c>
      <c r="L150" s="1060"/>
      <c r="M150" s="1061">
        <f t="shared" si="25"/>
        <v>0</v>
      </c>
      <c r="N150" s="1062">
        <f>M150*('Ввод исходных данных'!$D$83-K150)</f>
        <v>0</v>
      </c>
      <c r="O150" s="1063">
        <v>23.2</v>
      </c>
      <c r="P150" s="1063"/>
      <c r="Q150" s="1063">
        <f t="shared" si="26"/>
        <v>0</v>
      </c>
      <c r="R150" s="1063">
        <f>Q150*('Ввод исходных данных'!$D$83-O150)</f>
        <v>0</v>
      </c>
      <c r="S150" s="1064">
        <v>17.899999999999999</v>
      </c>
      <c r="T150" s="1064"/>
      <c r="U150" s="1064">
        <f t="shared" si="27"/>
        <v>0</v>
      </c>
      <c r="V150" s="1064">
        <f>U150*('Ввод исходных данных'!$D$83-S150)</f>
        <v>0</v>
      </c>
      <c r="W150" s="1065">
        <v>11.1</v>
      </c>
      <c r="X150" s="1065"/>
      <c r="Y150" s="1065">
        <f t="shared" si="28"/>
        <v>4</v>
      </c>
      <c r="Z150" s="1065">
        <f>Y150*('Ввод исходных данных'!$D$83-W150)</f>
        <v>35.6</v>
      </c>
      <c r="AA150" s="1066">
        <v>5.0999999999999996</v>
      </c>
      <c r="AB150" s="1066"/>
      <c r="AC150" s="1066">
        <f t="shared" si="29"/>
        <v>30</v>
      </c>
      <c r="AD150" s="1066">
        <f>AC150*('Ввод исходных данных'!$D$83-AA150)</f>
        <v>447</v>
      </c>
      <c r="AE150" s="1067">
        <v>0.2</v>
      </c>
      <c r="AF150" s="1067"/>
      <c r="AG150" s="1067">
        <v>31</v>
      </c>
      <c r="AH150" s="1067">
        <f>AG150*('Ввод исходных данных'!$D$83-AE150)</f>
        <v>613.80000000000007</v>
      </c>
      <c r="AI150" s="1068">
        <v>-2.5</v>
      </c>
      <c r="AJ150" s="1068"/>
      <c r="AK150" s="1068">
        <v>31</v>
      </c>
      <c r="AL150" s="1068">
        <f>AK150*('Ввод исходных данных'!$D$83-AI150)</f>
        <v>697.5</v>
      </c>
      <c r="AM150" s="1069">
        <v>-2.1</v>
      </c>
      <c r="AN150" s="1069"/>
      <c r="AO150" s="1069">
        <v>28</v>
      </c>
      <c r="AP150" s="1069">
        <f>AO150*('Ввод исходных данных'!$D$83-AM150)</f>
        <v>618.80000000000007</v>
      </c>
      <c r="AQ150" s="1064">
        <v>2.7</v>
      </c>
      <c r="AR150" s="1064"/>
      <c r="AS150" s="1064">
        <f t="shared" si="30"/>
        <v>31</v>
      </c>
      <c r="AT150" s="1064">
        <f>AS150*('Ввод исходных данных'!$D$83-AQ150)</f>
        <v>536.30000000000007</v>
      </c>
      <c r="AU150" s="1070">
        <v>10.6</v>
      </c>
      <c r="AV150" s="1070"/>
      <c r="AW150" s="1070">
        <f t="shared" si="31"/>
        <v>4</v>
      </c>
      <c r="AX150" s="1070">
        <f>AW150*('Ввод исходных данных'!$D$83-AU150)</f>
        <v>37.6</v>
      </c>
      <c r="AY150" s="1071">
        <v>17.100000000000001</v>
      </c>
      <c r="AZ150" s="1071"/>
      <c r="BA150" s="1071">
        <f t="shared" si="32"/>
        <v>0</v>
      </c>
      <c r="BB150" s="1071">
        <f>BA150*('Ввод исходных данных'!$D$83-AY150)</f>
        <v>0</v>
      </c>
      <c r="BC150" s="1072">
        <v>21.5</v>
      </c>
      <c r="BD150" s="1072"/>
      <c r="BE150" s="1072">
        <f t="shared" si="24"/>
        <v>0</v>
      </c>
      <c r="BF150" s="1073">
        <f>BE150*('Ввод исходных данных'!$D$83-BC150)</f>
        <v>0</v>
      </c>
    </row>
    <row r="151" spans="2:58" ht="15.75" customHeight="1" x14ac:dyDescent="0.25">
      <c r="B151" s="1052" t="s">
        <v>159</v>
      </c>
      <c r="C151" s="1052" t="s">
        <v>163</v>
      </c>
      <c r="D151" s="1053" t="str">
        <f t="shared" si="22"/>
        <v>Краснодарский крайСочи</v>
      </c>
      <c r="E151" s="1054">
        <v>94</v>
      </c>
      <c r="F151" s="1055">
        <v>6.6</v>
      </c>
      <c r="G151" s="1055">
        <v>-2</v>
      </c>
      <c r="H151" s="1057">
        <v>2.5</v>
      </c>
      <c r="I151" s="1058">
        <f>E151*('Ввод исходных данных'!$D$83-F151)</f>
        <v>1259.6000000000001</v>
      </c>
      <c r="J151" s="1059" t="str">
        <f t="shared" si="23"/>
        <v>1000-2000</v>
      </c>
      <c r="K151" s="1060">
        <v>23</v>
      </c>
      <c r="L151" s="1060"/>
      <c r="M151" s="1061">
        <f t="shared" si="25"/>
        <v>0</v>
      </c>
      <c r="N151" s="1062">
        <f>M151*('Ввод исходных данных'!$D$83-K151)</f>
        <v>0</v>
      </c>
      <c r="O151" s="1063">
        <v>23.3</v>
      </c>
      <c r="P151" s="1063"/>
      <c r="Q151" s="1063">
        <f t="shared" si="26"/>
        <v>0</v>
      </c>
      <c r="R151" s="1063">
        <f>Q151*('Ввод исходных данных'!$D$83-O151)</f>
        <v>0</v>
      </c>
      <c r="S151" s="1064">
        <v>19.8</v>
      </c>
      <c r="T151" s="1064"/>
      <c r="U151" s="1064">
        <f t="shared" si="27"/>
        <v>0</v>
      </c>
      <c r="V151" s="1064">
        <f>U151*('Ввод исходных данных'!$D$83-S151)</f>
        <v>0</v>
      </c>
      <c r="W151" s="1065">
        <v>15.6</v>
      </c>
      <c r="X151" s="1065"/>
      <c r="Y151" s="1065">
        <f t="shared" si="28"/>
        <v>0</v>
      </c>
      <c r="Z151" s="1065">
        <f>Y151*('Ввод исходных данных'!$D$83-W151)</f>
        <v>0</v>
      </c>
      <c r="AA151" s="1066">
        <v>11.3</v>
      </c>
      <c r="AB151" s="1066"/>
      <c r="AC151" s="1066">
        <f t="shared" si="29"/>
        <v>2</v>
      </c>
      <c r="AD151" s="1066">
        <f>AC151*('Ввод исходных данных'!$D$83-AA151)</f>
        <v>17.399999999999999</v>
      </c>
      <c r="AE151" s="1067">
        <v>7.9</v>
      </c>
      <c r="AF151" s="1067"/>
      <c r="AG151" s="1067">
        <v>31</v>
      </c>
      <c r="AH151" s="1067">
        <f>AG151*('Ввод исходных данных'!$D$83-AE151)</f>
        <v>375.09999999999997</v>
      </c>
      <c r="AI151" s="1068">
        <v>6</v>
      </c>
      <c r="AJ151" s="1068"/>
      <c r="AK151" s="1068">
        <v>31</v>
      </c>
      <c r="AL151" s="1068">
        <f>AK151*('Ввод исходных данных'!$D$83-AI151)</f>
        <v>434</v>
      </c>
      <c r="AM151" s="1069">
        <v>6.2</v>
      </c>
      <c r="AN151" s="1069"/>
      <c r="AO151" s="1069">
        <v>28</v>
      </c>
      <c r="AP151" s="1069">
        <f>AO151*('Ввод исходных данных'!$D$83-AM151)</f>
        <v>386.40000000000003</v>
      </c>
      <c r="AQ151" s="1064">
        <v>8.3000000000000007</v>
      </c>
      <c r="AR151" s="1064"/>
      <c r="AS151" s="1064">
        <f t="shared" si="30"/>
        <v>2</v>
      </c>
      <c r="AT151" s="1064">
        <f>AS151*('Ввод исходных данных'!$D$83-AQ151)</f>
        <v>23.4</v>
      </c>
      <c r="AU151" s="1070">
        <v>12.2</v>
      </c>
      <c r="AV151" s="1070"/>
      <c r="AW151" s="1070">
        <f t="shared" si="31"/>
        <v>0</v>
      </c>
      <c r="AX151" s="1070">
        <f>AW151*('Ввод исходных данных'!$D$83-AU151)</f>
        <v>0</v>
      </c>
      <c r="AY151" s="1071">
        <v>16.100000000000001</v>
      </c>
      <c r="AZ151" s="1071"/>
      <c r="BA151" s="1071">
        <f t="shared" si="32"/>
        <v>0</v>
      </c>
      <c r="BB151" s="1071">
        <f>BA151*('Ввод исходных данных'!$D$83-AY151)</f>
        <v>0</v>
      </c>
      <c r="BC151" s="1072">
        <v>20</v>
      </c>
      <c r="BD151" s="1072"/>
      <c r="BE151" s="1072">
        <f t="shared" si="24"/>
        <v>0</v>
      </c>
      <c r="BF151" s="1073">
        <f>BE151*('Ввод исходных данных'!$D$83-BC151)</f>
        <v>0</v>
      </c>
    </row>
    <row r="152" spans="2:58" ht="15.75" customHeight="1" x14ac:dyDescent="0.25">
      <c r="B152" s="1076" t="s">
        <v>159</v>
      </c>
      <c r="C152" s="1076" t="s">
        <v>164</v>
      </c>
      <c r="D152" s="1053" t="str">
        <f t="shared" si="22"/>
        <v>Краснодарский крайТихорецк</v>
      </c>
      <c r="E152" s="1054">
        <v>156</v>
      </c>
      <c r="F152" s="1055">
        <v>1.2</v>
      </c>
      <c r="G152" s="1055">
        <v>-17</v>
      </c>
      <c r="H152" s="1057">
        <v>3.9</v>
      </c>
      <c r="I152" s="1058">
        <f>E152*('Ввод исходных данных'!$D$83-F152)</f>
        <v>2932.8</v>
      </c>
      <c r="J152" s="1059" t="str">
        <f t="shared" si="23"/>
        <v>2000-3000</v>
      </c>
      <c r="K152" s="1060">
        <v>23.6</v>
      </c>
      <c r="L152" s="1060"/>
      <c r="M152" s="1061">
        <f t="shared" si="25"/>
        <v>0</v>
      </c>
      <c r="N152" s="1062">
        <f>M152*('Ввод исходных данных'!$D$83-K152)</f>
        <v>0</v>
      </c>
      <c r="O152" s="1063">
        <v>23.1</v>
      </c>
      <c r="P152" s="1063"/>
      <c r="Q152" s="1063">
        <f t="shared" si="26"/>
        <v>0</v>
      </c>
      <c r="R152" s="1063">
        <f>Q152*('Ввод исходных данных'!$D$83-O152)</f>
        <v>0</v>
      </c>
      <c r="S152" s="1064">
        <v>17.7</v>
      </c>
      <c r="T152" s="1064"/>
      <c r="U152" s="1064">
        <f t="shared" si="27"/>
        <v>0</v>
      </c>
      <c r="V152" s="1064">
        <f>U152*('Ввод исходных данных'!$D$83-S152)</f>
        <v>0</v>
      </c>
      <c r="W152" s="1065">
        <v>11</v>
      </c>
      <c r="X152" s="1065"/>
      <c r="Y152" s="1065">
        <f t="shared" si="28"/>
        <v>2.5</v>
      </c>
      <c r="Z152" s="1065">
        <f>Y152*('Ввод исходных данных'!$D$83-W152)</f>
        <v>22.5</v>
      </c>
      <c r="AA152" s="1066">
        <v>4.9000000000000004</v>
      </c>
      <c r="AB152" s="1066"/>
      <c r="AC152" s="1066">
        <f t="shared" si="29"/>
        <v>30</v>
      </c>
      <c r="AD152" s="1066">
        <f>AC152*('Ввод исходных данных'!$D$83-AA152)</f>
        <v>453</v>
      </c>
      <c r="AE152" s="1067">
        <v>0.3</v>
      </c>
      <c r="AF152" s="1067"/>
      <c r="AG152" s="1067">
        <v>31</v>
      </c>
      <c r="AH152" s="1067">
        <f>AG152*('Ввод исходных данных'!$D$83-AE152)</f>
        <v>610.69999999999993</v>
      </c>
      <c r="AI152" s="1068">
        <v>-2.2000000000000002</v>
      </c>
      <c r="AJ152" s="1068"/>
      <c r="AK152" s="1068">
        <v>31</v>
      </c>
      <c r="AL152" s="1068">
        <f>AK152*('Ввод исходных данных'!$D$83-AI152)</f>
        <v>688.19999999999993</v>
      </c>
      <c r="AM152" s="1069">
        <v>-1.2</v>
      </c>
      <c r="AN152" s="1069"/>
      <c r="AO152" s="1069">
        <v>28</v>
      </c>
      <c r="AP152" s="1069">
        <f>AO152*('Ввод исходных данных'!$D$83-AM152)</f>
        <v>593.6</v>
      </c>
      <c r="AQ152" s="1064">
        <v>4</v>
      </c>
      <c r="AR152" s="1064"/>
      <c r="AS152" s="1064">
        <f t="shared" si="30"/>
        <v>31</v>
      </c>
      <c r="AT152" s="1064">
        <f>AS152*('Ввод исходных данных'!$D$83-AQ152)</f>
        <v>496</v>
      </c>
      <c r="AU152" s="1070">
        <v>11.7</v>
      </c>
      <c r="AV152" s="1070"/>
      <c r="AW152" s="1070">
        <f t="shared" si="31"/>
        <v>2.5</v>
      </c>
      <c r="AX152" s="1070">
        <f>AW152*('Ввод исходных данных'!$D$83-AU152)</f>
        <v>20.75</v>
      </c>
      <c r="AY152" s="1071">
        <v>17.100000000000001</v>
      </c>
      <c r="AZ152" s="1071"/>
      <c r="BA152" s="1071">
        <f t="shared" si="32"/>
        <v>0</v>
      </c>
      <c r="BB152" s="1071">
        <f>BA152*('Ввод исходных данных'!$D$83-AY152)</f>
        <v>0</v>
      </c>
      <c r="BC152" s="1072">
        <v>20.8</v>
      </c>
      <c r="BD152" s="1072"/>
      <c r="BE152" s="1072">
        <f t="shared" si="24"/>
        <v>0</v>
      </c>
      <c r="BF152" s="1073">
        <f>BE152*('Ввод исходных данных'!$D$83-BC152)</f>
        <v>0</v>
      </c>
    </row>
    <row r="153" spans="2:58" ht="15.75" customHeight="1" x14ac:dyDescent="0.25">
      <c r="B153" s="1052" t="s">
        <v>165</v>
      </c>
      <c r="C153" s="1052" t="s">
        <v>167</v>
      </c>
      <c r="D153" s="1053" t="str">
        <f t="shared" si="22"/>
        <v>Красноярский крайАгата</v>
      </c>
      <c r="E153" s="1054">
        <v>292</v>
      </c>
      <c r="F153" s="1055">
        <v>-16.7</v>
      </c>
      <c r="G153" s="1055">
        <v>-53</v>
      </c>
      <c r="H153" s="1057">
        <v>2.9</v>
      </c>
      <c r="I153" s="1058">
        <f>E153*('Ввод исходных данных'!$D$83-F153)</f>
        <v>10716.400000000001</v>
      </c>
      <c r="J153" s="1059" t="str">
        <f t="shared" si="23"/>
        <v>10000-11000</v>
      </c>
      <c r="K153" s="1060">
        <v>14.1</v>
      </c>
      <c r="L153" s="1060"/>
      <c r="M153" s="1061">
        <f t="shared" si="25"/>
        <v>0</v>
      </c>
      <c r="N153" s="1062">
        <f>M153*('Ввод исходных данных'!$D$83-K153)</f>
        <v>0</v>
      </c>
      <c r="O153" s="1063">
        <v>10.9</v>
      </c>
      <c r="P153" s="1063"/>
      <c r="Q153" s="1063">
        <f t="shared" si="26"/>
        <v>9.5</v>
      </c>
      <c r="R153" s="1063">
        <f>Q153*('Ввод исходных данных'!$D$83-O153)</f>
        <v>86.45</v>
      </c>
      <c r="S153" s="1064">
        <v>3.8</v>
      </c>
      <c r="T153" s="1064"/>
      <c r="U153" s="1064">
        <f t="shared" si="27"/>
        <v>30</v>
      </c>
      <c r="V153" s="1064">
        <f>U153*('Ввод исходных данных'!$D$83-S153)</f>
        <v>486</v>
      </c>
      <c r="W153" s="1065">
        <v>-7.7</v>
      </c>
      <c r="X153" s="1065"/>
      <c r="Y153" s="1065">
        <f t="shared" si="28"/>
        <v>31</v>
      </c>
      <c r="Z153" s="1065">
        <f>Y153*('Ввод исходных данных'!$D$83-W153)</f>
        <v>858.69999999999993</v>
      </c>
      <c r="AA153" s="1066">
        <v>-24.5</v>
      </c>
      <c r="AB153" s="1066"/>
      <c r="AC153" s="1066">
        <f t="shared" si="29"/>
        <v>30</v>
      </c>
      <c r="AD153" s="1066">
        <f>AC153*('Ввод исходных данных'!$D$83-AA153)</f>
        <v>1335</v>
      </c>
      <c r="AE153" s="1067">
        <v>-31.2</v>
      </c>
      <c r="AF153" s="1067"/>
      <c r="AG153" s="1067">
        <v>31</v>
      </c>
      <c r="AH153" s="1067">
        <f>AG153*('Ввод исходных данных'!$D$83-AE153)</f>
        <v>1587.2</v>
      </c>
      <c r="AI153" s="1068">
        <v>-34.5</v>
      </c>
      <c r="AJ153" s="1068"/>
      <c r="AK153" s="1068">
        <v>31</v>
      </c>
      <c r="AL153" s="1068">
        <f>AK153*('Ввод исходных данных'!$D$83-AI153)</f>
        <v>1689.5</v>
      </c>
      <c r="AM153" s="1069">
        <v>-32.5</v>
      </c>
      <c r="AN153" s="1069"/>
      <c r="AO153" s="1069">
        <v>28</v>
      </c>
      <c r="AP153" s="1069">
        <f>AO153*('Ввод исходных данных'!$D$83-AM153)</f>
        <v>1470</v>
      </c>
      <c r="AQ153" s="1064">
        <v>-21.8</v>
      </c>
      <c r="AR153" s="1064"/>
      <c r="AS153" s="1064">
        <f t="shared" si="30"/>
        <v>31</v>
      </c>
      <c r="AT153" s="1064">
        <f>AS153*('Ввод исходных данных'!$D$83-AQ153)</f>
        <v>1295.8</v>
      </c>
      <c r="AU153" s="1070">
        <v>-11.5</v>
      </c>
      <c r="AV153" s="1070"/>
      <c r="AW153" s="1070">
        <f t="shared" si="31"/>
        <v>30</v>
      </c>
      <c r="AX153" s="1070">
        <f>AW153*('Ввод исходных данных'!$D$83-AU153)</f>
        <v>945</v>
      </c>
      <c r="AY153" s="1071">
        <v>-1.4</v>
      </c>
      <c r="AZ153" s="1071"/>
      <c r="BA153" s="1071">
        <f t="shared" si="32"/>
        <v>31</v>
      </c>
      <c r="BB153" s="1071">
        <f>BA153*('Ввод исходных данных'!$D$83-AY153)</f>
        <v>663.4</v>
      </c>
      <c r="BC153" s="1072">
        <v>8.1</v>
      </c>
      <c r="BD153" s="1072"/>
      <c r="BE153" s="1072">
        <f t="shared" si="24"/>
        <v>9.5</v>
      </c>
      <c r="BF153" s="1073">
        <f>BE153*('Ввод исходных данных'!$D$83-BC153)</f>
        <v>113.05</v>
      </c>
    </row>
    <row r="154" spans="2:58" ht="15.75" customHeight="1" x14ac:dyDescent="0.25">
      <c r="B154" s="1076" t="s">
        <v>165</v>
      </c>
      <c r="C154" s="1076" t="s">
        <v>166</v>
      </c>
      <c r="D154" s="1053" t="str">
        <f t="shared" si="22"/>
        <v>Красноярский крайАчинск</v>
      </c>
      <c r="E154" s="1054">
        <v>232</v>
      </c>
      <c r="F154" s="1055">
        <v>-7</v>
      </c>
      <c r="G154" s="1055">
        <v>-36</v>
      </c>
      <c r="H154" s="1057">
        <v>4.8</v>
      </c>
      <c r="I154" s="1058">
        <f>E154*('Ввод исходных данных'!$D$83-F154)</f>
        <v>6264</v>
      </c>
      <c r="J154" s="1059" t="str">
        <f t="shared" si="23"/>
        <v>6000-7000</v>
      </c>
      <c r="K154" s="1060">
        <v>18.8</v>
      </c>
      <c r="L154" s="1060"/>
      <c r="M154" s="1061">
        <f t="shared" si="25"/>
        <v>0</v>
      </c>
      <c r="N154" s="1062">
        <f>M154*('Ввод исходных данных'!$D$83-K154)</f>
        <v>0</v>
      </c>
      <c r="O154" s="1063">
        <v>15.5</v>
      </c>
      <c r="P154" s="1063"/>
      <c r="Q154" s="1063">
        <f t="shared" si="26"/>
        <v>0</v>
      </c>
      <c r="R154" s="1063">
        <f>Q154*('Ввод исходных данных'!$D$83-O154)</f>
        <v>0</v>
      </c>
      <c r="S154" s="1064">
        <v>9.1</v>
      </c>
      <c r="T154" s="1064"/>
      <c r="U154" s="1064">
        <f t="shared" si="27"/>
        <v>10</v>
      </c>
      <c r="V154" s="1064">
        <f>U154*('Ввод исходных данных'!$D$83-S154)</f>
        <v>109</v>
      </c>
      <c r="W154" s="1065">
        <v>1.3</v>
      </c>
      <c r="X154" s="1065"/>
      <c r="Y154" s="1065">
        <f t="shared" si="28"/>
        <v>31</v>
      </c>
      <c r="Z154" s="1065">
        <f>Y154*('Ввод исходных данных'!$D$83-W154)</f>
        <v>579.69999999999993</v>
      </c>
      <c r="AA154" s="1066">
        <v>-7.8</v>
      </c>
      <c r="AB154" s="1066"/>
      <c r="AC154" s="1066">
        <f t="shared" si="29"/>
        <v>30</v>
      </c>
      <c r="AD154" s="1066">
        <f>AC154*('Ввод исходных данных'!$D$83-AA154)</f>
        <v>834</v>
      </c>
      <c r="AE154" s="1067">
        <v>-13.7</v>
      </c>
      <c r="AF154" s="1067"/>
      <c r="AG154" s="1067">
        <v>31</v>
      </c>
      <c r="AH154" s="1067">
        <f>AG154*('Ввод исходных данных'!$D$83-AE154)</f>
        <v>1044.7</v>
      </c>
      <c r="AI154" s="1068">
        <v>-16.100000000000001</v>
      </c>
      <c r="AJ154" s="1068"/>
      <c r="AK154" s="1068">
        <v>31</v>
      </c>
      <c r="AL154" s="1068">
        <f>AK154*('Ввод исходных данных'!$D$83-AI154)</f>
        <v>1119.1000000000001</v>
      </c>
      <c r="AM154" s="1069">
        <v>-14</v>
      </c>
      <c r="AN154" s="1069"/>
      <c r="AO154" s="1069">
        <v>28</v>
      </c>
      <c r="AP154" s="1069">
        <f>AO154*('Ввод исходных данных'!$D$83-AM154)</f>
        <v>952</v>
      </c>
      <c r="AQ154" s="1064">
        <v>-6.7</v>
      </c>
      <c r="AR154" s="1064"/>
      <c r="AS154" s="1064">
        <f t="shared" si="30"/>
        <v>31</v>
      </c>
      <c r="AT154" s="1064">
        <f>AS154*('Ввод исходных данных'!$D$83-AQ154)</f>
        <v>827.69999999999993</v>
      </c>
      <c r="AU154" s="1070">
        <v>1.3</v>
      </c>
      <c r="AV154" s="1070"/>
      <c r="AW154" s="1070">
        <f t="shared" si="31"/>
        <v>30</v>
      </c>
      <c r="AX154" s="1070">
        <f>AW154*('Ввод исходных данных'!$D$83-AU154)</f>
        <v>561</v>
      </c>
      <c r="AY154" s="1071">
        <v>9.6</v>
      </c>
      <c r="AZ154" s="1071"/>
      <c r="BA154" s="1071">
        <f t="shared" si="32"/>
        <v>10</v>
      </c>
      <c r="BB154" s="1071">
        <f>BA154*('Ввод исходных данных'!$D$83-AY154)</f>
        <v>104</v>
      </c>
      <c r="BC154" s="1072">
        <v>15.9</v>
      </c>
      <c r="BD154" s="1072"/>
      <c r="BE154" s="1072">
        <f t="shared" si="24"/>
        <v>0</v>
      </c>
      <c r="BF154" s="1073">
        <f>BE154*('Ввод исходных данных'!$D$83-BC154)</f>
        <v>0</v>
      </c>
    </row>
    <row r="155" spans="2:58" ht="15.75" customHeight="1" x14ac:dyDescent="0.25">
      <c r="B155" s="1052" t="s">
        <v>165</v>
      </c>
      <c r="C155" s="1052" t="s">
        <v>658</v>
      </c>
      <c r="D155" s="1053" t="str">
        <f t="shared" si="22"/>
        <v>Красноярский крайБайкит</v>
      </c>
      <c r="E155" s="1054">
        <v>266</v>
      </c>
      <c r="F155" s="1055">
        <v>-14.1</v>
      </c>
      <c r="G155" s="1055">
        <v>-50</v>
      </c>
      <c r="H155" s="1057">
        <v>1.8</v>
      </c>
      <c r="I155" s="1058">
        <f>E155*('Ввод исходных данных'!$D$83-F155)</f>
        <v>9070.6</v>
      </c>
      <c r="J155" s="1059" t="str">
        <f t="shared" si="23"/>
        <v>9000-10000</v>
      </c>
      <c r="K155" s="1060">
        <v>17.100000000000001</v>
      </c>
      <c r="L155" s="1060"/>
      <c r="M155" s="1061">
        <f t="shared" si="25"/>
        <v>0</v>
      </c>
      <c r="N155" s="1062">
        <f>M155*('Ввод исходных данных'!$D$83-K155)</f>
        <v>0</v>
      </c>
      <c r="O155" s="1063">
        <v>12.8</v>
      </c>
      <c r="P155" s="1063"/>
      <c r="Q155" s="1063">
        <f t="shared" si="26"/>
        <v>0</v>
      </c>
      <c r="R155" s="1063">
        <f>Q155*('Ввод исходных данных'!$D$83-O155)</f>
        <v>0</v>
      </c>
      <c r="S155" s="1064">
        <v>5.3</v>
      </c>
      <c r="T155" s="1064"/>
      <c r="U155" s="1064">
        <f t="shared" si="27"/>
        <v>27</v>
      </c>
      <c r="V155" s="1064">
        <f>U155*('Ввод исходных данных'!$D$83-S155)</f>
        <v>396.9</v>
      </c>
      <c r="W155" s="1065">
        <v>-5</v>
      </c>
      <c r="X155" s="1065"/>
      <c r="Y155" s="1065">
        <f t="shared" si="28"/>
        <v>31</v>
      </c>
      <c r="Z155" s="1065">
        <f>Y155*('Ввод исходных данных'!$D$83-W155)</f>
        <v>775</v>
      </c>
      <c r="AA155" s="1066">
        <v>-19.399999999999999</v>
      </c>
      <c r="AB155" s="1066"/>
      <c r="AC155" s="1066">
        <f t="shared" si="29"/>
        <v>30</v>
      </c>
      <c r="AD155" s="1066">
        <f>AC155*('Ввод исходных данных'!$D$83-AA155)</f>
        <v>1182</v>
      </c>
      <c r="AE155" s="1067">
        <v>-28.4</v>
      </c>
      <c r="AF155" s="1067"/>
      <c r="AG155" s="1067">
        <v>31</v>
      </c>
      <c r="AH155" s="1067">
        <f>AG155*('Ввод исходных данных'!$D$83-AE155)</f>
        <v>1500.3999999999999</v>
      </c>
      <c r="AI155" s="1068">
        <v>-30.5</v>
      </c>
      <c r="AJ155" s="1068"/>
      <c r="AK155" s="1068">
        <v>31</v>
      </c>
      <c r="AL155" s="1068">
        <f>AK155*('Ввод исходных данных'!$D$83-AI155)</f>
        <v>1565.5</v>
      </c>
      <c r="AM155" s="1069">
        <v>-26.1</v>
      </c>
      <c r="AN155" s="1069"/>
      <c r="AO155" s="1069">
        <v>28</v>
      </c>
      <c r="AP155" s="1069">
        <f>AO155*('Ввод исходных данных'!$D$83-AM155)</f>
        <v>1290.8</v>
      </c>
      <c r="AQ155" s="1064">
        <v>-13.8</v>
      </c>
      <c r="AR155" s="1064"/>
      <c r="AS155" s="1064">
        <f t="shared" si="30"/>
        <v>31</v>
      </c>
      <c r="AT155" s="1064">
        <f>AS155*('Ввод исходных данных'!$D$83-AQ155)</f>
        <v>1047.8</v>
      </c>
      <c r="AU155" s="1070">
        <v>-4.0999999999999996</v>
      </c>
      <c r="AV155" s="1070"/>
      <c r="AW155" s="1070">
        <f t="shared" si="31"/>
        <v>30</v>
      </c>
      <c r="AX155" s="1070">
        <f>AW155*('Ввод исходных данных'!$D$83-AU155)</f>
        <v>723</v>
      </c>
      <c r="AY155" s="1071">
        <v>4.3</v>
      </c>
      <c r="AZ155" s="1071"/>
      <c r="BA155" s="1071">
        <f t="shared" si="32"/>
        <v>27</v>
      </c>
      <c r="BB155" s="1071">
        <f>BA155*('Ввод исходных данных'!$D$83-AY155)</f>
        <v>423.9</v>
      </c>
      <c r="BC155" s="1072">
        <v>13.2</v>
      </c>
      <c r="BD155" s="1072"/>
      <c r="BE155" s="1072">
        <f t="shared" si="24"/>
        <v>0</v>
      </c>
      <c r="BF155" s="1073">
        <f>BE155*('Ввод исходных данных'!$D$83-BC155)</f>
        <v>0</v>
      </c>
    </row>
    <row r="156" spans="2:58" ht="15.75" customHeight="1" x14ac:dyDescent="0.25">
      <c r="B156" s="1076" t="s">
        <v>165</v>
      </c>
      <c r="C156" s="1076" t="s">
        <v>168</v>
      </c>
      <c r="D156" s="1053" t="str">
        <f t="shared" si="22"/>
        <v>Красноярский крайБоготол</v>
      </c>
      <c r="E156" s="1054">
        <v>239</v>
      </c>
      <c r="F156" s="1055">
        <v>-7.6</v>
      </c>
      <c r="G156" s="1055">
        <v>-39</v>
      </c>
      <c r="H156" s="1057">
        <f>H155</f>
        <v>1.8</v>
      </c>
      <c r="I156" s="1058">
        <f>E156*('Ввод исходных данных'!$D$83-F156)</f>
        <v>6596.4000000000005</v>
      </c>
      <c r="J156" s="1059" t="str">
        <f t="shared" si="23"/>
        <v>6000-7000</v>
      </c>
      <c r="K156" s="1060">
        <v>17.8</v>
      </c>
      <c r="L156" s="1060"/>
      <c r="M156" s="1061">
        <f t="shared" si="25"/>
        <v>0</v>
      </c>
      <c r="N156" s="1062">
        <f>M156*('Ввод исходных данных'!$D$83-K156)</f>
        <v>0</v>
      </c>
      <c r="O156" s="1063">
        <v>14.6</v>
      </c>
      <c r="P156" s="1063"/>
      <c r="Q156" s="1063">
        <f t="shared" si="26"/>
        <v>0</v>
      </c>
      <c r="R156" s="1063">
        <f>Q156*('Ввод исходных данных'!$D$83-O156)</f>
        <v>0</v>
      </c>
      <c r="S156" s="1064">
        <v>8.6999999999999993</v>
      </c>
      <c r="T156" s="1064"/>
      <c r="U156" s="1064">
        <f t="shared" si="27"/>
        <v>13.5</v>
      </c>
      <c r="V156" s="1064">
        <f>U156*('Ввод исходных данных'!$D$83-S156)</f>
        <v>152.55000000000001</v>
      </c>
      <c r="W156" s="1065">
        <v>0.8</v>
      </c>
      <c r="X156" s="1065"/>
      <c r="Y156" s="1065">
        <f t="shared" si="28"/>
        <v>31</v>
      </c>
      <c r="Z156" s="1065">
        <f>Y156*('Ввод исходных данных'!$D$83-W156)</f>
        <v>595.19999999999993</v>
      </c>
      <c r="AA156" s="1066">
        <v>-9.6999999999999993</v>
      </c>
      <c r="AB156" s="1066"/>
      <c r="AC156" s="1066">
        <f t="shared" si="29"/>
        <v>30</v>
      </c>
      <c r="AD156" s="1066">
        <f>AC156*('Ввод исходных данных'!$D$83-AA156)</f>
        <v>891</v>
      </c>
      <c r="AE156" s="1067">
        <v>-16.399999999999999</v>
      </c>
      <c r="AF156" s="1067"/>
      <c r="AG156" s="1067">
        <v>31</v>
      </c>
      <c r="AH156" s="1067">
        <f>AG156*('Ввод исходных данных'!$D$83-AE156)</f>
        <v>1128.3999999999999</v>
      </c>
      <c r="AI156" s="1068">
        <v>-17.399999999999999</v>
      </c>
      <c r="AJ156" s="1068"/>
      <c r="AK156" s="1068">
        <v>31</v>
      </c>
      <c r="AL156" s="1068">
        <f>AK156*('Ввод исходных данных'!$D$83-AI156)</f>
        <v>1159.3999999999999</v>
      </c>
      <c r="AM156" s="1069">
        <v>-16</v>
      </c>
      <c r="AN156" s="1069"/>
      <c r="AO156" s="1069">
        <v>28</v>
      </c>
      <c r="AP156" s="1069">
        <f>AO156*('Ввод исходных данных'!$D$83-AM156)</f>
        <v>1008</v>
      </c>
      <c r="AQ156" s="1064">
        <v>-9.1</v>
      </c>
      <c r="AR156" s="1064"/>
      <c r="AS156" s="1064">
        <f t="shared" si="30"/>
        <v>31</v>
      </c>
      <c r="AT156" s="1064">
        <f>AS156*('Ввод исходных данных'!$D$83-AQ156)</f>
        <v>902.1</v>
      </c>
      <c r="AU156" s="1070">
        <v>0.2</v>
      </c>
      <c r="AV156" s="1070"/>
      <c r="AW156" s="1070">
        <f t="shared" si="31"/>
        <v>30</v>
      </c>
      <c r="AX156" s="1070">
        <f>AW156*('Ввод исходных данных'!$D$83-AU156)</f>
        <v>594</v>
      </c>
      <c r="AY156" s="1071">
        <v>8.1</v>
      </c>
      <c r="AZ156" s="1071"/>
      <c r="BA156" s="1071">
        <f t="shared" si="32"/>
        <v>13.5</v>
      </c>
      <c r="BB156" s="1071">
        <f>BA156*('Ввод исходных данных'!$D$83-AY156)</f>
        <v>160.65</v>
      </c>
      <c r="BC156" s="1072">
        <v>15.3</v>
      </c>
      <c r="BD156" s="1072"/>
      <c r="BE156" s="1072">
        <f t="shared" si="24"/>
        <v>0</v>
      </c>
      <c r="BF156" s="1073">
        <f>BE156*('Ввод исходных данных'!$D$83-BC156)</f>
        <v>0</v>
      </c>
    </row>
    <row r="157" spans="2:58" ht="15.75" customHeight="1" x14ac:dyDescent="0.25">
      <c r="B157" s="1052" t="s">
        <v>165</v>
      </c>
      <c r="C157" s="1052" t="s">
        <v>169</v>
      </c>
      <c r="D157" s="1053" t="str">
        <f t="shared" si="22"/>
        <v>Красноярский крайБогучаны</v>
      </c>
      <c r="E157" s="1054">
        <v>244</v>
      </c>
      <c r="F157" s="1055">
        <v>-10.7</v>
      </c>
      <c r="G157" s="1055">
        <v>-45</v>
      </c>
      <c r="H157" s="1057">
        <v>3.2</v>
      </c>
      <c r="I157" s="1058">
        <f>E157*('Ввод исходных данных'!$D$83-F157)</f>
        <v>7490.8</v>
      </c>
      <c r="J157" s="1059" t="str">
        <f t="shared" si="23"/>
        <v>7000-8000</v>
      </c>
      <c r="K157" s="1060">
        <v>19.100000000000001</v>
      </c>
      <c r="L157" s="1060"/>
      <c r="M157" s="1061">
        <f t="shared" si="25"/>
        <v>0</v>
      </c>
      <c r="N157" s="1062">
        <f>M157*('Ввод исходных данных'!$D$83-K157)</f>
        <v>0</v>
      </c>
      <c r="O157" s="1063">
        <v>15.3</v>
      </c>
      <c r="P157" s="1063"/>
      <c r="Q157" s="1063">
        <f t="shared" si="26"/>
        <v>0</v>
      </c>
      <c r="R157" s="1063">
        <f>Q157*('Ввод исходных данных'!$D$83-O157)</f>
        <v>0</v>
      </c>
      <c r="S157" s="1064">
        <v>8</v>
      </c>
      <c r="T157" s="1064"/>
      <c r="U157" s="1064">
        <f t="shared" si="27"/>
        <v>16</v>
      </c>
      <c r="V157" s="1064">
        <f>U157*('Ввод исходных данных'!$D$83-S157)</f>
        <v>192</v>
      </c>
      <c r="W157" s="1065">
        <v>-0.6</v>
      </c>
      <c r="X157" s="1065"/>
      <c r="Y157" s="1065">
        <f t="shared" si="28"/>
        <v>31</v>
      </c>
      <c r="Z157" s="1065">
        <f>Y157*('Ввод исходных данных'!$D$83-W157)</f>
        <v>638.6</v>
      </c>
      <c r="AA157" s="1066">
        <v>-11.8</v>
      </c>
      <c r="AB157" s="1066"/>
      <c r="AC157" s="1066">
        <f t="shared" si="29"/>
        <v>30</v>
      </c>
      <c r="AD157" s="1066">
        <f>AC157*('Ввод исходных данных'!$D$83-AA157)</f>
        <v>954</v>
      </c>
      <c r="AE157" s="1067">
        <v>-21.1</v>
      </c>
      <c r="AF157" s="1067"/>
      <c r="AG157" s="1067">
        <v>31</v>
      </c>
      <c r="AH157" s="1067">
        <f>AG157*('Ввод исходных данных'!$D$83-AE157)</f>
        <v>1274.1000000000001</v>
      </c>
      <c r="AI157" s="1068">
        <v>-23.8</v>
      </c>
      <c r="AJ157" s="1068"/>
      <c r="AK157" s="1068">
        <v>31</v>
      </c>
      <c r="AL157" s="1068">
        <f>AK157*('Ввод исходных данных'!$D$83-AI157)</f>
        <v>1357.8</v>
      </c>
      <c r="AM157" s="1069">
        <v>-21.2</v>
      </c>
      <c r="AN157" s="1069"/>
      <c r="AO157" s="1069">
        <v>28</v>
      </c>
      <c r="AP157" s="1069">
        <f>AO157*('Ввод исходных данных'!$D$83-AM157)</f>
        <v>1153.6000000000001</v>
      </c>
      <c r="AQ157" s="1064">
        <v>-10.4</v>
      </c>
      <c r="AR157" s="1064"/>
      <c r="AS157" s="1064">
        <f t="shared" si="30"/>
        <v>31</v>
      </c>
      <c r="AT157" s="1064">
        <f>AS157*('Ввод исходных данных'!$D$83-AQ157)</f>
        <v>942.4</v>
      </c>
      <c r="AU157" s="1070">
        <v>-0.2</v>
      </c>
      <c r="AV157" s="1070"/>
      <c r="AW157" s="1070">
        <f t="shared" si="31"/>
        <v>30</v>
      </c>
      <c r="AX157" s="1070">
        <f>AW157*('Ввод исходных данных'!$D$83-AU157)</f>
        <v>606</v>
      </c>
      <c r="AY157" s="1071">
        <v>7.8</v>
      </c>
      <c r="AZ157" s="1071"/>
      <c r="BA157" s="1071">
        <f t="shared" si="32"/>
        <v>16</v>
      </c>
      <c r="BB157" s="1071">
        <f>BA157*('Ввод исходных данных'!$D$83-AY157)</f>
        <v>195.2</v>
      </c>
      <c r="BC157" s="1072">
        <v>15.9</v>
      </c>
      <c r="BD157" s="1072"/>
      <c r="BE157" s="1072">
        <f t="shared" si="24"/>
        <v>0</v>
      </c>
      <c r="BF157" s="1073">
        <f>BE157*('Ввод исходных данных'!$D$83-BC157)</f>
        <v>0</v>
      </c>
    </row>
    <row r="158" spans="2:58" ht="15.75" customHeight="1" x14ac:dyDescent="0.25">
      <c r="B158" s="1076" t="s">
        <v>165</v>
      </c>
      <c r="C158" s="1076" t="s">
        <v>659</v>
      </c>
      <c r="D158" s="1053" t="str">
        <f t="shared" si="22"/>
        <v>Красноярский крайВанавара</v>
      </c>
      <c r="E158" s="1054">
        <v>260</v>
      </c>
      <c r="F158" s="1055">
        <v>-14</v>
      </c>
      <c r="G158" s="1055">
        <v>-50</v>
      </c>
      <c r="H158" s="1057">
        <v>2.4</v>
      </c>
      <c r="I158" s="1058">
        <f>E158*('Ввод исходных данных'!$D$83-F158)</f>
        <v>8840</v>
      </c>
      <c r="J158" s="1059" t="str">
        <f t="shared" si="23"/>
        <v>8000-9000</v>
      </c>
      <c r="K158" s="1060">
        <v>17.600000000000001</v>
      </c>
      <c r="L158" s="1060"/>
      <c r="M158" s="1061">
        <f t="shared" si="25"/>
        <v>0</v>
      </c>
      <c r="N158" s="1062">
        <f>M158*('Ввод исходных данных'!$D$83-K158)</f>
        <v>0</v>
      </c>
      <c r="O158" s="1063">
        <v>13.4</v>
      </c>
      <c r="P158" s="1063"/>
      <c r="Q158" s="1063">
        <f t="shared" si="26"/>
        <v>0</v>
      </c>
      <c r="R158" s="1063">
        <f>Q158*('Ввод исходных данных'!$D$83-O158)</f>
        <v>0</v>
      </c>
      <c r="S158" s="1064">
        <v>5.5</v>
      </c>
      <c r="T158" s="1064"/>
      <c r="U158" s="1064">
        <f t="shared" si="27"/>
        <v>24</v>
      </c>
      <c r="V158" s="1064">
        <f>U158*('Ввод исходных данных'!$D$83-S158)</f>
        <v>348</v>
      </c>
      <c r="W158" s="1065">
        <v>-4.5</v>
      </c>
      <c r="X158" s="1065"/>
      <c r="Y158" s="1065">
        <f t="shared" si="28"/>
        <v>31</v>
      </c>
      <c r="Z158" s="1065">
        <f>Y158*('Ввод исходных данных'!$D$83-W158)</f>
        <v>759.5</v>
      </c>
      <c r="AA158" s="1066">
        <v>-18.5</v>
      </c>
      <c r="AB158" s="1066"/>
      <c r="AC158" s="1066">
        <f t="shared" si="29"/>
        <v>30</v>
      </c>
      <c r="AD158" s="1066">
        <f>AC158*('Ввод исходных данных'!$D$83-AA158)</f>
        <v>1155</v>
      </c>
      <c r="AE158" s="1067">
        <v>-27.4</v>
      </c>
      <c r="AF158" s="1067"/>
      <c r="AG158" s="1067">
        <v>31</v>
      </c>
      <c r="AH158" s="1067">
        <f>AG158*('Ввод исходных данных'!$D$83-AE158)</f>
        <v>1469.3999999999999</v>
      </c>
      <c r="AI158" s="1068">
        <v>-29.4</v>
      </c>
      <c r="AJ158" s="1068"/>
      <c r="AK158" s="1068">
        <v>31</v>
      </c>
      <c r="AL158" s="1068">
        <f>AK158*('Ввод исходных данных'!$D$83-AI158)</f>
        <v>1531.3999999999999</v>
      </c>
      <c r="AM158" s="1069">
        <v>-25.9</v>
      </c>
      <c r="AN158" s="1069"/>
      <c r="AO158" s="1069">
        <v>28</v>
      </c>
      <c r="AP158" s="1069">
        <f>AO158*('Ввод исходных данных'!$D$83-AM158)</f>
        <v>1285.2</v>
      </c>
      <c r="AQ158" s="1064">
        <v>-14.5</v>
      </c>
      <c r="AR158" s="1064"/>
      <c r="AS158" s="1064">
        <f t="shared" si="30"/>
        <v>31</v>
      </c>
      <c r="AT158" s="1064">
        <f>AS158*('Ввод исходных данных'!$D$83-AQ158)</f>
        <v>1069.5</v>
      </c>
      <c r="AU158" s="1070">
        <v>-3.6</v>
      </c>
      <c r="AV158" s="1070"/>
      <c r="AW158" s="1070">
        <f t="shared" si="31"/>
        <v>30</v>
      </c>
      <c r="AX158" s="1070">
        <f>AW158*('Ввод исходных данных'!$D$83-AU158)</f>
        <v>708</v>
      </c>
      <c r="AY158" s="1071">
        <v>5.8</v>
      </c>
      <c r="AZ158" s="1071"/>
      <c r="BA158" s="1071">
        <f t="shared" si="32"/>
        <v>24</v>
      </c>
      <c r="BB158" s="1071">
        <f>BA158*('Ввод исходных данных'!$D$83-AY158)</f>
        <v>340.79999999999995</v>
      </c>
      <c r="BC158" s="1072">
        <v>14.3</v>
      </c>
      <c r="BD158" s="1072"/>
      <c r="BE158" s="1072">
        <f t="shared" si="24"/>
        <v>0</v>
      </c>
      <c r="BF158" s="1073">
        <f>BE158*('Ввод исходных данных'!$D$83-BC158)</f>
        <v>0</v>
      </c>
    </row>
    <row r="159" spans="2:58" ht="15.75" customHeight="1" x14ac:dyDescent="0.25">
      <c r="B159" s="1052" t="s">
        <v>165</v>
      </c>
      <c r="C159" s="1052" t="s">
        <v>178</v>
      </c>
      <c r="D159" s="1053" t="str">
        <f t="shared" si="22"/>
        <v>Красноярский крайВельмо</v>
      </c>
      <c r="E159" s="1054">
        <v>264</v>
      </c>
      <c r="F159" s="1055">
        <v>-12.5</v>
      </c>
      <c r="G159" s="1055">
        <v>-49</v>
      </c>
      <c r="H159" s="1057">
        <f>H158</f>
        <v>2.4</v>
      </c>
      <c r="I159" s="1058">
        <f>E159*('Ввод исходных данных'!$D$83-F159)</f>
        <v>8580</v>
      </c>
      <c r="J159" s="1059" t="str">
        <f t="shared" si="23"/>
        <v>8000-9000</v>
      </c>
      <c r="K159" s="1060">
        <v>16.8</v>
      </c>
      <c r="L159" s="1060"/>
      <c r="M159" s="1061">
        <f t="shared" si="25"/>
        <v>0</v>
      </c>
      <c r="N159" s="1062">
        <f>M159*('Ввод исходных данных'!$D$83-K159)</f>
        <v>0</v>
      </c>
      <c r="O159" s="1063">
        <v>12.7</v>
      </c>
      <c r="P159" s="1063"/>
      <c r="Q159" s="1063">
        <f t="shared" si="26"/>
        <v>0</v>
      </c>
      <c r="R159" s="1063">
        <f>Q159*('Ввод исходных данных'!$D$83-O159)</f>
        <v>0</v>
      </c>
      <c r="S159" s="1064">
        <v>6.1</v>
      </c>
      <c r="T159" s="1064"/>
      <c r="U159" s="1064">
        <f t="shared" si="27"/>
        <v>26</v>
      </c>
      <c r="V159" s="1064">
        <f>U159*('Ввод исходных данных'!$D$83-S159)</f>
        <v>361.40000000000003</v>
      </c>
      <c r="W159" s="1065">
        <v>-3.7</v>
      </c>
      <c r="X159" s="1065"/>
      <c r="Y159" s="1065">
        <f t="shared" si="28"/>
        <v>31</v>
      </c>
      <c r="Z159" s="1065">
        <f>Y159*('Ввод исходных данных'!$D$83-W159)</f>
        <v>734.69999999999993</v>
      </c>
      <c r="AA159" s="1066">
        <v>-18.100000000000001</v>
      </c>
      <c r="AB159" s="1066"/>
      <c r="AC159" s="1066">
        <f t="shared" si="29"/>
        <v>30</v>
      </c>
      <c r="AD159" s="1066">
        <f>AC159*('Ввод исходных данных'!$D$83-AA159)</f>
        <v>1143</v>
      </c>
      <c r="AE159" s="1067">
        <v>-26.5</v>
      </c>
      <c r="AF159" s="1067"/>
      <c r="AG159" s="1067">
        <v>31</v>
      </c>
      <c r="AH159" s="1067">
        <f>AG159*('Ввод исходных данных'!$D$83-AE159)</f>
        <v>1441.5</v>
      </c>
      <c r="AI159" s="1068">
        <v>-27.6</v>
      </c>
      <c r="AJ159" s="1068"/>
      <c r="AK159" s="1068">
        <v>31</v>
      </c>
      <c r="AL159" s="1068">
        <f>AK159*('Ввод исходных данных'!$D$83-AI159)</f>
        <v>1475.6000000000001</v>
      </c>
      <c r="AM159" s="1069">
        <v>-24.8</v>
      </c>
      <c r="AN159" s="1069"/>
      <c r="AO159" s="1069">
        <v>28</v>
      </c>
      <c r="AP159" s="1069">
        <f>AO159*('Ввод исходных данных'!$D$83-AM159)</f>
        <v>1254.3999999999999</v>
      </c>
      <c r="AQ159" s="1064">
        <v>-14.8</v>
      </c>
      <c r="AR159" s="1064"/>
      <c r="AS159" s="1064">
        <f t="shared" si="30"/>
        <v>31</v>
      </c>
      <c r="AT159" s="1064">
        <f>AS159*('Ввод исходных данных'!$D$83-AQ159)</f>
        <v>1078.8</v>
      </c>
      <c r="AU159" s="1070">
        <v>-3.7</v>
      </c>
      <c r="AV159" s="1070"/>
      <c r="AW159" s="1070">
        <f t="shared" si="31"/>
        <v>30</v>
      </c>
      <c r="AX159" s="1070">
        <f>AW159*('Ввод исходных данных'!$D$83-AU159)</f>
        <v>711</v>
      </c>
      <c r="AY159" s="1071">
        <v>4.3</v>
      </c>
      <c r="AZ159" s="1071"/>
      <c r="BA159" s="1071">
        <f t="shared" si="32"/>
        <v>26</v>
      </c>
      <c r="BB159" s="1071">
        <f>BA159*('Ввод исходных данных'!$D$83-AY159)</f>
        <v>408.2</v>
      </c>
      <c r="BC159" s="1072">
        <v>13.1</v>
      </c>
      <c r="BD159" s="1072"/>
      <c r="BE159" s="1072">
        <f t="shared" si="24"/>
        <v>0</v>
      </c>
      <c r="BF159" s="1073">
        <f>BE159*('Ввод исходных данных'!$D$83-BC159)</f>
        <v>0</v>
      </c>
    </row>
    <row r="160" spans="2:58" ht="15.75" customHeight="1" x14ac:dyDescent="0.25">
      <c r="B160" s="1076" t="s">
        <v>165</v>
      </c>
      <c r="C160" s="1076" t="s">
        <v>179</v>
      </c>
      <c r="D160" s="1053" t="str">
        <f t="shared" si="22"/>
        <v>Красноярский крайВерхнеимбатск</v>
      </c>
      <c r="E160" s="1054">
        <v>265</v>
      </c>
      <c r="F160" s="1055">
        <v>-11.7</v>
      </c>
      <c r="G160" s="1055">
        <v>-48</v>
      </c>
      <c r="H160" s="1057">
        <v>3.2</v>
      </c>
      <c r="I160" s="1058">
        <f>E160*('Ввод исходных данных'!$D$83-F160)</f>
        <v>8400.5</v>
      </c>
      <c r="J160" s="1059" t="str">
        <f t="shared" si="23"/>
        <v>8000-9000</v>
      </c>
      <c r="K160" s="1060">
        <v>17.600000000000001</v>
      </c>
      <c r="L160" s="1060"/>
      <c r="M160" s="1061">
        <f t="shared" si="25"/>
        <v>0</v>
      </c>
      <c r="N160" s="1062">
        <f>M160*('Ввод исходных данных'!$D$83-K160)</f>
        <v>0</v>
      </c>
      <c r="O160" s="1063">
        <v>13.4</v>
      </c>
      <c r="P160" s="1063"/>
      <c r="Q160" s="1063">
        <f t="shared" si="26"/>
        <v>0</v>
      </c>
      <c r="R160" s="1063">
        <f>Q160*('Ввод исходных данных'!$D$83-O160)</f>
        <v>0</v>
      </c>
      <c r="S160" s="1064">
        <v>6.4</v>
      </c>
      <c r="T160" s="1064"/>
      <c r="U160" s="1064">
        <f t="shared" si="27"/>
        <v>26.5</v>
      </c>
      <c r="V160" s="1064">
        <f>U160*('Ввод исходных данных'!$D$83-S160)</f>
        <v>360.4</v>
      </c>
      <c r="W160" s="1065">
        <v>-3.5</v>
      </c>
      <c r="X160" s="1065"/>
      <c r="Y160" s="1065">
        <f t="shared" si="28"/>
        <v>31</v>
      </c>
      <c r="Z160" s="1065">
        <f>Y160*('Ввод исходных данных'!$D$83-W160)</f>
        <v>728.5</v>
      </c>
      <c r="AA160" s="1066">
        <v>-16</v>
      </c>
      <c r="AB160" s="1066"/>
      <c r="AC160" s="1066">
        <f t="shared" si="29"/>
        <v>30</v>
      </c>
      <c r="AD160" s="1066">
        <f>AC160*('Ввод исходных данных'!$D$83-AA160)</f>
        <v>1080</v>
      </c>
      <c r="AE160" s="1067">
        <v>-22.5</v>
      </c>
      <c r="AF160" s="1067"/>
      <c r="AG160" s="1067">
        <v>31</v>
      </c>
      <c r="AH160" s="1067">
        <f>AG160*('Ввод исходных данных'!$D$83-AE160)</f>
        <v>1317.5</v>
      </c>
      <c r="AI160" s="1068">
        <v>-24.7</v>
      </c>
      <c r="AJ160" s="1068"/>
      <c r="AK160" s="1068">
        <v>31</v>
      </c>
      <c r="AL160" s="1068">
        <f>AK160*('Ввод исходных данных'!$D$83-AI160)</f>
        <v>1385.7</v>
      </c>
      <c r="AM160" s="1069">
        <v>-22</v>
      </c>
      <c r="AN160" s="1069"/>
      <c r="AO160" s="1069">
        <v>28</v>
      </c>
      <c r="AP160" s="1069">
        <f>AO160*('Ввод исходных данных'!$D$83-AM160)</f>
        <v>1176</v>
      </c>
      <c r="AQ160" s="1064">
        <v>-12.8</v>
      </c>
      <c r="AR160" s="1064"/>
      <c r="AS160" s="1064">
        <f t="shared" si="30"/>
        <v>31</v>
      </c>
      <c r="AT160" s="1064">
        <f>AS160*('Ввод исходных данных'!$D$83-AQ160)</f>
        <v>1016.8</v>
      </c>
      <c r="AU160" s="1070">
        <v>-4.9000000000000004</v>
      </c>
      <c r="AV160" s="1070"/>
      <c r="AW160" s="1070">
        <f t="shared" si="31"/>
        <v>30</v>
      </c>
      <c r="AX160" s="1070">
        <f>AW160*('Ввод исходных данных'!$D$83-AU160)</f>
        <v>747</v>
      </c>
      <c r="AY160" s="1071">
        <v>3.3</v>
      </c>
      <c r="AZ160" s="1071"/>
      <c r="BA160" s="1071">
        <f t="shared" si="32"/>
        <v>26.5</v>
      </c>
      <c r="BB160" s="1071">
        <f>BA160*('Ввод исходных данных'!$D$83-AY160)</f>
        <v>442.54999999999995</v>
      </c>
      <c r="BC160" s="1072">
        <v>12.9</v>
      </c>
      <c r="BD160" s="1072"/>
      <c r="BE160" s="1072">
        <f t="shared" si="24"/>
        <v>0</v>
      </c>
      <c r="BF160" s="1073">
        <f>BE160*('Ввод исходных данных'!$D$83-BC160)</f>
        <v>0</v>
      </c>
    </row>
    <row r="161" spans="2:58" ht="15.75" customHeight="1" x14ac:dyDescent="0.25">
      <c r="B161" s="1052" t="s">
        <v>165</v>
      </c>
      <c r="C161" s="1052" t="s">
        <v>180</v>
      </c>
      <c r="D161" s="1053" t="str">
        <f t="shared" si="22"/>
        <v>Красноярский крайВолочанка</v>
      </c>
      <c r="E161" s="1054">
        <v>300</v>
      </c>
      <c r="F161" s="1055">
        <v>-17</v>
      </c>
      <c r="G161" s="1055">
        <v>-49</v>
      </c>
      <c r="H161" s="1057">
        <v>6.5</v>
      </c>
      <c r="I161" s="1058">
        <f>E161*('Ввод исходных данных'!$D$83-F161)</f>
        <v>11100</v>
      </c>
      <c r="J161" s="1059" t="str">
        <f t="shared" si="23"/>
        <v>11000-12000</v>
      </c>
      <c r="K161" s="1060">
        <v>12.8</v>
      </c>
      <c r="L161" s="1060"/>
      <c r="M161" s="1061">
        <f t="shared" si="25"/>
        <v>0</v>
      </c>
      <c r="N161" s="1062">
        <f>M161*('Ввод исходных данных'!$D$83-K161)</f>
        <v>0</v>
      </c>
      <c r="O161" s="1063">
        <v>9.8000000000000007</v>
      </c>
      <c r="P161" s="1063"/>
      <c r="Q161" s="1063">
        <f t="shared" si="26"/>
        <v>13.5</v>
      </c>
      <c r="R161" s="1063">
        <f>Q161*('Ввод исходных данных'!$D$83-O161)</f>
        <v>137.69999999999999</v>
      </c>
      <c r="S161" s="1064">
        <v>2.2999999999999998</v>
      </c>
      <c r="T161" s="1064"/>
      <c r="U161" s="1064">
        <f t="shared" si="27"/>
        <v>30</v>
      </c>
      <c r="V161" s="1064">
        <f>U161*('Ввод исходных данных'!$D$83-S161)</f>
        <v>531</v>
      </c>
      <c r="W161" s="1065">
        <v>-11.5</v>
      </c>
      <c r="X161" s="1065"/>
      <c r="Y161" s="1065">
        <f t="shared" si="28"/>
        <v>31</v>
      </c>
      <c r="Z161" s="1065">
        <f>Y161*('Ввод исходных данных'!$D$83-W161)</f>
        <v>976.5</v>
      </c>
      <c r="AA161" s="1066">
        <v>-23.7</v>
      </c>
      <c r="AB161" s="1066"/>
      <c r="AC161" s="1066">
        <f t="shared" si="29"/>
        <v>30</v>
      </c>
      <c r="AD161" s="1066">
        <f>AC161*('Ввод исходных данных'!$D$83-AA161)</f>
        <v>1311</v>
      </c>
      <c r="AE161" s="1067">
        <v>-27.8</v>
      </c>
      <c r="AF161" s="1067"/>
      <c r="AG161" s="1067">
        <v>31</v>
      </c>
      <c r="AH161" s="1067">
        <f>AG161*('Ввод исходных данных'!$D$83-AE161)</f>
        <v>1481.8</v>
      </c>
      <c r="AI161" s="1068">
        <v>-31</v>
      </c>
      <c r="AJ161" s="1068"/>
      <c r="AK161" s="1068">
        <v>31</v>
      </c>
      <c r="AL161" s="1068">
        <f>AK161*('Ввод исходных данных'!$D$83-AI161)</f>
        <v>1581</v>
      </c>
      <c r="AM161" s="1069">
        <v>-30.6</v>
      </c>
      <c r="AN161" s="1069"/>
      <c r="AO161" s="1069">
        <v>28</v>
      </c>
      <c r="AP161" s="1069">
        <f>AO161*('Ввод исходных данных'!$D$83-AM161)</f>
        <v>1416.8</v>
      </c>
      <c r="AQ161" s="1064">
        <v>-24.5</v>
      </c>
      <c r="AR161" s="1064"/>
      <c r="AS161" s="1064">
        <f t="shared" si="30"/>
        <v>31</v>
      </c>
      <c r="AT161" s="1064">
        <f>AS161*('Ввод исходных данных'!$D$83-AQ161)</f>
        <v>1379.5</v>
      </c>
      <c r="AU161" s="1070">
        <v>-16</v>
      </c>
      <c r="AV161" s="1070"/>
      <c r="AW161" s="1070">
        <f t="shared" si="31"/>
        <v>30</v>
      </c>
      <c r="AX161" s="1070">
        <f>AW161*('Ввод исходных данных'!$D$83-AU161)</f>
        <v>1080</v>
      </c>
      <c r="AY161" s="1071">
        <v>-5.9</v>
      </c>
      <c r="AZ161" s="1071"/>
      <c r="BA161" s="1071">
        <f t="shared" si="32"/>
        <v>31</v>
      </c>
      <c r="BB161" s="1071">
        <f>BA161*('Ввод исходных данных'!$D$83-AY161)</f>
        <v>802.9</v>
      </c>
      <c r="BC161" s="1072">
        <v>5.7</v>
      </c>
      <c r="BD161" s="1072"/>
      <c r="BE161" s="1072">
        <f t="shared" si="24"/>
        <v>13.5</v>
      </c>
      <c r="BF161" s="1073">
        <f>BE161*('Ввод исходных данных'!$D$83-BC161)</f>
        <v>193.05</v>
      </c>
    </row>
    <row r="162" spans="2:58" ht="15.75" customHeight="1" x14ac:dyDescent="0.25">
      <c r="B162" s="1076" t="s">
        <v>165</v>
      </c>
      <c r="C162" s="1076" t="s">
        <v>660</v>
      </c>
      <c r="D162" s="1053" t="str">
        <f t="shared" si="22"/>
        <v>Красноярский крайДиксон</v>
      </c>
      <c r="E162" s="1054">
        <v>365</v>
      </c>
      <c r="F162" s="1055">
        <v>-11.5</v>
      </c>
      <c r="G162" s="1055">
        <v>-40</v>
      </c>
      <c r="H162" s="1057">
        <v>9.6</v>
      </c>
      <c r="I162" s="1058">
        <f>E162*('Ввод исходных данных'!$D$83-F162)</f>
        <v>11497.5</v>
      </c>
      <c r="J162" s="1059" t="str">
        <f t="shared" si="23"/>
        <v>11000-12000</v>
      </c>
      <c r="K162" s="1060">
        <v>4.5</v>
      </c>
      <c r="L162" s="1060"/>
      <c r="M162" s="1061">
        <f t="shared" si="25"/>
        <v>31</v>
      </c>
      <c r="N162" s="1062">
        <f>M162*('Ввод исходных данных'!$D$83-K162)</f>
        <v>480.5</v>
      </c>
      <c r="O162" s="1063">
        <v>4.9000000000000004</v>
      </c>
      <c r="P162" s="1063"/>
      <c r="Q162" s="1063">
        <f t="shared" si="26"/>
        <v>31</v>
      </c>
      <c r="R162" s="1063">
        <f>Q162*('Ввод исходных данных'!$D$83-O162)</f>
        <v>468.09999999999997</v>
      </c>
      <c r="S162" s="1064">
        <v>1.3</v>
      </c>
      <c r="T162" s="1064"/>
      <c r="U162" s="1064">
        <f t="shared" si="27"/>
        <v>30</v>
      </c>
      <c r="V162" s="1064">
        <f>U162*('Ввод исходных данных'!$D$83-S162)</f>
        <v>561</v>
      </c>
      <c r="W162" s="1065">
        <v>-8.3000000000000007</v>
      </c>
      <c r="X162" s="1065"/>
      <c r="Y162" s="1065">
        <f t="shared" si="28"/>
        <v>31</v>
      </c>
      <c r="Z162" s="1065">
        <f>Y162*('Ввод исходных данных'!$D$83-W162)</f>
        <v>877.30000000000007</v>
      </c>
      <c r="AA162" s="1066">
        <v>-17.899999999999999</v>
      </c>
      <c r="AB162" s="1066"/>
      <c r="AC162" s="1066">
        <f t="shared" si="29"/>
        <v>30</v>
      </c>
      <c r="AD162" s="1066">
        <f>AC162*('Ввод исходных данных'!$D$83-AA162)</f>
        <v>1137</v>
      </c>
      <c r="AE162" s="1067">
        <v>-22.6</v>
      </c>
      <c r="AF162" s="1067"/>
      <c r="AG162" s="1067">
        <v>31</v>
      </c>
      <c r="AH162" s="1067">
        <f>AG162*('Ввод исходных данных'!$D$83-AE162)</f>
        <v>1320.6000000000001</v>
      </c>
      <c r="AI162" s="1068">
        <v>-25.9</v>
      </c>
      <c r="AJ162" s="1068"/>
      <c r="AK162" s="1068">
        <v>31</v>
      </c>
      <c r="AL162" s="1068">
        <f>AK162*('Ввод исходных данных'!$D$83-AI162)</f>
        <v>1422.8999999999999</v>
      </c>
      <c r="AM162" s="1069">
        <v>-25.9</v>
      </c>
      <c r="AN162" s="1069"/>
      <c r="AO162" s="1069">
        <v>28</v>
      </c>
      <c r="AP162" s="1069">
        <f>AO162*('Ввод исходных данных'!$D$83-AM162)</f>
        <v>1285.2</v>
      </c>
      <c r="AQ162" s="1064">
        <v>-22.9</v>
      </c>
      <c r="AR162" s="1064"/>
      <c r="AS162" s="1064">
        <f t="shared" si="30"/>
        <v>31</v>
      </c>
      <c r="AT162" s="1064">
        <f>AS162*('Ввод исходных данных'!$D$83-AQ162)</f>
        <v>1329.8999999999999</v>
      </c>
      <c r="AU162" s="1070">
        <v>-17.5</v>
      </c>
      <c r="AV162" s="1070"/>
      <c r="AW162" s="1070">
        <f t="shared" si="31"/>
        <v>30</v>
      </c>
      <c r="AX162" s="1070">
        <f>AW162*('Ввод исходных данных'!$D$83-AU162)</f>
        <v>1125</v>
      </c>
      <c r="AY162" s="1071">
        <v>-8.3000000000000007</v>
      </c>
      <c r="AZ162" s="1071"/>
      <c r="BA162" s="1071">
        <f t="shared" si="32"/>
        <v>31</v>
      </c>
      <c r="BB162" s="1071">
        <f>BA162*('Ввод исходных данных'!$D$83-AY162)</f>
        <v>877.30000000000007</v>
      </c>
      <c r="BC162" s="1072">
        <v>0</v>
      </c>
      <c r="BD162" s="1072"/>
      <c r="BE162" s="1072">
        <f t="shared" si="24"/>
        <v>30</v>
      </c>
      <c r="BF162" s="1073">
        <f>BE162*('Ввод исходных данных'!$D$83-BC162)</f>
        <v>600</v>
      </c>
    </row>
    <row r="163" spans="2:58" ht="15.75" customHeight="1" x14ac:dyDescent="0.25">
      <c r="B163" s="1052" t="s">
        <v>165</v>
      </c>
      <c r="C163" s="1052" t="s">
        <v>661</v>
      </c>
      <c r="D163" s="1053" t="str">
        <f t="shared" si="22"/>
        <v xml:space="preserve">Красноярский крайДудинка </v>
      </c>
      <c r="E163" s="1054">
        <v>296</v>
      </c>
      <c r="F163" s="1055">
        <v>-15.2</v>
      </c>
      <c r="G163" s="1055">
        <v>-46</v>
      </c>
      <c r="H163" s="1057">
        <v>6.7</v>
      </c>
      <c r="I163" s="1058">
        <f>E163*('Ввод исходных данных'!$D$83-F163)</f>
        <v>10419.200000000001</v>
      </c>
      <c r="J163" s="1059" t="str">
        <f t="shared" si="23"/>
        <v>10000-11000</v>
      </c>
      <c r="K163" s="1060">
        <v>13.7</v>
      </c>
      <c r="L163" s="1060"/>
      <c r="M163" s="1061">
        <f t="shared" si="25"/>
        <v>0</v>
      </c>
      <c r="N163" s="1062">
        <f>M163*('Ввод исходных данных'!$D$83-K163)</f>
        <v>0</v>
      </c>
      <c r="O163" s="1063">
        <v>10.9</v>
      </c>
      <c r="P163" s="1063"/>
      <c r="Q163" s="1063">
        <f t="shared" si="26"/>
        <v>11.5</v>
      </c>
      <c r="R163" s="1063">
        <f>Q163*('Ввод исходных данных'!$D$83-O163)</f>
        <v>104.64999999999999</v>
      </c>
      <c r="S163" s="1064">
        <v>3.8</v>
      </c>
      <c r="T163" s="1064"/>
      <c r="U163" s="1064">
        <f t="shared" si="27"/>
        <v>30</v>
      </c>
      <c r="V163" s="1064">
        <f>U163*('Ввод исходных данных'!$D$83-S163)</f>
        <v>486</v>
      </c>
      <c r="W163" s="1065">
        <v>-8.5</v>
      </c>
      <c r="X163" s="1065"/>
      <c r="Y163" s="1065">
        <f t="shared" si="28"/>
        <v>31</v>
      </c>
      <c r="Z163" s="1065">
        <f>Y163*('Ввод исходных данных'!$D$83-W163)</f>
        <v>883.5</v>
      </c>
      <c r="AA163" s="1066">
        <v>-20.6</v>
      </c>
      <c r="AB163" s="1066"/>
      <c r="AC163" s="1066">
        <f t="shared" si="29"/>
        <v>30</v>
      </c>
      <c r="AD163" s="1066">
        <f>AC163*('Ввод исходных данных'!$D$83-AA163)</f>
        <v>1218</v>
      </c>
      <c r="AE163" s="1067">
        <v>-24.9</v>
      </c>
      <c r="AF163" s="1067"/>
      <c r="AG163" s="1067">
        <v>31</v>
      </c>
      <c r="AH163" s="1067">
        <f>AG163*('Ввод исходных данных'!$D$83-AE163)</f>
        <v>1391.8999999999999</v>
      </c>
      <c r="AI163" s="1068">
        <v>-28.2</v>
      </c>
      <c r="AJ163" s="1068"/>
      <c r="AK163" s="1068">
        <v>31</v>
      </c>
      <c r="AL163" s="1068">
        <f>AK163*('Ввод исходных данных'!$D$83-AI163)</f>
        <v>1494.2</v>
      </c>
      <c r="AM163" s="1069">
        <v>-27.3</v>
      </c>
      <c r="AN163" s="1069"/>
      <c r="AO163" s="1069">
        <v>28</v>
      </c>
      <c r="AP163" s="1069">
        <f>AO163*('Ввод исходных данных'!$D$83-AM163)</f>
        <v>1324.3999999999999</v>
      </c>
      <c r="AQ163" s="1064">
        <v>-21.9</v>
      </c>
      <c r="AR163" s="1064"/>
      <c r="AS163" s="1064">
        <f t="shared" si="30"/>
        <v>31</v>
      </c>
      <c r="AT163" s="1064">
        <f>AS163*('Ввод исходных данных'!$D$83-AQ163)</f>
        <v>1298.8999999999999</v>
      </c>
      <c r="AU163" s="1070">
        <v>-15.3</v>
      </c>
      <c r="AV163" s="1070"/>
      <c r="AW163" s="1070">
        <f t="shared" si="31"/>
        <v>30</v>
      </c>
      <c r="AX163" s="1070">
        <f>AW163*('Ввод исходных данных'!$D$83-AU163)</f>
        <v>1059</v>
      </c>
      <c r="AY163" s="1071">
        <v>-5.6</v>
      </c>
      <c r="AZ163" s="1071"/>
      <c r="BA163" s="1071">
        <f t="shared" si="32"/>
        <v>31</v>
      </c>
      <c r="BB163" s="1071">
        <f>BA163*('Ввод исходных данных'!$D$83-AY163)</f>
        <v>793.6</v>
      </c>
      <c r="BC163" s="1072">
        <v>5.8</v>
      </c>
      <c r="BD163" s="1072"/>
      <c r="BE163" s="1072">
        <f t="shared" si="24"/>
        <v>11.5</v>
      </c>
      <c r="BF163" s="1073">
        <f>BE163*('Ввод исходных данных'!$D$83-BC163)</f>
        <v>163.29999999999998</v>
      </c>
    </row>
    <row r="164" spans="2:58" ht="15.75" customHeight="1" x14ac:dyDescent="0.25">
      <c r="B164" s="1076" t="s">
        <v>165</v>
      </c>
      <c r="C164" s="1076" t="s">
        <v>170</v>
      </c>
      <c r="D164" s="1053" t="str">
        <f t="shared" si="22"/>
        <v>Красноярский крайЕнисейск</v>
      </c>
      <c r="E164" s="1054">
        <v>245</v>
      </c>
      <c r="F164" s="1055">
        <v>-9.6</v>
      </c>
      <c r="G164" s="1055">
        <v>-46</v>
      </c>
      <c r="H164" s="1057">
        <v>3.7</v>
      </c>
      <c r="I164" s="1058">
        <f>E164*('Ввод исходных данных'!$D$83-F164)</f>
        <v>7252</v>
      </c>
      <c r="J164" s="1059" t="str">
        <f t="shared" si="23"/>
        <v>7000-8000</v>
      </c>
      <c r="K164" s="1060">
        <v>18.5</v>
      </c>
      <c r="L164" s="1060"/>
      <c r="M164" s="1061">
        <f t="shared" si="25"/>
        <v>0</v>
      </c>
      <c r="N164" s="1062">
        <f>M164*('Ввод исходных данных'!$D$83-K164)</f>
        <v>0</v>
      </c>
      <c r="O164" s="1063">
        <v>14.9</v>
      </c>
      <c r="P164" s="1063"/>
      <c r="Q164" s="1063">
        <f t="shared" si="26"/>
        <v>0</v>
      </c>
      <c r="R164" s="1063">
        <f>Q164*('Ввод исходных данных'!$D$83-O164)</f>
        <v>0</v>
      </c>
      <c r="S164" s="1064">
        <v>8.1999999999999993</v>
      </c>
      <c r="T164" s="1064"/>
      <c r="U164" s="1064">
        <f t="shared" si="27"/>
        <v>16.5</v>
      </c>
      <c r="V164" s="1064">
        <f>U164*('Ввод исходных данных'!$D$83-S164)</f>
        <v>194.70000000000002</v>
      </c>
      <c r="W164" s="1065">
        <v>-0.5</v>
      </c>
      <c r="X164" s="1065"/>
      <c r="Y164" s="1065">
        <f t="shared" si="28"/>
        <v>31</v>
      </c>
      <c r="Z164" s="1065">
        <f>Y164*('Ввод исходных данных'!$D$83-W164)</f>
        <v>635.5</v>
      </c>
      <c r="AA164" s="1066">
        <v>-12.3</v>
      </c>
      <c r="AB164" s="1066"/>
      <c r="AC164" s="1066">
        <f t="shared" si="29"/>
        <v>30</v>
      </c>
      <c r="AD164" s="1066">
        <f>AC164*('Ввод исходных данных'!$D$83-AA164)</f>
        <v>968.99999999999989</v>
      </c>
      <c r="AE164" s="1067">
        <v>-20.7</v>
      </c>
      <c r="AF164" s="1067"/>
      <c r="AG164" s="1067">
        <v>31</v>
      </c>
      <c r="AH164" s="1067">
        <f>AG164*('Ввод исходных данных'!$D$83-AE164)</f>
        <v>1261.7</v>
      </c>
      <c r="AI164" s="1068">
        <v>-22</v>
      </c>
      <c r="AJ164" s="1068"/>
      <c r="AK164" s="1068">
        <v>31</v>
      </c>
      <c r="AL164" s="1068">
        <f>AK164*('Ввод исходных данных'!$D$83-AI164)</f>
        <v>1302</v>
      </c>
      <c r="AM164" s="1069">
        <v>-19.5</v>
      </c>
      <c r="AN164" s="1069"/>
      <c r="AO164" s="1069">
        <v>28</v>
      </c>
      <c r="AP164" s="1069">
        <f>AO164*('Ввод исходных данных'!$D$83-AM164)</f>
        <v>1106</v>
      </c>
      <c r="AQ164" s="1064">
        <v>-10.7</v>
      </c>
      <c r="AR164" s="1064"/>
      <c r="AS164" s="1064">
        <f t="shared" si="30"/>
        <v>31</v>
      </c>
      <c r="AT164" s="1064">
        <f>AS164*('Ввод исходных данных'!$D$83-AQ164)</f>
        <v>951.69999999999993</v>
      </c>
      <c r="AU164" s="1070">
        <v>-0.9</v>
      </c>
      <c r="AV164" s="1070"/>
      <c r="AW164" s="1070">
        <f t="shared" si="31"/>
        <v>30</v>
      </c>
      <c r="AX164" s="1070">
        <f>AW164*('Ввод исходных данных'!$D$83-AU164)</f>
        <v>627</v>
      </c>
      <c r="AY164" s="1071">
        <v>7.1</v>
      </c>
      <c r="AZ164" s="1071"/>
      <c r="BA164" s="1071">
        <f t="shared" si="32"/>
        <v>16.5</v>
      </c>
      <c r="BB164" s="1071">
        <f>BA164*('Ввод исходных данных'!$D$83-AY164)</f>
        <v>212.85</v>
      </c>
      <c r="BC164" s="1072">
        <v>15.1</v>
      </c>
      <c r="BD164" s="1072"/>
      <c r="BE164" s="1072">
        <f t="shared" si="24"/>
        <v>0</v>
      </c>
      <c r="BF164" s="1073">
        <f>BE164*('Ввод исходных данных'!$D$83-BC164)</f>
        <v>0</v>
      </c>
    </row>
    <row r="165" spans="2:58" ht="15.75" customHeight="1" x14ac:dyDescent="0.25">
      <c r="B165" s="1052" t="s">
        <v>165</v>
      </c>
      <c r="C165" s="1052" t="s">
        <v>662</v>
      </c>
      <c r="D165" s="1053" t="str">
        <f t="shared" si="22"/>
        <v xml:space="preserve">Красноярский крайЕссей </v>
      </c>
      <c r="E165" s="1054">
        <v>296</v>
      </c>
      <c r="F165" s="1055">
        <v>-18.399999999999999</v>
      </c>
      <c r="G165" s="1055">
        <v>-55</v>
      </c>
      <c r="H165" s="1057">
        <v>3.1</v>
      </c>
      <c r="I165" s="1058">
        <f>E165*('Ввод исходных данных'!$D$83-F165)</f>
        <v>11366.4</v>
      </c>
      <c r="J165" s="1059" t="str">
        <f t="shared" si="23"/>
        <v>11000-12000</v>
      </c>
      <c r="K165" s="1060">
        <v>13.5</v>
      </c>
      <c r="L165" s="1060"/>
      <c r="M165" s="1061">
        <f t="shared" si="25"/>
        <v>0</v>
      </c>
      <c r="N165" s="1062">
        <f>M165*('Ввод исходных данных'!$D$83-K165)</f>
        <v>0</v>
      </c>
      <c r="O165" s="1063">
        <v>10.5</v>
      </c>
      <c r="P165" s="1063"/>
      <c r="Q165" s="1063">
        <f t="shared" si="26"/>
        <v>11.5</v>
      </c>
      <c r="R165" s="1063">
        <f>Q165*('Ввод исходных данных'!$D$83-O165)</f>
        <v>109.25</v>
      </c>
      <c r="S165" s="1064">
        <v>2.4</v>
      </c>
      <c r="T165" s="1064"/>
      <c r="U165" s="1064">
        <f t="shared" si="27"/>
        <v>30</v>
      </c>
      <c r="V165" s="1064">
        <f>U165*('Ввод исходных данных'!$D$83-S165)</f>
        <v>528</v>
      </c>
      <c r="W165" s="1065">
        <v>-12.2</v>
      </c>
      <c r="X165" s="1065"/>
      <c r="Y165" s="1065">
        <f t="shared" si="28"/>
        <v>31</v>
      </c>
      <c r="Z165" s="1065">
        <f>Y165*('Ввод исходных данных'!$D$83-W165)</f>
        <v>998.2</v>
      </c>
      <c r="AA165" s="1066">
        <v>-27.6</v>
      </c>
      <c r="AB165" s="1066"/>
      <c r="AC165" s="1066">
        <f t="shared" si="29"/>
        <v>30</v>
      </c>
      <c r="AD165" s="1066">
        <f>AC165*('Ввод исходных данных'!$D$83-AA165)</f>
        <v>1428</v>
      </c>
      <c r="AE165" s="1067">
        <v>-31.6</v>
      </c>
      <c r="AF165" s="1067"/>
      <c r="AG165" s="1067">
        <v>31</v>
      </c>
      <c r="AH165" s="1067">
        <f>AG165*('Ввод исходных данных'!$D$83-AE165)</f>
        <v>1599.6000000000001</v>
      </c>
      <c r="AI165" s="1068">
        <v>-36</v>
      </c>
      <c r="AJ165" s="1068"/>
      <c r="AK165" s="1068">
        <v>31</v>
      </c>
      <c r="AL165" s="1068">
        <f>AK165*('Ввод исходных данных'!$D$83-AI165)</f>
        <v>1736</v>
      </c>
      <c r="AM165" s="1069">
        <v>-33.799999999999997</v>
      </c>
      <c r="AN165" s="1069"/>
      <c r="AO165" s="1069">
        <v>28</v>
      </c>
      <c r="AP165" s="1069">
        <f>AO165*('Ввод исходных данных'!$D$83-AM165)</f>
        <v>1506.3999999999999</v>
      </c>
      <c r="AQ165" s="1064">
        <v>-23.9</v>
      </c>
      <c r="AR165" s="1064"/>
      <c r="AS165" s="1064">
        <f t="shared" si="30"/>
        <v>31</v>
      </c>
      <c r="AT165" s="1064">
        <f>AS165*('Ввод исходных данных'!$D$83-AQ165)</f>
        <v>1360.8999999999999</v>
      </c>
      <c r="AU165" s="1070">
        <v>-13.9</v>
      </c>
      <c r="AV165" s="1070"/>
      <c r="AW165" s="1070">
        <f t="shared" si="31"/>
        <v>30</v>
      </c>
      <c r="AX165" s="1070">
        <f>AW165*('Ввод исходных данных'!$D$83-AU165)</f>
        <v>1017</v>
      </c>
      <c r="AY165" s="1071">
        <v>-3.2</v>
      </c>
      <c r="AZ165" s="1071"/>
      <c r="BA165" s="1071">
        <f t="shared" si="32"/>
        <v>31</v>
      </c>
      <c r="BB165" s="1071">
        <f>BA165*('Ввод исходных данных'!$D$83-AY165)</f>
        <v>719.19999999999993</v>
      </c>
      <c r="BC165" s="1072">
        <v>7</v>
      </c>
      <c r="BD165" s="1072"/>
      <c r="BE165" s="1072">
        <f t="shared" si="24"/>
        <v>11.5</v>
      </c>
      <c r="BF165" s="1073">
        <f>BE165*('Ввод исходных данных'!$D$83-BC165)</f>
        <v>149.5</v>
      </c>
    </row>
    <row r="166" spans="2:58" ht="15.75" customHeight="1" x14ac:dyDescent="0.25">
      <c r="B166" s="1076" t="s">
        <v>165</v>
      </c>
      <c r="C166" s="1076" t="s">
        <v>171</v>
      </c>
      <c r="D166" s="1053" t="str">
        <f t="shared" si="22"/>
        <v>Красноярский крайИгарка</v>
      </c>
      <c r="E166" s="1054">
        <v>292</v>
      </c>
      <c r="F166" s="1055">
        <v>-16.7</v>
      </c>
      <c r="G166" s="1055">
        <v>-49</v>
      </c>
      <c r="H166" s="1057">
        <v>5.4</v>
      </c>
      <c r="I166" s="1058">
        <f>E166*('Ввод исходных данных'!$D$83-F166)</f>
        <v>10716.400000000001</v>
      </c>
      <c r="J166" s="1059" t="str">
        <f t="shared" si="23"/>
        <v>10000-11000</v>
      </c>
      <c r="K166" s="1060">
        <v>15.4</v>
      </c>
      <c r="L166" s="1060"/>
      <c r="M166" s="1061">
        <f t="shared" si="25"/>
        <v>0</v>
      </c>
      <c r="N166" s="1062">
        <f>M166*('Ввод исходных данных'!$D$83-K166)</f>
        <v>0</v>
      </c>
      <c r="O166" s="1063">
        <v>12</v>
      </c>
      <c r="P166" s="1063"/>
      <c r="Q166" s="1063">
        <f t="shared" si="26"/>
        <v>9.5</v>
      </c>
      <c r="R166" s="1063">
        <f>Q166*('Ввод исходных данных'!$D$83-O166)</f>
        <v>76</v>
      </c>
      <c r="S166" s="1064">
        <v>4.8</v>
      </c>
      <c r="T166" s="1064"/>
      <c r="U166" s="1064">
        <f t="shared" si="27"/>
        <v>30</v>
      </c>
      <c r="V166" s="1064">
        <f>U166*('Ввод исходных данных'!$D$83-S166)</f>
        <v>456</v>
      </c>
      <c r="W166" s="1065">
        <v>-6.9</v>
      </c>
      <c r="X166" s="1065"/>
      <c r="Y166" s="1065">
        <f t="shared" si="28"/>
        <v>31</v>
      </c>
      <c r="Z166" s="1065">
        <f>Y166*('Ввод исходных данных'!$D$83-W166)</f>
        <v>833.9</v>
      </c>
      <c r="AA166" s="1066">
        <v>-20</v>
      </c>
      <c r="AB166" s="1066"/>
      <c r="AC166" s="1066">
        <f t="shared" si="29"/>
        <v>30</v>
      </c>
      <c r="AD166" s="1066">
        <f>AC166*('Ввод исходных данных'!$D$83-AA166)</f>
        <v>1200</v>
      </c>
      <c r="AE166" s="1067">
        <v>-25.4</v>
      </c>
      <c r="AF166" s="1067"/>
      <c r="AG166" s="1067">
        <v>31</v>
      </c>
      <c r="AH166" s="1067">
        <f>AG166*('Ввод исходных данных'!$D$83-AE166)</f>
        <v>1407.3999999999999</v>
      </c>
      <c r="AI166" s="1068">
        <v>-28.3</v>
      </c>
      <c r="AJ166" s="1068"/>
      <c r="AK166" s="1068">
        <v>31</v>
      </c>
      <c r="AL166" s="1068">
        <f>AK166*('Ввод исходных данных'!$D$83-AI166)</f>
        <v>1497.3</v>
      </c>
      <c r="AM166" s="1069">
        <v>-26.7</v>
      </c>
      <c r="AN166" s="1069"/>
      <c r="AO166" s="1069">
        <v>28</v>
      </c>
      <c r="AP166" s="1069">
        <f>AO166*('Ввод исходных данных'!$D$83-AM166)</f>
        <v>1307.6000000000001</v>
      </c>
      <c r="AQ166" s="1064">
        <v>-18.600000000000001</v>
      </c>
      <c r="AR166" s="1064"/>
      <c r="AS166" s="1064">
        <f t="shared" si="30"/>
        <v>31</v>
      </c>
      <c r="AT166" s="1064">
        <f>AS166*('Ввод исходных данных'!$D$83-AQ166)</f>
        <v>1196.6000000000001</v>
      </c>
      <c r="AU166" s="1070">
        <v>-11.1</v>
      </c>
      <c r="AV166" s="1070"/>
      <c r="AW166" s="1070">
        <f t="shared" si="31"/>
        <v>30</v>
      </c>
      <c r="AX166" s="1070">
        <f>AW166*('Ввод исходных данных'!$D$83-AU166)</f>
        <v>933</v>
      </c>
      <c r="AY166" s="1071">
        <v>-1.9</v>
      </c>
      <c r="AZ166" s="1071"/>
      <c r="BA166" s="1071">
        <f t="shared" si="32"/>
        <v>31</v>
      </c>
      <c r="BB166" s="1071">
        <f>BA166*('Ввод исходных данных'!$D$83-AY166)</f>
        <v>678.9</v>
      </c>
      <c r="BC166" s="1072">
        <v>9.1</v>
      </c>
      <c r="BD166" s="1072"/>
      <c r="BE166" s="1072">
        <f t="shared" si="24"/>
        <v>9.5</v>
      </c>
      <c r="BF166" s="1073">
        <f>BE166*('Ввод исходных данных'!$D$83-BC166)</f>
        <v>103.55</v>
      </c>
    </row>
    <row r="167" spans="2:58" ht="15.75" customHeight="1" x14ac:dyDescent="0.25">
      <c r="B167" s="1052" t="s">
        <v>165</v>
      </c>
      <c r="C167" s="1052" t="s">
        <v>172</v>
      </c>
      <c r="D167" s="1053" t="str">
        <f t="shared" si="22"/>
        <v>Красноярский крайКанск</v>
      </c>
      <c r="E167" s="1054">
        <v>237</v>
      </c>
      <c r="F167" s="1055">
        <v>-8.8000000000000007</v>
      </c>
      <c r="G167" s="1055">
        <v>-42</v>
      </c>
      <c r="H167" s="1057">
        <v>7.3</v>
      </c>
      <c r="I167" s="1058">
        <f>E167*('Ввод исходных данных'!$D$83-F167)</f>
        <v>6825.6</v>
      </c>
      <c r="J167" s="1059" t="str">
        <f t="shared" si="23"/>
        <v>6000-7000</v>
      </c>
      <c r="K167" s="1060">
        <v>18.8</v>
      </c>
      <c r="L167" s="1060"/>
      <c r="M167" s="1061">
        <f t="shared" si="25"/>
        <v>0</v>
      </c>
      <c r="N167" s="1062">
        <f>M167*('Ввод исходных данных'!$D$83-K167)</f>
        <v>0</v>
      </c>
      <c r="O167" s="1063">
        <v>15.6</v>
      </c>
      <c r="P167" s="1063"/>
      <c r="Q167" s="1063">
        <f t="shared" si="26"/>
        <v>0</v>
      </c>
      <c r="R167" s="1063">
        <f>Q167*('Ввод исходных данных'!$D$83-O167)</f>
        <v>0</v>
      </c>
      <c r="S167" s="1064">
        <v>8.8000000000000007</v>
      </c>
      <c r="T167" s="1064"/>
      <c r="U167" s="1064">
        <f t="shared" si="27"/>
        <v>12.5</v>
      </c>
      <c r="V167" s="1064">
        <f>U167*('Ввод исходных данных'!$D$83-S167)</f>
        <v>140</v>
      </c>
      <c r="W167" s="1065">
        <v>0.4</v>
      </c>
      <c r="X167" s="1065"/>
      <c r="Y167" s="1065">
        <f t="shared" si="28"/>
        <v>31</v>
      </c>
      <c r="Z167" s="1065">
        <f>Y167*('Ввод исходных данных'!$D$83-W167)</f>
        <v>607.6</v>
      </c>
      <c r="AA167" s="1066">
        <v>-10.199999999999999</v>
      </c>
      <c r="AB167" s="1066"/>
      <c r="AC167" s="1066">
        <f t="shared" si="29"/>
        <v>30</v>
      </c>
      <c r="AD167" s="1066">
        <f>AC167*('Ввод исходных данных'!$D$83-AA167)</f>
        <v>906</v>
      </c>
      <c r="AE167" s="1067">
        <v>-18.600000000000001</v>
      </c>
      <c r="AF167" s="1067"/>
      <c r="AG167" s="1067">
        <v>31</v>
      </c>
      <c r="AH167" s="1067">
        <f>AG167*('Ввод исходных данных'!$D$83-AE167)</f>
        <v>1196.6000000000001</v>
      </c>
      <c r="AI167" s="1068">
        <v>-20.2</v>
      </c>
      <c r="AJ167" s="1068"/>
      <c r="AK167" s="1068">
        <v>31</v>
      </c>
      <c r="AL167" s="1068">
        <f>AK167*('Ввод исходных данных'!$D$83-AI167)</f>
        <v>1246.2</v>
      </c>
      <c r="AM167" s="1069">
        <v>-18.7</v>
      </c>
      <c r="AN167" s="1069"/>
      <c r="AO167" s="1069">
        <v>28</v>
      </c>
      <c r="AP167" s="1069">
        <f>AO167*('Ввод исходных данных'!$D$83-AM167)</f>
        <v>1083.6000000000001</v>
      </c>
      <c r="AQ167" s="1064">
        <v>-10.3</v>
      </c>
      <c r="AR167" s="1064"/>
      <c r="AS167" s="1064">
        <f t="shared" si="30"/>
        <v>31</v>
      </c>
      <c r="AT167" s="1064">
        <f>AS167*('Ввод исходных данных'!$D$83-AQ167)</f>
        <v>939.30000000000007</v>
      </c>
      <c r="AU167" s="1070">
        <v>0.7</v>
      </c>
      <c r="AV167" s="1070"/>
      <c r="AW167" s="1070">
        <f t="shared" si="31"/>
        <v>30</v>
      </c>
      <c r="AX167" s="1070">
        <f>AW167*('Ввод исходных данных'!$D$83-AU167)</f>
        <v>579</v>
      </c>
      <c r="AY167" s="1071">
        <v>8.6</v>
      </c>
      <c r="AZ167" s="1071"/>
      <c r="BA167" s="1071">
        <f t="shared" si="32"/>
        <v>12.5</v>
      </c>
      <c r="BB167" s="1071">
        <f>BA167*('Ввод исходных данных'!$D$83-AY167)</f>
        <v>142.5</v>
      </c>
      <c r="BC167" s="1072">
        <v>16</v>
      </c>
      <c r="BD167" s="1072"/>
      <c r="BE167" s="1072">
        <f t="shared" si="24"/>
        <v>0</v>
      </c>
      <c r="BF167" s="1073">
        <f>BE167*('Ввод исходных данных'!$D$83-BC167)</f>
        <v>0</v>
      </c>
    </row>
    <row r="168" spans="2:58" ht="15.75" customHeight="1" x14ac:dyDescent="0.25">
      <c r="B168" s="1076" t="s">
        <v>165</v>
      </c>
      <c r="C168" s="1076" t="s">
        <v>173</v>
      </c>
      <c r="D168" s="1053" t="str">
        <f t="shared" si="22"/>
        <v>Красноярский крайКежма</v>
      </c>
      <c r="E168" s="1054">
        <v>252</v>
      </c>
      <c r="F168" s="1055">
        <v>-12.3</v>
      </c>
      <c r="G168" s="1055">
        <v>-48</v>
      </c>
      <c r="H168" s="1057">
        <v>4.5</v>
      </c>
      <c r="I168" s="1058">
        <f>E168*('Ввод исходных данных'!$D$83-F168)</f>
        <v>8139.5999999999995</v>
      </c>
      <c r="J168" s="1059" t="str">
        <f t="shared" si="23"/>
        <v>8000-9000</v>
      </c>
      <c r="K168" s="1060">
        <v>18.100000000000001</v>
      </c>
      <c r="L168" s="1060"/>
      <c r="M168" s="1061">
        <f t="shared" si="25"/>
        <v>0</v>
      </c>
      <c r="N168" s="1062">
        <f>M168*('Ввод исходных данных'!$D$83-K168)</f>
        <v>0</v>
      </c>
      <c r="O168" s="1063">
        <v>14.2</v>
      </c>
      <c r="P168" s="1063"/>
      <c r="Q168" s="1063">
        <f t="shared" si="26"/>
        <v>0</v>
      </c>
      <c r="R168" s="1063">
        <f>Q168*('Ввод исходных данных'!$D$83-O168)</f>
        <v>0</v>
      </c>
      <c r="S168" s="1064">
        <v>7.1</v>
      </c>
      <c r="T168" s="1064"/>
      <c r="U168" s="1064">
        <f t="shared" si="27"/>
        <v>20</v>
      </c>
      <c r="V168" s="1064">
        <f>U168*('Ввод исходных данных'!$D$83-S168)</f>
        <v>258</v>
      </c>
      <c r="W168" s="1065">
        <v>-1.9</v>
      </c>
      <c r="X168" s="1065"/>
      <c r="Y168" s="1065">
        <f t="shared" si="28"/>
        <v>31</v>
      </c>
      <c r="Z168" s="1065">
        <f>Y168*('Ввод исходных данных'!$D$83-W168)</f>
        <v>678.9</v>
      </c>
      <c r="AA168" s="1066">
        <v>-15.8</v>
      </c>
      <c r="AB168" s="1066"/>
      <c r="AC168" s="1066">
        <f t="shared" si="29"/>
        <v>30</v>
      </c>
      <c r="AD168" s="1066">
        <f>AC168*('Ввод исходных данных'!$D$83-AA168)</f>
        <v>1074</v>
      </c>
      <c r="AE168" s="1067">
        <v>-25.7</v>
      </c>
      <c r="AF168" s="1067"/>
      <c r="AG168" s="1067">
        <v>31</v>
      </c>
      <c r="AH168" s="1067">
        <f>AG168*('Ввод исходных данных'!$D$83-AE168)</f>
        <v>1416.7</v>
      </c>
      <c r="AI168" s="1068">
        <v>-27.4</v>
      </c>
      <c r="AJ168" s="1068"/>
      <c r="AK168" s="1068">
        <v>31</v>
      </c>
      <c r="AL168" s="1068">
        <f>AK168*('Ввод исходных данных'!$D$83-AI168)</f>
        <v>1469.3999999999999</v>
      </c>
      <c r="AM168" s="1069">
        <v>-25.1</v>
      </c>
      <c r="AN168" s="1069"/>
      <c r="AO168" s="1069">
        <v>28</v>
      </c>
      <c r="AP168" s="1069">
        <f>AO168*('Ввод исходных данных'!$D$83-AM168)</f>
        <v>1262.8</v>
      </c>
      <c r="AQ168" s="1064">
        <v>-14.1</v>
      </c>
      <c r="AR168" s="1064"/>
      <c r="AS168" s="1064">
        <f t="shared" si="30"/>
        <v>31</v>
      </c>
      <c r="AT168" s="1064">
        <f>AS168*('Ввод исходных данных'!$D$83-AQ168)</f>
        <v>1057.1000000000001</v>
      </c>
      <c r="AU168" s="1070">
        <v>-2.2000000000000002</v>
      </c>
      <c r="AV168" s="1070"/>
      <c r="AW168" s="1070">
        <f t="shared" si="31"/>
        <v>30</v>
      </c>
      <c r="AX168" s="1070">
        <f>AW168*('Ввод исходных данных'!$D$83-AU168)</f>
        <v>666</v>
      </c>
      <c r="AY168" s="1071">
        <v>6.3</v>
      </c>
      <c r="AZ168" s="1071"/>
      <c r="BA168" s="1071">
        <f t="shared" si="32"/>
        <v>20</v>
      </c>
      <c r="BB168" s="1071">
        <f>BA168*('Ввод исходных данных'!$D$83-AY168)</f>
        <v>274</v>
      </c>
      <c r="BC168" s="1072">
        <v>14.9</v>
      </c>
      <c r="BD168" s="1072"/>
      <c r="BE168" s="1072">
        <f t="shared" si="24"/>
        <v>0</v>
      </c>
      <c r="BF168" s="1073">
        <f>BE168*('Ввод исходных данных'!$D$83-BC168)</f>
        <v>0</v>
      </c>
    </row>
    <row r="169" spans="2:58" ht="15.75" customHeight="1" x14ac:dyDescent="0.25">
      <c r="B169" s="1052" t="s">
        <v>165</v>
      </c>
      <c r="C169" s="1052" t="s">
        <v>104</v>
      </c>
      <c r="D169" s="1053" t="str">
        <f t="shared" si="22"/>
        <v>Красноярский крайКлючи</v>
      </c>
      <c r="E169" s="1054">
        <v>240</v>
      </c>
      <c r="F169" s="1055">
        <v>-7.4</v>
      </c>
      <c r="G169" s="1055">
        <v>-39</v>
      </c>
      <c r="H169" s="1057">
        <f>H170</f>
        <v>4.3</v>
      </c>
      <c r="I169" s="1058">
        <f>E169*('Ввод исходных данных'!$D$83-F169)</f>
        <v>6576</v>
      </c>
      <c r="J169" s="1059" t="str">
        <f t="shared" si="23"/>
        <v>6000-7000</v>
      </c>
      <c r="K169" s="1060">
        <v>18.100000000000001</v>
      </c>
      <c r="L169" s="1060"/>
      <c r="M169" s="1061">
        <f t="shared" si="25"/>
        <v>0</v>
      </c>
      <c r="N169" s="1062">
        <f>M169*('Ввод исходных данных'!$D$83-K169)</f>
        <v>0</v>
      </c>
      <c r="O169" s="1063">
        <v>14.8</v>
      </c>
      <c r="P169" s="1063"/>
      <c r="Q169" s="1063">
        <f t="shared" si="26"/>
        <v>0</v>
      </c>
      <c r="R169" s="1063">
        <f>Q169*('Ввод исходных данных'!$D$83-O169)</f>
        <v>0</v>
      </c>
      <c r="S169" s="1064">
        <v>8.5</v>
      </c>
      <c r="T169" s="1064"/>
      <c r="U169" s="1064">
        <f t="shared" si="27"/>
        <v>14</v>
      </c>
      <c r="V169" s="1064">
        <f>U169*('Ввод исходных данных'!$D$83-S169)</f>
        <v>161</v>
      </c>
      <c r="W169" s="1065">
        <v>0.7</v>
      </c>
      <c r="X169" s="1065"/>
      <c r="Y169" s="1065">
        <f t="shared" si="28"/>
        <v>31</v>
      </c>
      <c r="Z169" s="1065">
        <f>Y169*('Ввод исходных данных'!$D$83-W169)</f>
        <v>598.30000000000007</v>
      </c>
      <c r="AA169" s="1066">
        <v>-10.1</v>
      </c>
      <c r="AB169" s="1066"/>
      <c r="AC169" s="1066">
        <f t="shared" si="29"/>
        <v>30</v>
      </c>
      <c r="AD169" s="1066">
        <f>AC169*('Ввод исходных данных'!$D$83-AA169)</f>
        <v>903</v>
      </c>
      <c r="AE169" s="1067">
        <v>-16.899999999999999</v>
      </c>
      <c r="AF169" s="1067"/>
      <c r="AG169" s="1067">
        <v>31</v>
      </c>
      <c r="AH169" s="1067">
        <f>AG169*('Ввод исходных данных'!$D$83-AE169)</f>
        <v>1143.8999999999999</v>
      </c>
      <c r="AI169" s="1068">
        <v>-17.7</v>
      </c>
      <c r="AJ169" s="1068"/>
      <c r="AK169" s="1068">
        <v>31</v>
      </c>
      <c r="AL169" s="1068">
        <f>AK169*('Ввод исходных данных'!$D$83-AI169)</f>
        <v>1168.7</v>
      </c>
      <c r="AM169" s="1069">
        <v>-15.6</v>
      </c>
      <c r="AN169" s="1069"/>
      <c r="AO169" s="1069">
        <v>28</v>
      </c>
      <c r="AP169" s="1069">
        <f>AO169*('Ввод исходных данных'!$D$83-AM169)</f>
        <v>996.80000000000007</v>
      </c>
      <c r="AQ169" s="1064">
        <v>-8</v>
      </c>
      <c r="AR169" s="1064"/>
      <c r="AS169" s="1064">
        <f t="shared" si="30"/>
        <v>31</v>
      </c>
      <c r="AT169" s="1064">
        <f>AS169*('Ввод исходных данных'!$D$83-AQ169)</f>
        <v>868</v>
      </c>
      <c r="AU169" s="1070">
        <v>0.8</v>
      </c>
      <c r="AV169" s="1070"/>
      <c r="AW169" s="1070">
        <f t="shared" si="31"/>
        <v>30</v>
      </c>
      <c r="AX169" s="1070">
        <f>AW169*('Ввод исходных данных'!$D$83-AU169)</f>
        <v>576</v>
      </c>
      <c r="AY169" s="1071">
        <v>8.1999999999999993</v>
      </c>
      <c r="AZ169" s="1071"/>
      <c r="BA169" s="1071">
        <f t="shared" si="32"/>
        <v>14</v>
      </c>
      <c r="BB169" s="1071">
        <f>BA169*('Ввод исходных данных'!$D$83-AY169)</f>
        <v>165.20000000000002</v>
      </c>
      <c r="BC169" s="1072">
        <v>15.6</v>
      </c>
      <c r="BD169" s="1072"/>
      <c r="BE169" s="1072">
        <f t="shared" si="24"/>
        <v>0</v>
      </c>
      <c r="BF169" s="1073">
        <f>BE169*('Ввод исходных данных'!$D$83-BC169)</f>
        <v>0</v>
      </c>
    </row>
    <row r="170" spans="2:58" ht="15.75" customHeight="1" x14ac:dyDescent="0.25">
      <c r="B170" s="1076" t="s">
        <v>165</v>
      </c>
      <c r="C170" s="1076" t="s">
        <v>174</v>
      </c>
      <c r="D170" s="1053" t="str">
        <f t="shared" si="22"/>
        <v>Красноярский крайКрасноярск</v>
      </c>
      <c r="E170" s="1054">
        <v>233</v>
      </c>
      <c r="F170" s="1055">
        <v>-6.7</v>
      </c>
      <c r="G170" s="1055">
        <v>-37</v>
      </c>
      <c r="H170" s="1057">
        <v>4.3</v>
      </c>
      <c r="I170" s="1058">
        <f>E170*('Ввод исходных данных'!$D$83-F170)</f>
        <v>6221.0999999999995</v>
      </c>
      <c r="J170" s="1059" t="str">
        <f t="shared" si="23"/>
        <v>6000-7000</v>
      </c>
      <c r="K170" s="1060">
        <v>0</v>
      </c>
      <c r="L170" s="1060"/>
      <c r="M170" s="1061">
        <f t="shared" si="25"/>
        <v>0</v>
      </c>
      <c r="N170" s="1062">
        <f>M170*('Ввод исходных данных'!$D$83-K170)</f>
        <v>0</v>
      </c>
      <c r="O170" s="1063">
        <v>0</v>
      </c>
      <c r="P170" s="1063"/>
      <c r="Q170" s="1063">
        <f t="shared" si="26"/>
        <v>0</v>
      </c>
      <c r="R170" s="1063">
        <f>Q170*('Ввод исходных данных'!$D$83-O170)</f>
        <v>0</v>
      </c>
      <c r="S170" s="1064">
        <v>0</v>
      </c>
      <c r="T170" s="1064"/>
      <c r="U170" s="1064">
        <f t="shared" si="27"/>
        <v>10.5</v>
      </c>
      <c r="V170" s="1064">
        <f>U170*('Ввод исходных данных'!$D$83-S170)</f>
        <v>210</v>
      </c>
      <c r="W170" s="1065">
        <v>1.5</v>
      </c>
      <c r="X170" s="1065"/>
      <c r="Y170" s="1065">
        <f t="shared" si="28"/>
        <v>31</v>
      </c>
      <c r="Z170" s="1065">
        <f>Y170*('Ввод исходных данных'!$D$83-W170)</f>
        <v>573.5</v>
      </c>
      <c r="AA170" s="1066">
        <v>-7.5</v>
      </c>
      <c r="AB170" s="1066"/>
      <c r="AC170" s="1066">
        <f t="shared" si="29"/>
        <v>30</v>
      </c>
      <c r="AD170" s="1066">
        <f>AC170*('Ввод исходных данных'!$D$83-AA170)</f>
        <v>825</v>
      </c>
      <c r="AE170" s="1067">
        <v>-13.7</v>
      </c>
      <c r="AF170" s="1067"/>
      <c r="AG170" s="1067">
        <v>31</v>
      </c>
      <c r="AH170" s="1067">
        <f>AG170*('Ввод исходных данных'!$D$83-AE170)</f>
        <v>1044.7</v>
      </c>
      <c r="AI170" s="1068">
        <v>-16</v>
      </c>
      <c r="AJ170" s="1068"/>
      <c r="AK170" s="1068">
        <v>31</v>
      </c>
      <c r="AL170" s="1068">
        <f>AK170*('Ввод исходных данных'!$D$83-AI170)</f>
        <v>1116</v>
      </c>
      <c r="AM170" s="1069">
        <v>-14</v>
      </c>
      <c r="AN170" s="1069"/>
      <c r="AO170" s="1069">
        <v>28</v>
      </c>
      <c r="AP170" s="1069">
        <f>AO170*('Ввод исходных данных'!$D$83-AM170)</f>
        <v>952</v>
      </c>
      <c r="AQ170" s="1064">
        <v>-6.3</v>
      </c>
      <c r="AR170" s="1064"/>
      <c r="AS170" s="1064">
        <f t="shared" si="30"/>
        <v>31</v>
      </c>
      <c r="AT170" s="1064">
        <f>AS170*('Ввод исходных данных'!$D$83-AQ170)</f>
        <v>815.30000000000007</v>
      </c>
      <c r="AU170" s="1070">
        <v>1.9</v>
      </c>
      <c r="AV170" s="1070"/>
      <c r="AW170" s="1070">
        <f t="shared" si="31"/>
        <v>30</v>
      </c>
      <c r="AX170" s="1070">
        <f>AW170*('Ввод исходных данных'!$D$83-AU170)</f>
        <v>543</v>
      </c>
      <c r="AY170" s="1071">
        <v>0</v>
      </c>
      <c r="AZ170" s="1071"/>
      <c r="BA170" s="1071">
        <f t="shared" si="32"/>
        <v>10.5</v>
      </c>
      <c r="BB170" s="1071">
        <f>BA170*('Ввод исходных данных'!$D$83-AY170)</f>
        <v>210</v>
      </c>
      <c r="BC170" s="1072">
        <v>0</v>
      </c>
      <c r="BD170" s="1072"/>
      <c r="BE170" s="1072">
        <f t="shared" si="24"/>
        <v>0</v>
      </c>
      <c r="BF170" s="1073">
        <f>BE170*('Ввод исходных данных'!$D$83-BC170)</f>
        <v>0</v>
      </c>
    </row>
    <row r="171" spans="2:58" ht="15.75" customHeight="1" x14ac:dyDescent="0.25">
      <c r="B171" s="1052" t="s">
        <v>165</v>
      </c>
      <c r="C171" s="1052" t="s">
        <v>175</v>
      </c>
      <c r="D171" s="1053" t="str">
        <f t="shared" si="22"/>
        <v>Красноярский крайМинусинск</v>
      </c>
      <c r="E171" s="1054">
        <v>221</v>
      </c>
      <c r="F171" s="1055">
        <v>-7.9</v>
      </c>
      <c r="G171" s="1055">
        <v>-40</v>
      </c>
      <c r="H171" s="1057">
        <v>4.0999999999999996</v>
      </c>
      <c r="I171" s="1058">
        <f>E171*('Ввод исходных данных'!$D$83-F171)</f>
        <v>6165.9</v>
      </c>
      <c r="J171" s="1059" t="str">
        <f t="shared" si="23"/>
        <v>6000-7000</v>
      </c>
      <c r="K171" s="1060">
        <v>19.899999999999999</v>
      </c>
      <c r="L171" s="1060"/>
      <c r="M171" s="1061">
        <f t="shared" si="25"/>
        <v>0</v>
      </c>
      <c r="N171" s="1062">
        <f>M171*('Ввод исходных данных'!$D$83-K171)</f>
        <v>0</v>
      </c>
      <c r="O171" s="1063">
        <v>16.8</v>
      </c>
      <c r="P171" s="1063"/>
      <c r="Q171" s="1063">
        <f t="shared" si="26"/>
        <v>0</v>
      </c>
      <c r="R171" s="1063">
        <f>Q171*('Ввод исходных данных'!$D$83-O171)</f>
        <v>0</v>
      </c>
      <c r="S171" s="1064">
        <v>10</v>
      </c>
      <c r="T171" s="1064"/>
      <c r="U171" s="1064">
        <f t="shared" si="27"/>
        <v>4.5</v>
      </c>
      <c r="V171" s="1064">
        <f>U171*('Ввод исходных данных'!$D$83-S171)</f>
        <v>45</v>
      </c>
      <c r="W171" s="1065">
        <v>2.2000000000000002</v>
      </c>
      <c r="X171" s="1065"/>
      <c r="Y171" s="1065">
        <f t="shared" si="28"/>
        <v>31</v>
      </c>
      <c r="Z171" s="1065">
        <f>Y171*('Ввод исходных данных'!$D$83-W171)</f>
        <v>551.80000000000007</v>
      </c>
      <c r="AA171" s="1066">
        <v>-7.3</v>
      </c>
      <c r="AB171" s="1066"/>
      <c r="AC171" s="1066">
        <f t="shared" si="29"/>
        <v>30</v>
      </c>
      <c r="AD171" s="1066">
        <f>AC171*('Ввод исходных данных'!$D$83-AA171)</f>
        <v>819</v>
      </c>
      <c r="AE171" s="1067">
        <v>-15.4</v>
      </c>
      <c r="AF171" s="1067"/>
      <c r="AG171" s="1067">
        <v>31</v>
      </c>
      <c r="AH171" s="1067">
        <f>AG171*('Ввод исходных данных'!$D$83-AE171)</f>
        <v>1097.3999999999999</v>
      </c>
      <c r="AI171" s="1068">
        <v>-18.2</v>
      </c>
      <c r="AJ171" s="1068"/>
      <c r="AK171" s="1068">
        <v>31</v>
      </c>
      <c r="AL171" s="1068">
        <f>AK171*('Ввод исходных данных'!$D$83-AI171)</f>
        <v>1184.2</v>
      </c>
      <c r="AM171" s="1069">
        <v>-16</v>
      </c>
      <c r="AN171" s="1069"/>
      <c r="AO171" s="1069">
        <v>28</v>
      </c>
      <c r="AP171" s="1069">
        <f>AO171*('Ввод исходных данных'!$D$83-AM171)</f>
        <v>1008</v>
      </c>
      <c r="AQ171" s="1064">
        <v>-6.3</v>
      </c>
      <c r="AR171" s="1064"/>
      <c r="AS171" s="1064">
        <f t="shared" si="30"/>
        <v>31</v>
      </c>
      <c r="AT171" s="1064">
        <f>AS171*('Ввод исходных данных'!$D$83-AQ171)</f>
        <v>815.30000000000007</v>
      </c>
      <c r="AU171" s="1070">
        <v>3.9</v>
      </c>
      <c r="AV171" s="1070"/>
      <c r="AW171" s="1070">
        <f t="shared" si="31"/>
        <v>30</v>
      </c>
      <c r="AX171" s="1070">
        <f>AW171*('Ввод исходных данных'!$D$83-AU171)</f>
        <v>483.00000000000006</v>
      </c>
      <c r="AY171" s="1071">
        <v>11.4</v>
      </c>
      <c r="AZ171" s="1071"/>
      <c r="BA171" s="1071">
        <f t="shared" si="32"/>
        <v>4.5</v>
      </c>
      <c r="BB171" s="1071">
        <f>BA171*('Ввод исходных данных'!$D$83-AY171)</f>
        <v>38.699999999999996</v>
      </c>
      <c r="BC171" s="1072">
        <v>17.5</v>
      </c>
      <c r="BD171" s="1072"/>
      <c r="BE171" s="1072">
        <f t="shared" si="24"/>
        <v>0</v>
      </c>
      <c r="BF171" s="1073">
        <f>BE171*('Ввод исходных данных'!$D$83-BC171)</f>
        <v>0</v>
      </c>
    </row>
    <row r="172" spans="2:58" ht="15.75" customHeight="1" x14ac:dyDescent="0.25">
      <c r="B172" s="1076" t="s">
        <v>165</v>
      </c>
      <c r="C172" s="1076" t="s">
        <v>176</v>
      </c>
      <c r="D172" s="1053" t="str">
        <f t="shared" si="22"/>
        <v>Красноярский крайТаимба</v>
      </c>
      <c r="E172" s="1054">
        <v>264</v>
      </c>
      <c r="F172" s="1055">
        <v>-13.6</v>
      </c>
      <c r="G172" s="1055">
        <v>-51</v>
      </c>
      <c r="H172" s="1057">
        <f>H171</f>
        <v>4.0999999999999996</v>
      </c>
      <c r="I172" s="1058">
        <f>E172*('Ввод исходных данных'!$D$83-F172)</f>
        <v>8870.4</v>
      </c>
      <c r="J172" s="1059" t="str">
        <f t="shared" si="23"/>
        <v>8000-9000</v>
      </c>
      <c r="K172" s="1060">
        <v>16.8</v>
      </c>
      <c r="L172" s="1060"/>
      <c r="M172" s="1061">
        <f t="shared" si="25"/>
        <v>0</v>
      </c>
      <c r="N172" s="1062">
        <f>M172*('Ввод исходных данных'!$D$83-K172)</f>
        <v>0</v>
      </c>
      <c r="O172" s="1063">
        <v>12.7</v>
      </c>
      <c r="P172" s="1063"/>
      <c r="Q172" s="1063">
        <f t="shared" si="26"/>
        <v>0</v>
      </c>
      <c r="R172" s="1063">
        <f>Q172*('Ввод исходных данных'!$D$83-O172)</f>
        <v>0</v>
      </c>
      <c r="S172" s="1064">
        <v>5.3</v>
      </c>
      <c r="T172" s="1064"/>
      <c r="U172" s="1064">
        <f t="shared" si="27"/>
        <v>26</v>
      </c>
      <c r="V172" s="1064">
        <f>U172*('Ввод исходных данных'!$D$83-S172)</f>
        <v>382.2</v>
      </c>
      <c r="W172" s="1065">
        <v>-4.2</v>
      </c>
      <c r="X172" s="1065"/>
      <c r="Y172" s="1065">
        <f t="shared" si="28"/>
        <v>31</v>
      </c>
      <c r="Z172" s="1065">
        <f>Y172*('Ввод исходных данных'!$D$83-W172)</f>
        <v>750.19999999999993</v>
      </c>
      <c r="AA172" s="1066">
        <v>-20.100000000000001</v>
      </c>
      <c r="AB172" s="1066"/>
      <c r="AC172" s="1066">
        <f t="shared" si="29"/>
        <v>30</v>
      </c>
      <c r="AD172" s="1066">
        <f>AC172*('Ввод исходных данных'!$D$83-AA172)</f>
        <v>1203</v>
      </c>
      <c r="AE172" s="1067">
        <v>-29.1</v>
      </c>
      <c r="AF172" s="1067"/>
      <c r="AG172" s="1067">
        <v>31</v>
      </c>
      <c r="AH172" s="1067">
        <f>AG172*('Ввод исходных данных'!$D$83-AE172)</f>
        <v>1522.1000000000001</v>
      </c>
      <c r="AI172" s="1068">
        <v>-30.1</v>
      </c>
      <c r="AJ172" s="1068"/>
      <c r="AK172" s="1068">
        <v>31</v>
      </c>
      <c r="AL172" s="1068">
        <f>AK172*('Ввод исходных данных'!$D$83-AI172)</f>
        <v>1553.1000000000001</v>
      </c>
      <c r="AM172" s="1069">
        <v>-26.6</v>
      </c>
      <c r="AN172" s="1069"/>
      <c r="AO172" s="1069">
        <v>28</v>
      </c>
      <c r="AP172" s="1069">
        <f>AO172*('Ввод исходных данных'!$D$83-AM172)</f>
        <v>1304.8</v>
      </c>
      <c r="AQ172" s="1064">
        <v>-15.6</v>
      </c>
      <c r="AR172" s="1064"/>
      <c r="AS172" s="1064">
        <f t="shared" si="30"/>
        <v>31</v>
      </c>
      <c r="AT172" s="1064">
        <f>AS172*('Ввод исходных данных'!$D$83-AQ172)</f>
        <v>1103.6000000000001</v>
      </c>
      <c r="AU172" s="1070">
        <v>-3.4</v>
      </c>
      <c r="AV172" s="1070"/>
      <c r="AW172" s="1070">
        <f t="shared" si="31"/>
        <v>30</v>
      </c>
      <c r="AX172" s="1070">
        <f>AW172*('Ввод исходных данных'!$D$83-AU172)</f>
        <v>702</v>
      </c>
      <c r="AY172" s="1071">
        <v>5.0999999999999996</v>
      </c>
      <c r="AZ172" s="1071"/>
      <c r="BA172" s="1071">
        <f t="shared" si="32"/>
        <v>26</v>
      </c>
      <c r="BB172" s="1071">
        <f>BA172*('Ввод исходных данных'!$D$83-AY172)</f>
        <v>387.40000000000003</v>
      </c>
      <c r="BC172" s="1072">
        <v>13.4</v>
      </c>
      <c r="BD172" s="1072"/>
      <c r="BE172" s="1072">
        <f t="shared" si="24"/>
        <v>0</v>
      </c>
      <c r="BF172" s="1073">
        <f>BE172*('Ввод исходных данных'!$D$83-BC172)</f>
        <v>0</v>
      </c>
    </row>
    <row r="173" spans="2:58" ht="15.75" customHeight="1" x14ac:dyDescent="0.25">
      <c r="B173" s="1052" t="s">
        <v>165</v>
      </c>
      <c r="C173" s="1052" t="s">
        <v>140</v>
      </c>
      <c r="D173" s="1053" t="str">
        <f t="shared" si="22"/>
        <v>Красноярский крайТроицкое</v>
      </c>
      <c r="E173" s="1054">
        <v>251</v>
      </c>
      <c r="F173" s="1055">
        <v>-9.8000000000000007</v>
      </c>
      <c r="G173" s="1055">
        <v>-47</v>
      </c>
      <c r="H173" s="1057">
        <f>H171</f>
        <v>4.0999999999999996</v>
      </c>
      <c r="I173" s="1058">
        <f>E173*('Ввод исходных данных'!$D$83-F173)</f>
        <v>7479.8</v>
      </c>
      <c r="J173" s="1059" t="str">
        <f t="shared" si="23"/>
        <v>7000-8000</v>
      </c>
      <c r="K173" s="1060">
        <v>17.5</v>
      </c>
      <c r="L173" s="1060"/>
      <c r="M173" s="1061">
        <f t="shared" si="25"/>
        <v>0</v>
      </c>
      <c r="N173" s="1062">
        <f>M173*('Ввод исходных данных'!$D$83-K173)</f>
        <v>0</v>
      </c>
      <c r="O173" s="1063">
        <v>14</v>
      </c>
      <c r="P173" s="1063"/>
      <c r="Q173" s="1063">
        <f t="shared" si="26"/>
        <v>0</v>
      </c>
      <c r="R173" s="1063">
        <f>Q173*('Ввод исходных данных'!$D$83-O173)</f>
        <v>0</v>
      </c>
      <c r="S173" s="1064">
        <v>7</v>
      </c>
      <c r="T173" s="1064"/>
      <c r="U173" s="1064">
        <f t="shared" si="27"/>
        <v>19.5</v>
      </c>
      <c r="V173" s="1064">
        <f>U173*('Ввод исходных данных'!$D$83-S173)</f>
        <v>253.5</v>
      </c>
      <c r="W173" s="1065">
        <v>-1</v>
      </c>
      <c r="X173" s="1065"/>
      <c r="Y173" s="1065">
        <f t="shared" si="28"/>
        <v>31</v>
      </c>
      <c r="Z173" s="1065">
        <f>Y173*('Ввод исходных данных'!$D$83-W173)</f>
        <v>651</v>
      </c>
      <c r="AA173" s="1066">
        <v>-12.5</v>
      </c>
      <c r="AB173" s="1066"/>
      <c r="AC173" s="1066">
        <f t="shared" si="29"/>
        <v>30</v>
      </c>
      <c r="AD173" s="1066">
        <f>AC173*('Ввод исходных данных'!$D$83-AA173)</f>
        <v>975</v>
      </c>
      <c r="AE173" s="1067">
        <v>-21.9</v>
      </c>
      <c r="AF173" s="1067"/>
      <c r="AG173" s="1067">
        <v>31</v>
      </c>
      <c r="AH173" s="1067">
        <f>AG173*('Ввод исходных данных'!$D$83-AE173)</f>
        <v>1298.8999999999999</v>
      </c>
      <c r="AI173" s="1068">
        <v>-22.8</v>
      </c>
      <c r="AJ173" s="1068"/>
      <c r="AK173" s="1068">
        <v>31</v>
      </c>
      <c r="AL173" s="1068">
        <f>AK173*('Ввод исходных данных'!$D$83-AI173)</f>
        <v>1326.8</v>
      </c>
      <c r="AM173" s="1069">
        <v>-20.3</v>
      </c>
      <c r="AN173" s="1069"/>
      <c r="AO173" s="1069">
        <v>28</v>
      </c>
      <c r="AP173" s="1069">
        <f>AO173*('Ввод исходных данных'!$D$83-AM173)</f>
        <v>1128.3999999999999</v>
      </c>
      <c r="AQ173" s="1064">
        <v>-11.5</v>
      </c>
      <c r="AR173" s="1064"/>
      <c r="AS173" s="1064">
        <f t="shared" si="30"/>
        <v>31</v>
      </c>
      <c r="AT173" s="1064">
        <f>AS173*('Ввод исходных данных'!$D$83-AQ173)</f>
        <v>976.5</v>
      </c>
      <c r="AU173" s="1070">
        <v>-0.8</v>
      </c>
      <c r="AV173" s="1070"/>
      <c r="AW173" s="1070">
        <f t="shared" si="31"/>
        <v>30</v>
      </c>
      <c r="AX173" s="1070">
        <f>AW173*('Ввод исходных данных'!$D$83-AU173)</f>
        <v>624</v>
      </c>
      <c r="AY173" s="1071">
        <v>6.9</v>
      </c>
      <c r="AZ173" s="1071"/>
      <c r="BA173" s="1071">
        <f t="shared" si="32"/>
        <v>19.5</v>
      </c>
      <c r="BB173" s="1071">
        <f>BA173*('Ввод исходных данных'!$D$83-AY173)</f>
        <v>255.45</v>
      </c>
      <c r="BC173" s="1072">
        <v>14.5</v>
      </c>
      <c r="BD173" s="1072"/>
      <c r="BE173" s="1072">
        <f t="shared" si="24"/>
        <v>0</v>
      </c>
      <c r="BF173" s="1073">
        <f>BE173*('Ввод исходных данных'!$D$83-BC173)</f>
        <v>0</v>
      </c>
    </row>
    <row r="174" spans="2:58" ht="15.75" customHeight="1" x14ac:dyDescent="0.25">
      <c r="B174" s="1076" t="s">
        <v>165</v>
      </c>
      <c r="C174" s="1076" t="s">
        <v>663</v>
      </c>
      <c r="D174" s="1053" t="str">
        <f t="shared" si="22"/>
        <v>Красноярский крайТура</v>
      </c>
      <c r="E174" s="1054">
        <v>270</v>
      </c>
      <c r="F174" s="1055">
        <v>-17.2</v>
      </c>
      <c r="G174" s="1055">
        <v>-53</v>
      </c>
      <c r="H174" s="1057">
        <v>1.9</v>
      </c>
      <c r="I174" s="1058">
        <f>E174*('Ввод исходных данных'!$D$83-F174)</f>
        <v>10044</v>
      </c>
      <c r="J174" s="1059" t="str">
        <f t="shared" si="23"/>
        <v>10000-11000</v>
      </c>
      <c r="K174" s="1060">
        <v>16.899999999999999</v>
      </c>
      <c r="L174" s="1060"/>
      <c r="M174" s="1061">
        <f t="shared" si="25"/>
        <v>0</v>
      </c>
      <c r="N174" s="1062">
        <f>M174*('Ввод исходных данных'!$D$83-K174)</f>
        <v>0</v>
      </c>
      <c r="O174" s="1063">
        <v>12.7</v>
      </c>
      <c r="P174" s="1063"/>
      <c r="Q174" s="1063">
        <f t="shared" si="26"/>
        <v>0</v>
      </c>
      <c r="R174" s="1063">
        <f>Q174*('Ввод исходных данных'!$D$83-O174)</f>
        <v>0</v>
      </c>
      <c r="S174" s="1064">
        <v>4.8</v>
      </c>
      <c r="T174" s="1064"/>
      <c r="U174" s="1064">
        <f t="shared" si="27"/>
        <v>29</v>
      </c>
      <c r="V174" s="1064">
        <f>U174*('Ввод исходных данных'!$D$83-S174)</f>
        <v>440.79999999999995</v>
      </c>
      <c r="W174" s="1065">
        <v>-7</v>
      </c>
      <c r="X174" s="1065"/>
      <c r="Y174" s="1065">
        <f t="shared" si="28"/>
        <v>31</v>
      </c>
      <c r="Z174" s="1065">
        <f>Y174*('Ввод исходных данных'!$D$83-W174)</f>
        <v>837</v>
      </c>
      <c r="AA174" s="1066">
        <v>-24.3</v>
      </c>
      <c r="AB174" s="1066"/>
      <c r="AC174" s="1066">
        <f t="shared" si="29"/>
        <v>30</v>
      </c>
      <c r="AD174" s="1066">
        <f>AC174*('Ввод исходных данных'!$D$83-AA174)</f>
        <v>1329</v>
      </c>
      <c r="AE174" s="1067">
        <v>-32.4</v>
      </c>
      <c r="AF174" s="1067"/>
      <c r="AG174" s="1067">
        <v>31</v>
      </c>
      <c r="AH174" s="1067">
        <f>AG174*('Ввод исходных данных'!$D$83-AE174)</f>
        <v>1624.3999999999999</v>
      </c>
      <c r="AI174" s="1068">
        <v>-35.700000000000003</v>
      </c>
      <c r="AJ174" s="1068"/>
      <c r="AK174" s="1068">
        <v>31</v>
      </c>
      <c r="AL174" s="1068">
        <f>AK174*('Ввод исходных данных'!$D$83-AI174)</f>
        <v>1726.7</v>
      </c>
      <c r="AM174" s="1069">
        <v>-31.8</v>
      </c>
      <c r="AN174" s="1069"/>
      <c r="AO174" s="1069">
        <v>28</v>
      </c>
      <c r="AP174" s="1069">
        <f>AO174*('Ввод исходных данных'!$D$83-AM174)</f>
        <v>1450.3999999999999</v>
      </c>
      <c r="AQ174" s="1064">
        <v>-18.3</v>
      </c>
      <c r="AR174" s="1064"/>
      <c r="AS174" s="1064">
        <f t="shared" si="30"/>
        <v>31</v>
      </c>
      <c r="AT174" s="1064">
        <f>AS174*('Ввод исходных данных'!$D$83-AQ174)</f>
        <v>1187.3</v>
      </c>
      <c r="AU174" s="1070">
        <v>-6.8</v>
      </c>
      <c r="AV174" s="1070"/>
      <c r="AW174" s="1070">
        <f t="shared" si="31"/>
        <v>30</v>
      </c>
      <c r="AX174" s="1070">
        <f>AW174*('Ввод исходных данных'!$D$83-AU174)</f>
        <v>804</v>
      </c>
      <c r="AY174" s="1071">
        <v>3.3</v>
      </c>
      <c r="AZ174" s="1071"/>
      <c r="BA174" s="1071">
        <f t="shared" si="32"/>
        <v>29</v>
      </c>
      <c r="BB174" s="1071">
        <f>BA174*('Ввод исходных данных'!$D$83-AY174)</f>
        <v>484.29999999999995</v>
      </c>
      <c r="BC174" s="1072">
        <v>12.8</v>
      </c>
      <c r="BD174" s="1072"/>
      <c r="BE174" s="1072">
        <f t="shared" si="24"/>
        <v>0</v>
      </c>
      <c r="BF174" s="1073">
        <f>BE174*('Ввод исходных данных'!$D$83-BC174)</f>
        <v>0</v>
      </c>
    </row>
    <row r="175" spans="2:58" ht="15.75" customHeight="1" x14ac:dyDescent="0.25">
      <c r="B175" s="1052" t="s">
        <v>165</v>
      </c>
      <c r="C175" s="1052" t="s">
        <v>177</v>
      </c>
      <c r="D175" s="1053" t="str">
        <f>CONCATENATE(B175,C175)</f>
        <v>Красноярский крайТуруханск</v>
      </c>
      <c r="E175" s="1054">
        <v>274</v>
      </c>
      <c r="F175" s="1055">
        <v>-13.3</v>
      </c>
      <c r="G175" s="1055">
        <v>-49</v>
      </c>
      <c r="H175" s="1057">
        <v>5.2</v>
      </c>
      <c r="I175" s="1058">
        <f>E175*('Ввод исходных данных'!$D$83-F175)</f>
        <v>9124.1999999999989</v>
      </c>
      <c r="J175" s="1059" t="str">
        <f t="shared" si="23"/>
        <v>9000-10000</v>
      </c>
      <c r="K175" s="1060">
        <v>16.5</v>
      </c>
      <c r="L175" s="1060"/>
      <c r="M175" s="1061">
        <f t="shared" si="25"/>
        <v>0</v>
      </c>
      <c r="N175" s="1062">
        <f>M175*('Ввод исходных данных'!$D$83-K175)</f>
        <v>0</v>
      </c>
      <c r="O175" s="1063">
        <v>12.7</v>
      </c>
      <c r="P175" s="1063"/>
      <c r="Q175" s="1063">
        <f t="shared" si="26"/>
        <v>0.5</v>
      </c>
      <c r="R175" s="1063">
        <f>Q175*('Ввод исходных данных'!$D$83-O175)</f>
        <v>3.6500000000000004</v>
      </c>
      <c r="S175" s="1064">
        <v>5.5</v>
      </c>
      <c r="T175" s="1064"/>
      <c r="U175" s="1064">
        <f t="shared" si="27"/>
        <v>30</v>
      </c>
      <c r="V175" s="1064">
        <f>U175*('Ввод исходных данных'!$D$83-S175)</f>
        <v>435</v>
      </c>
      <c r="W175" s="1065">
        <v>-5.7</v>
      </c>
      <c r="X175" s="1065"/>
      <c r="Y175" s="1065">
        <f t="shared" si="28"/>
        <v>31</v>
      </c>
      <c r="Z175" s="1065">
        <f>Y175*('Ввод исходных данных'!$D$83-W175)</f>
        <v>796.69999999999993</v>
      </c>
      <c r="AA175" s="1066">
        <v>-18.600000000000001</v>
      </c>
      <c r="AB175" s="1066"/>
      <c r="AC175" s="1066">
        <f t="shared" si="29"/>
        <v>30</v>
      </c>
      <c r="AD175" s="1066">
        <f>AC175*('Ввод исходных данных'!$D$83-AA175)</f>
        <v>1158</v>
      </c>
      <c r="AE175" s="1067">
        <v>-23.9</v>
      </c>
      <c r="AF175" s="1067"/>
      <c r="AG175" s="1067">
        <v>31</v>
      </c>
      <c r="AH175" s="1067">
        <f>AG175*('Ввод исходных данных'!$D$83-AE175)</f>
        <v>1360.8999999999999</v>
      </c>
      <c r="AI175" s="1068">
        <v>-26.5</v>
      </c>
      <c r="AJ175" s="1068"/>
      <c r="AK175" s="1068">
        <v>31</v>
      </c>
      <c r="AL175" s="1068">
        <f>AK175*('Ввод исходных данных'!$D$83-AI175)</f>
        <v>1441.5</v>
      </c>
      <c r="AM175" s="1069">
        <v>-24.2</v>
      </c>
      <c r="AN175" s="1069"/>
      <c r="AO175" s="1069">
        <v>28</v>
      </c>
      <c r="AP175" s="1069">
        <f>AO175*('Ввод исходных данных'!$D$83-AM175)</f>
        <v>1237.6000000000001</v>
      </c>
      <c r="AQ175" s="1064">
        <v>-15.8</v>
      </c>
      <c r="AR175" s="1064"/>
      <c r="AS175" s="1064">
        <f t="shared" si="30"/>
        <v>31</v>
      </c>
      <c r="AT175" s="1064">
        <f>AS175*('Ввод исходных данных'!$D$83-AQ175)</f>
        <v>1109.8</v>
      </c>
      <c r="AU175" s="1070">
        <v>-8.1</v>
      </c>
      <c r="AV175" s="1070"/>
      <c r="AW175" s="1070">
        <f t="shared" si="31"/>
        <v>30</v>
      </c>
      <c r="AX175" s="1070">
        <f>AW175*('Ввод исходных данных'!$D$83-AU175)</f>
        <v>843</v>
      </c>
      <c r="AY175" s="1071">
        <v>0.7</v>
      </c>
      <c r="AZ175" s="1071"/>
      <c r="BA175" s="1071">
        <f t="shared" si="32"/>
        <v>31</v>
      </c>
      <c r="BB175" s="1071">
        <f>BA175*('Ввод исходных данных'!$D$83-AY175)</f>
        <v>598.30000000000007</v>
      </c>
      <c r="BC175" s="1072">
        <v>10.9</v>
      </c>
      <c r="BD175" s="1072"/>
      <c r="BE175" s="1072">
        <f t="shared" si="24"/>
        <v>0.5</v>
      </c>
      <c r="BF175" s="1073">
        <f>BE175*('Ввод исходных данных'!$D$83-BC175)</f>
        <v>4.55</v>
      </c>
    </row>
    <row r="176" spans="2:58" ht="15.75" customHeight="1" x14ac:dyDescent="0.25">
      <c r="B176" s="1076" t="s">
        <v>165</v>
      </c>
      <c r="C176" s="1076" t="s">
        <v>664</v>
      </c>
      <c r="D176" s="1053" t="str">
        <f>CONCATENATE(B176,C176)</f>
        <v>Красноярский крайХатанга</v>
      </c>
      <c r="E176" s="1054">
        <v>304</v>
      </c>
      <c r="F176" s="1055">
        <v>-18</v>
      </c>
      <c r="G176" s="1055">
        <v>-49</v>
      </c>
      <c r="H176" s="1057">
        <v>5.2</v>
      </c>
      <c r="I176" s="1058">
        <f>E176*('Ввод исходных данных'!$D$83-F176)</f>
        <v>11552</v>
      </c>
      <c r="J176" s="1059" t="str">
        <f t="shared" si="23"/>
        <v>11000-12000</v>
      </c>
      <c r="K176" s="1060">
        <v>12.6</v>
      </c>
      <c r="L176" s="1060"/>
      <c r="M176" s="1061">
        <f t="shared" si="25"/>
        <v>0</v>
      </c>
      <c r="N176" s="1062">
        <f>M176*('Ввод исходных данных'!$D$83-K176)</f>
        <v>0</v>
      </c>
      <c r="O176" s="1063">
        <v>9.3000000000000007</v>
      </c>
      <c r="P176" s="1063"/>
      <c r="Q176" s="1063">
        <f t="shared" si="26"/>
        <v>15.5</v>
      </c>
      <c r="R176" s="1063">
        <f>Q176*('Ввод исходных данных'!$D$83-O176)</f>
        <v>165.85</v>
      </c>
      <c r="S176" s="1064">
        <v>1.6</v>
      </c>
      <c r="T176" s="1064"/>
      <c r="U176" s="1064">
        <f t="shared" si="27"/>
        <v>30</v>
      </c>
      <c r="V176" s="1064">
        <f>U176*('Ввод исходных данных'!$D$83-S176)</f>
        <v>552</v>
      </c>
      <c r="W176" s="1065">
        <v>-12.3</v>
      </c>
      <c r="X176" s="1065"/>
      <c r="Y176" s="1065">
        <f t="shared" si="28"/>
        <v>31</v>
      </c>
      <c r="Z176" s="1065">
        <f>Y176*('Ввод исходных данных'!$D$83-W176)</f>
        <v>1001.3</v>
      </c>
      <c r="AA176" s="1066">
        <v>-25.5</v>
      </c>
      <c r="AB176" s="1066"/>
      <c r="AC176" s="1066">
        <f t="shared" si="29"/>
        <v>30</v>
      </c>
      <c r="AD176" s="1066">
        <f>AC176*('Ввод исходных данных'!$D$83-AA176)</f>
        <v>1365</v>
      </c>
      <c r="AE176" s="1067">
        <v>-29.3</v>
      </c>
      <c r="AF176" s="1067"/>
      <c r="AG176" s="1067">
        <v>31</v>
      </c>
      <c r="AH176" s="1067">
        <f>AG176*('Ввод исходных данных'!$D$83-AE176)</f>
        <v>1528.3</v>
      </c>
      <c r="AI176" s="1068">
        <v>-32.799999999999997</v>
      </c>
      <c r="AJ176" s="1068"/>
      <c r="AK176" s="1068">
        <v>31</v>
      </c>
      <c r="AL176" s="1068">
        <f>AK176*('Ввод исходных данных'!$D$83-AI176)</f>
        <v>1636.8</v>
      </c>
      <c r="AM176" s="1069">
        <v>-32.299999999999997</v>
      </c>
      <c r="AN176" s="1069"/>
      <c r="AO176" s="1069">
        <v>28</v>
      </c>
      <c r="AP176" s="1069">
        <f>AO176*('Ввод исходных данных'!$D$83-AM176)</f>
        <v>1464.3999999999999</v>
      </c>
      <c r="AQ176" s="1064">
        <v>-26.7</v>
      </c>
      <c r="AR176" s="1064"/>
      <c r="AS176" s="1064">
        <f t="shared" si="30"/>
        <v>31</v>
      </c>
      <c r="AT176" s="1064">
        <f>AS176*('Ввод исходных данных'!$D$83-AQ176)</f>
        <v>1447.7</v>
      </c>
      <c r="AU176" s="1070">
        <v>-17.5</v>
      </c>
      <c r="AV176" s="1070"/>
      <c r="AW176" s="1070">
        <f t="shared" si="31"/>
        <v>30</v>
      </c>
      <c r="AX176" s="1070">
        <f>AW176*('Ввод исходных данных'!$D$83-AU176)</f>
        <v>1125</v>
      </c>
      <c r="AY176" s="1071">
        <v>-6.8</v>
      </c>
      <c r="AZ176" s="1071"/>
      <c r="BA176" s="1071">
        <f t="shared" si="32"/>
        <v>31</v>
      </c>
      <c r="BB176" s="1071">
        <f>BA176*('Ввод исходных данных'!$D$83-AY176)</f>
        <v>830.80000000000007</v>
      </c>
      <c r="BC176" s="1072">
        <v>5.4</v>
      </c>
      <c r="BD176" s="1072"/>
      <c r="BE176" s="1072">
        <f t="shared" si="24"/>
        <v>15.5</v>
      </c>
      <c r="BF176" s="1073">
        <f>BE176*('Ввод исходных данных'!$D$83-BC176)</f>
        <v>226.29999999999998</v>
      </c>
    </row>
    <row r="177" spans="2:58" ht="15.75" customHeight="1" x14ac:dyDescent="0.25">
      <c r="B177" s="1052" t="s">
        <v>165</v>
      </c>
      <c r="C177" s="1052" t="s">
        <v>665</v>
      </c>
      <c r="D177" s="1053" t="str">
        <f>CONCATENATE(B177,C177)</f>
        <v xml:space="preserve">Красноярский крайЧелюскин, мыс </v>
      </c>
      <c r="E177" s="1054">
        <v>365</v>
      </c>
      <c r="F177" s="1055">
        <v>-14.7</v>
      </c>
      <c r="G177" s="1055">
        <v>-41</v>
      </c>
      <c r="H177" s="1057">
        <v>9.3000000000000007</v>
      </c>
      <c r="I177" s="1058">
        <f>E177*('Ввод исходных данных'!$D$83-F177)</f>
        <v>12665.500000000002</v>
      </c>
      <c r="J177" s="1059" t="str">
        <f t="shared" si="23"/>
        <v>12000-13000</v>
      </c>
      <c r="K177" s="1060">
        <v>1.5</v>
      </c>
      <c r="L177" s="1060"/>
      <c r="M177" s="1061">
        <f t="shared" si="25"/>
        <v>31</v>
      </c>
      <c r="N177" s="1062">
        <f>M177*('Ввод исходных данных'!$D$83-K177)</f>
        <v>573.5</v>
      </c>
      <c r="O177" s="1063">
        <v>0.7</v>
      </c>
      <c r="P177" s="1063"/>
      <c r="Q177" s="1063">
        <f t="shared" si="26"/>
        <v>31</v>
      </c>
      <c r="R177" s="1063">
        <f>Q177*('Ввод исходных данных'!$D$83-O177)</f>
        <v>598.30000000000007</v>
      </c>
      <c r="S177" s="1064">
        <v>-2.4</v>
      </c>
      <c r="T177" s="1064"/>
      <c r="U177" s="1064">
        <f t="shared" si="27"/>
        <v>30</v>
      </c>
      <c r="V177" s="1064">
        <f>U177*('Ввод исходных данных'!$D$83-S177)</f>
        <v>672</v>
      </c>
      <c r="W177" s="1065">
        <v>-11.5</v>
      </c>
      <c r="X177" s="1065"/>
      <c r="Y177" s="1065">
        <f t="shared" si="28"/>
        <v>31</v>
      </c>
      <c r="Z177" s="1065">
        <f>Y177*('Ввод исходных данных'!$D$83-W177)</f>
        <v>976.5</v>
      </c>
      <c r="AA177" s="1066">
        <v>-21.4</v>
      </c>
      <c r="AB177" s="1066"/>
      <c r="AC177" s="1066">
        <f t="shared" si="29"/>
        <v>30</v>
      </c>
      <c r="AD177" s="1066">
        <f>AC177*('Ввод исходных данных'!$D$83-AA177)</f>
        <v>1242</v>
      </c>
      <c r="AE177" s="1067">
        <v>-25.3</v>
      </c>
      <c r="AF177" s="1067"/>
      <c r="AG177" s="1067">
        <v>31</v>
      </c>
      <c r="AH177" s="1067">
        <f>AG177*('Ввод исходных данных'!$D$83-AE177)</f>
        <v>1404.3</v>
      </c>
      <c r="AI177" s="1068">
        <v>-28.5</v>
      </c>
      <c r="AJ177" s="1068"/>
      <c r="AK177" s="1068">
        <v>31</v>
      </c>
      <c r="AL177" s="1068">
        <f>AK177*('Ввод исходных данных'!$D$83-AI177)</f>
        <v>1503.5</v>
      </c>
      <c r="AM177" s="1069">
        <v>-28.6</v>
      </c>
      <c r="AN177" s="1069"/>
      <c r="AO177" s="1069">
        <v>28</v>
      </c>
      <c r="AP177" s="1069">
        <f>AO177*('Ввод исходных данных'!$D$83-AM177)</f>
        <v>1360.8</v>
      </c>
      <c r="AQ177" s="1064">
        <v>-28.2</v>
      </c>
      <c r="AR177" s="1064"/>
      <c r="AS177" s="1064">
        <f t="shared" si="30"/>
        <v>31</v>
      </c>
      <c r="AT177" s="1064">
        <f>AS177*('Ввод исходных данных'!$D$83-AQ177)</f>
        <v>1494.2</v>
      </c>
      <c r="AU177" s="1070">
        <v>-21</v>
      </c>
      <c r="AV177" s="1070"/>
      <c r="AW177" s="1070">
        <f t="shared" si="31"/>
        <v>30</v>
      </c>
      <c r="AX177" s="1070">
        <f>AW177*('Ввод исходных данных'!$D$83-AU177)</f>
        <v>1230</v>
      </c>
      <c r="AY177" s="1071">
        <v>-10.5</v>
      </c>
      <c r="AZ177" s="1071"/>
      <c r="BA177" s="1071">
        <f t="shared" si="32"/>
        <v>31</v>
      </c>
      <c r="BB177" s="1071">
        <f>BA177*('Ввод исходных данных'!$D$83-AY177)</f>
        <v>945.5</v>
      </c>
      <c r="BC177" s="1072">
        <v>-1.4</v>
      </c>
      <c r="BD177" s="1072"/>
      <c r="BE177" s="1072">
        <f t="shared" si="24"/>
        <v>30</v>
      </c>
      <c r="BF177" s="1073">
        <f>BE177*('Ввод исходных данных'!$D$83-BC177)</f>
        <v>642</v>
      </c>
    </row>
    <row r="178" spans="2:58" ht="15.75" customHeight="1" x14ac:dyDescent="0.25">
      <c r="B178" s="1076" t="s">
        <v>165</v>
      </c>
      <c r="C178" s="1076" t="s">
        <v>181</v>
      </c>
      <c r="D178" s="1053" t="str">
        <f>CONCATENATE(B178,C178)</f>
        <v>Красноярский крайЯрцево</v>
      </c>
      <c r="E178" s="1054">
        <v>254</v>
      </c>
      <c r="F178" s="1055">
        <v>-10.8</v>
      </c>
      <c r="G178" s="1055">
        <v>-47</v>
      </c>
      <c r="H178" s="1057">
        <v>4.7</v>
      </c>
      <c r="I178" s="1058">
        <f>E178*('Ввод исходных данных'!$D$83-F178)</f>
        <v>7823.2</v>
      </c>
      <c r="J178" s="1059" t="str">
        <f t="shared" si="23"/>
        <v>7000-8000</v>
      </c>
      <c r="K178" s="1060">
        <v>18.2</v>
      </c>
      <c r="L178" s="1060"/>
      <c r="M178" s="1061">
        <f t="shared" si="25"/>
        <v>0</v>
      </c>
      <c r="N178" s="1062">
        <f>M178*('Ввод исходных данных'!$D$83-K178)</f>
        <v>0</v>
      </c>
      <c r="O178" s="1063">
        <v>14</v>
      </c>
      <c r="P178" s="1063"/>
      <c r="Q178" s="1063">
        <f t="shared" si="26"/>
        <v>0</v>
      </c>
      <c r="R178" s="1063">
        <f>Q178*('Ввод исходных данных'!$D$83-O178)</f>
        <v>0</v>
      </c>
      <c r="S178" s="1064">
        <v>7.6</v>
      </c>
      <c r="T178" s="1064"/>
      <c r="U178" s="1064">
        <f t="shared" si="27"/>
        <v>21</v>
      </c>
      <c r="V178" s="1064">
        <f>U178*('Ввод исходных данных'!$D$83-S178)</f>
        <v>260.40000000000003</v>
      </c>
      <c r="W178" s="1065">
        <v>-1.8</v>
      </c>
      <c r="X178" s="1065"/>
      <c r="Y178" s="1065">
        <f t="shared" si="28"/>
        <v>31</v>
      </c>
      <c r="Z178" s="1065">
        <f>Y178*('Ввод исходных данных'!$D$83-W178)</f>
        <v>675.80000000000007</v>
      </c>
      <c r="AA178" s="1066">
        <v>-14.7</v>
      </c>
      <c r="AB178" s="1066"/>
      <c r="AC178" s="1066">
        <f t="shared" si="29"/>
        <v>30</v>
      </c>
      <c r="AD178" s="1066">
        <f>AC178*('Ввод исходных данных'!$D$83-AA178)</f>
        <v>1041</v>
      </c>
      <c r="AE178" s="1067">
        <v>-22.3</v>
      </c>
      <c r="AF178" s="1067"/>
      <c r="AG178" s="1067">
        <v>31</v>
      </c>
      <c r="AH178" s="1067">
        <f>AG178*('Ввод исходных данных'!$D$83-AE178)</f>
        <v>1311.3</v>
      </c>
      <c r="AI178" s="1068">
        <v>-23.6</v>
      </c>
      <c r="AJ178" s="1068"/>
      <c r="AK178" s="1068">
        <v>31</v>
      </c>
      <c r="AL178" s="1068">
        <f>AK178*('Ввод исходных данных'!$D$83-AI178)</f>
        <v>1351.6000000000001</v>
      </c>
      <c r="AM178" s="1069">
        <v>-21.5</v>
      </c>
      <c r="AN178" s="1069"/>
      <c r="AO178" s="1069">
        <v>28</v>
      </c>
      <c r="AP178" s="1069">
        <f>AO178*('Ввод исходных данных'!$D$83-AM178)</f>
        <v>1162</v>
      </c>
      <c r="AQ178" s="1064">
        <v>-12.9</v>
      </c>
      <c r="AR178" s="1064"/>
      <c r="AS178" s="1064">
        <f t="shared" si="30"/>
        <v>31</v>
      </c>
      <c r="AT178" s="1064">
        <f>AS178*('Ввод исходных данных'!$D$83-AQ178)</f>
        <v>1019.9</v>
      </c>
      <c r="AU178" s="1070">
        <v>-2.7</v>
      </c>
      <c r="AV178" s="1070"/>
      <c r="AW178" s="1070">
        <f t="shared" si="31"/>
        <v>30</v>
      </c>
      <c r="AX178" s="1070">
        <f>AW178*('Ввод исходных данных'!$D$83-AU178)</f>
        <v>681</v>
      </c>
      <c r="AY178" s="1071">
        <v>5.0999999999999996</v>
      </c>
      <c r="AZ178" s="1071"/>
      <c r="BA178" s="1071">
        <f t="shared" si="32"/>
        <v>21</v>
      </c>
      <c r="BB178" s="1071">
        <f>BA178*('Ввод исходных данных'!$D$83-AY178)</f>
        <v>312.90000000000003</v>
      </c>
      <c r="BC178" s="1072">
        <v>14.3</v>
      </c>
      <c r="BD178" s="1072"/>
      <c r="BE178" s="1072">
        <f t="shared" si="24"/>
        <v>0</v>
      </c>
      <c r="BF178" s="1073">
        <f>BE178*('Ввод исходных данных'!$D$83-BC178)</f>
        <v>0</v>
      </c>
    </row>
    <row r="179" spans="2:58" ht="15.75" customHeight="1" x14ac:dyDescent="0.25">
      <c r="B179" s="1052" t="s">
        <v>182</v>
      </c>
      <c r="C179" s="1052" t="s">
        <v>183</v>
      </c>
      <c r="D179" s="1053" t="str">
        <f>CONCATENATE(B179,C179)</f>
        <v>Курганская областьКурган</v>
      </c>
      <c r="E179" s="1054">
        <v>212</v>
      </c>
      <c r="F179" s="1055">
        <v>-7.6</v>
      </c>
      <c r="G179" s="1055">
        <v>-36</v>
      </c>
      <c r="H179" s="1057">
        <v>5.6</v>
      </c>
      <c r="I179" s="1058">
        <f>E179*('Ввод исходных данных'!$D$83-F179)</f>
        <v>5851.2000000000007</v>
      </c>
      <c r="J179" s="1059" t="str">
        <f t="shared" si="23"/>
        <v>5000-6000</v>
      </c>
      <c r="K179" s="1060">
        <v>19.600000000000001</v>
      </c>
      <c r="L179" s="1060"/>
      <c r="M179" s="1061">
        <f t="shared" si="25"/>
        <v>0.5</v>
      </c>
      <c r="N179" s="1062">
        <f>M179*('Ввод исходных данных'!$D$83-K179)</f>
        <v>0.19999999999999929</v>
      </c>
      <c r="O179" s="1063">
        <v>16.7</v>
      </c>
      <c r="P179" s="1063"/>
      <c r="Q179" s="1063">
        <f t="shared" si="26"/>
        <v>0</v>
      </c>
      <c r="R179" s="1063">
        <f>Q179*('Ввод исходных данных'!$D$83-O179)</f>
        <v>0</v>
      </c>
      <c r="S179" s="1064">
        <v>10.8</v>
      </c>
      <c r="T179" s="1064"/>
      <c r="U179" s="1064">
        <f t="shared" si="27"/>
        <v>0</v>
      </c>
      <c r="V179" s="1064">
        <f>U179*('Ввод исходных данных'!$D$83-S179)</f>
        <v>0</v>
      </c>
      <c r="W179" s="1065">
        <v>3.2</v>
      </c>
      <c r="X179" s="1065"/>
      <c r="Y179" s="1065">
        <f t="shared" si="28"/>
        <v>30.5</v>
      </c>
      <c r="Z179" s="1065">
        <f>Y179*('Ввод исходных данных'!$D$83-W179)</f>
        <v>512.4</v>
      </c>
      <c r="AA179" s="1066">
        <v>-6.4</v>
      </c>
      <c r="AB179" s="1066"/>
      <c r="AC179" s="1066">
        <f t="shared" si="29"/>
        <v>30</v>
      </c>
      <c r="AD179" s="1066">
        <f>AC179*('Ввод исходных данных'!$D$83-AA179)</f>
        <v>792</v>
      </c>
      <c r="AE179" s="1067">
        <v>-13.4</v>
      </c>
      <c r="AF179" s="1067"/>
      <c r="AG179" s="1067">
        <v>31</v>
      </c>
      <c r="AH179" s="1067">
        <f>AG179*('Ввод исходных данных'!$D$83-AE179)</f>
        <v>1035.3999999999999</v>
      </c>
      <c r="AI179" s="1068">
        <v>-16.3</v>
      </c>
      <c r="AJ179" s="1068"/>
      <c r="AK179" s="1068">
        <v>31</v>
      </c>
      <c r="AL179" s="1068">
        <f>AK179*('Ввод исходных данных'!$D$83-AI179)</f>
        <v>1125.3</v>
      </c>
      <c r="AM179" s="1069">
        <v>-15</v>
      </c>
      <c r="AN179" s="1069"/>
      <c r="AO179" s="1069">
        <v>28</v>
      </c>
      <c r="AP179" s="1069">
        <f>AO179*('Ввод исходных данных'!$D$83-AM179)</f>
        <v>980</v>
      </c>
      <c r="AQ179" s="1064">
        <v>-6.9</v>
      </c>
      <c r="AR179" s="1064"/>
      <c r="AS179" s="1064">
        <f t="shared" si="30"/>
        <v>31</v>
      </c>
      <c r="AT179" s="1064">
        <f>AS179*('Ввод исходных данных'!$D$83-AQ179)</f>
        <v>833.9</v>
      </c>
      <c r="AU179" s="1070">
        <v>4.5999999999999996</v>
      </c>
      <c r="AV179" s="1070"/>
      <c r="AW179" s="1070">
        <f t="shared" si="31"/>
        <v>30</v>
      </c>
      <c r="AX179" s="1070">
        <f>AW179*('Ввод исходных данных'!$D$83-AU179)</f>
        <v>462</v>
      </c>
      <c r="AY179" s="1071">
        <v>12.5</v>
      </c>
      <c r="AZ179" s="1071"/>
      <c r="BA179" s="1071">
        <f t="shared" si="32"/>
        <v>0</v>
      </c>
      <c r="BB179" s="1071">
        <f>BA179*('Ввод исходных данных'!$D$83-AY179)</f>
        <v>0</v>
      </c>
      <c r="BC179" s="1072">
        <v>17.8</v>
      </c>
      <c r="BD179" s="1072"/>
      <c r="BE179" s="1072">
        <f t="shared" si="24"/>
        <v>0</v>
      </c>
      <c r="BF179" s="1073">
        <f>BE179*('Ввод исходных данных'!$D$83-BC179)</f>
        <v>0</v>
      </c>
    </row>
    <row r="180" spans="2:58" ht="15.75" customHeight="1" x14ac:dyDescent="0.25">
      <c r="B180" s="1076" t="s">
        <v>49</v>
      </c>
      <c r="C180" s="1076" t="s">
        <v>184</v>
      </c>
      <c r="D180" s="1053" t="str">
        <f t="shared" si="22"/>
        <v>Курская областьКурск</v>
      </c>
      <c r="E180" s="1054">
        <v>194</v>
      </c>
      <c r="F180" s="1055">
        <v>-2.2999999999999998</v>
      </c>
      <c r="G180" s="1055">
        <v>-24</v>
      </c>
      <c r="H180" s="1057">
        <v>3.9</v>
      </c>
      <c r="I180" s="1058">
        <f>E180*('Ввод исходных данных'!$D$83-F180)</f>
        <v>4326.2</v>
      </c>
      <c r="J180" s="1059" t="str">
        <f t="shared" si="23"/>
        <v>4000-5000</v>
      </c>
      <c r="K180" s="1060">
        <v>19</v>
      </c>
      <c r="L180" s="1060"/>
      <c r="M180" s="1061">
        <f t="shared" si="25"/>
        <v>0</v>
      </c>
      <c r="N180" s="1062">
        <f>M180*('Ввод исходных данных'!$D$83-K180)</f>
        <v>0</v>
      </c>
      <c r="O180" s="1063">
        <v>18.100000000000001</v>
      </c>
      <c r="P180" s="1063"/>
      <c r="Q180" s="1063">
        <f t="shared" si="26"/>
        <v>0</v>
      </c>
      <c r="R180" s="1063">
        <f>Q180*('Ввод исходных данных'!$D$83-O180)</f>
        <v>0</v>
      </c>
      <c r="S180" s="1064">
        <v>12.5</v>
      </c>
      <c r="T180" s="1064"/>
      <c r="U180" s="1064">
        <f t="shared" si="27"/>
        <v>0</v>
      </c>
      <c r="V180" s="1064">
        <f>U180*('Ввод исходных данных'!$D$83-S180)</f>
        <v>0</v>
      </c>
      <c r="W180" s="1065">
        <v>6.2</v>
      </c>
      <c r="X180" s="1065"/>
      <c r="Y180" s="1065">
        <f t="shared" si="28"/>
        <v>21.5</v>
      </c>
      <c r="Z180" s="1065">
        <f>Y180*('Ввод исходных данных'!$D$83-W180)</f>
        <v>296.7</v>
      </c>
      <c r="AA180" s="1066">
        <v>-0.5</v>
      </c>
      <c r="AB180" s="1066"/>
      <c r="AC180" s="1066">
        <f t="shared" si="29"/>
        <v>30</v>
      </c>
      <c r="AD180" s="1066">
        <f>AC180*('Ввод исходных данных'!$D$83-AA180)</f>
        <v>615</v>
      </c>
      <c r="AE180" s="1067">
        <v>-5.2</v>
      </c>
      <c r="AF180" s="1067"/>
      <c r="AG180" s="1067">
        <v>31</v>
      </c>
      <c r="AH180" s="1067">
        <f>AG180*('Ввод исходных данных'!$D$83-AE180)</f>
        <v>781.19999999999993</v>
      </c>
      <c r="AI180" s="1068">
        <v>-7.3</v>
      </c>
      <c r="AJ180" s="1068"/>
      <c r="AK180" s="1068">
        <v>31</v>
      </c>
      <c r="AL180" s="1068">
        <f>AK180*('Ввод исходных данных'!$D$83-AI180)</f>
        <v>846.30000000000007</v>
      </c>
      <c r="AM180" s="1069">
        <v>-6.9</v>
      </c>
      <c r="AN180" s="1069"/>
      <c r="AO180" s="1069">
        <v>28</v>
      </c>
      <c r="AP180" s="1069">
        <f>AO180*('Ввод исходных данных'!$D$83-AM180)</f>
        <v>753.19999999999993</v>
      </c>
      <c r="AQ180" s="1064">
        <v>-1.4</v>
      </c>
      <c r="AR180" s="1064"/>
      <c r="AS180" s="1064">
        <f t="shared" si="30"/>
        <v>31</v>
      </c>
      <c r="AT180" s="1064">
        <f>AS180*('Ввод исходных данных'!$D$83-AQ180)</f>
        <v>663.4</v>
      </c>
      <c r="AU180" s="1070">
        <v>7.5</v>
      </c>
      <c r="AV180" s="1070"/>
      <c r="AW180" s="1070">
        <f t="shared" si="31"/>
        <v>21.5</v>
      </c>
      <c r="AX180" s="1070">
        <f>AW180*('Ввод исходных данных'!$D$83-AU180)</f>
        <v>268.75</v>
      </c>
      <c r="AY180" s="1071">
        <v>14.2</v>
      </c>
      <c r="AZ180" s="1071"/>
      <c r="BA180" s="1071">
        <f t="shared" si="32"/>
        <v>0</v>
      </c>
      <c r="BB180" s="1071">
        <f>BA180*('Ввод исходных данных'!$D$83-AY180)</f>
        <v>0</v>
      </c>
      <c r="BC180" s="1072">
        <v>17.399999999999999</v>
      </c>
      <c r="BD180" s="1072"/>
      <c r="BE180" s="1072">
        <f t="shared" si="24"/>
        <v>0</v>
      </c>
      <c r="BF180" s="1073">
        <f>BE180*('Ввод исходных данных'!$D$83-BC180)</f>
        <v>0</v>
      </c>
    </row>
    <row r="181" spans="2:58" ht="15.75" customHeight="1" x14ac:dyDescent="0.25">
      <c r="B181" s="1052" t="s">
        <v>185</v>
      </c>
      <c r="C181" s="1052" t="s">
        <v>186</v>
      </c>
      <c r="D181" s="1053" t="str">
        <f t="shared" si="22"/>
        <v>Ленинградская областьСвирица</v>
      </c>
      <c r="E181" s="1054">
        <v>228</v>
      </c>
      <c r="F181" s="1055">
        <v>-2.9</v>
      </c>
      <c r="G181" s="1055">
        <v>-29</v>
      </c>
      <c r="H181" s="1057">
        <v>5.5</v>
      </c>
      <c r="I181" s="1058">
        <f>E181*('Ввод исходных данных'!$D$83-F181)</f>
        <v>5221.2</v>
      </c>
      <c r="J181" s="1059" t="str">
        <f t="shared" si="23"/>
        <v>5000-6000</v>
      </c>
      <c r="K181" s="1060">
        <v>16.600000000000001</v>
      </c>
      <c r="L181" s="1060"/>
      <c r="M181" s="1061">
        <f t="shared" si="25"/>
        <v>0</v>
      </c>
      <c r="N181" s="1062">
        <f>M181*('Ввод исходных данных'!$D$83-K181)</f>
        <v>0</v>
      </c>
      <c r="O181" s="1063">
        <v>14.8</v>
      </c>
      <c r="P181" s="1063"/>
      <c r="Q181" s="1063">
        <f t="shared" si="26"/>
        <v>0</v>
      </c>
      <c r="R181" s="1063">
        <f>Q181*('Ввод исходных данных'!$D$83-O181)</f>
        <v>0</v>
      </c>
      <c r="S181" s="1064">
        <v>9.5</v>
      </c>
      <c r="T181" s="1064"/>
      <c r="U181" s="1064">
        <f t="shared" si="27"/>
        <v>8</v>
      </c>
      <c r="V181" s="1064">
        <f>U181*('Ввод исходных данных'!$D$83-S181)</f>
        <v>84</v>
      </c>
      <c r="W181" s="1065">
        <v>3.6</v>
      </c>
      <c r="X181" s="1065"/>
      <c r="Y181" s="1065">
        <f t="shared" si="28"/>
        <v>31</v>
      </c>
      <c r="Z181" s="1065">
        <f>Y181*('Ввод исходных данных'!$D$83-W181)</f>
        <v>508.4</v>
      </c>
      <c r="AA181" s="1066">
        <v>-1.8</v>
      </c>
      <c r="AB181" s="1066"/>
      <c r="AC181" s="1066">
        <f t="shared" si="29"/>
        <v>30</v>
      </c>
      <c r="AD181" s="1066">
        <f>AC181*('Ввод исходных данных'!$D$83-AA181)</f>
        <v>654</v>
      </c>
      <c r="AE181" s="1067">
        <v>-6.6</v>
      </c>
      <c r="AF181" s="1067"/>
      <c r="AG181" s="1067">
        <v>31</v>
      </c>
      <c r="AH181" s="1067">
        <f>AG181*('Ввод исходных данных'!$D$83-AE181)</f>
        <v>824.6</v>
      </c>
      <c r="AI181" s="1068">
        <v>-10.5</v>
      </c>
      <c r="AJ181" s="1068"/>
      <c r="AK181" s="1068">
        <v>31</v>
      </c>
      <c r="AL181" s="1068">
        <f>AK181*('Ввод исходных данных'!$D$83-AI181)</f>
        <v>945.5</v>
      </c>
      <c r="AM181" s="1069">
        <v>-9.3000000000000007</v>
      </c>
      <c r="AN181" s="1069"/>
      <c r="AO181" s="1069">
        <v>28</v>
      </c>
      <c r="AP181" s="1069">
        <f>AO181*('Ввод исходных данных'!$D$83-AM181)</f>
        <v>820.4</v>
      </c>
      <c r="AQ181" s="1064">
        <v>-4.7</v>
      </c>
      <c r="AR181" s="1064"/>
      <c r="AS181" s="1064">
        <f t="shared" si="30"/>
        <v>31</v>
      </c>
      <c r="AT181" s="1064">
        <f>AS181*('Ввод исходных данных'!$D$83-AQ181)</f>
        <v>765.69999999999993</v>
      </c>
      <c r="AU181" s="1070">
        <v>2.8</v>
      </c>
      <c r="AV181" s="1070"/>
      <c r="AW181" s="1070">
        <f t="shared" si="31"/>
        <v>30</v>
      </c>
      <c r="AX181" s="1070">
        <f>AW181*('Ввод исходных данных'!$D$83-AU181)</f>
        <v>516</v>
      </c>
      <c r="AY181" s="1071">
        <v>9.6999999999999993</v>
      </c>
      <c r="AZ181" s="1071"/>
      <c r="BA181" s="1071">
        <f t="shared" si="32"/>
        <v>8</v>
      </c>
      <c r="BB181" s="1071">
        <f>BA181*('Ввод исходных данных'!$D$83-AY181)</f>
        <v>82.4</v>
      </c>
      <c r="BC181" s="1072">
        <v>14.7</v>
      </c>
      <c r="BD181" s="1072"/>
      <c r="BE181" s="1072">
        <f t="shared" si="24"/>
        <v>0</v>
      </c>
      <c r="BF181" s="1073">
        <f>BE181*('Ввод исходных данных'!$D$83-BC181)</f>
        <v>0</v>
      </c>
    </row>
    <row r="182" spans="2:58" ht="15.75" customHeight="1" x14ac:dyDescent="0.25">
      <c r="B182" s="1076" t="s">
        <v>185</v>
      </c>
      <c r="C182" s="1076" t="s">
        <v>187</v>
      </c>
      <c r="D182" s="1053" t="str">
        <f t="shared" si="22"/>
        <v>Ленинградская областьТихвин</v>
      </c>
      <c r="E182" s="1054">
        <v>223</v>
      </c>
      <c r="F182" s="1055">
        <v>-2.7</v>
      </c>
      <c r="G182" s="1055">
        <v>-29</v>
      </c>
      <c r="H182" s="1057">
        <v>3.3</v>
      </c>
      <c r="I182" s="1058">
        <f>E182*('Ввод исходных данных'!$D$83-F182)</f>
        <v>5062.0999999999995</v>
      </c>
      <c r="J182" s="1059" t="str">
        <f t="shared" si="23"/>
        <v>5000-6000</v>
      </c>
      <c r="K182" s="1060">
        <v>17.2</v>
      </c>
      <c r="L182" s="1060"/>
      <c r="M182" s="1061">
        <f t="shared" si="25"/>
        <v>0</v>
      </c>
      <c r="N182" s="1062">
        <f>M182*('Ввод исходных данных'!$D$83-K182)</f>
        <v>0</v>
      </c>
      <c r="O182" s="1063">
        <v>15</v>
      </c>
      <c r="P182" s="1063"/>
      <c r="Q182" s="1063">
        <f t="shared" si="26"/>
        <v>0</v>
      </c>
      <c r="R182" s="1063">
        <f>Q182*('Ввод исходных данных'!$D$83-O182)</f>
        <v>0</v>
      </c>
      <c r="S182" s="1064">
        <v>9.6999999999999993</v>
      </c>
      <c r="T182" s="1064"/>
      <c r="U182" s="1064">
        <f t="shared" si="27"/>
        <v>5.5</v>
      </c>
      <c r="V182" s="1064">
        <f>U182*('Ввод исходных данных'!$D$83-S182)</f>
        <v>56.650000000000006</v>
      </c>
      <c r="W182" s="1065">
        <v>4</v>
      </c>
      <c r="X182" s="1065"/>
      <c r="Y182" s="1065">
        <f t="shared" si="28"/>
        <v>31</v>
      </c>
      <c r="Z182" s="1065">
        <f>Y182*('Ввод исходных данных'!$D$83-W182)</f>
        <v>496</v>
      </c>
      <c r="AA182" s="1066">
        <v>-1.9</v>
      </c>
      <c r="AB182" s="1066"/>
      <c r="AC182" s="1066">
        <f t="shared" si="29"/>
        <v>30</v>
      </c>
      <c r="AD182" s="1066">
        <f>AC182*('Ввод исходных данных'!$D$83-AA182)</f>
        <v>657</v>
      </c>
      <c r="AE182" s="1067">
        <v>-6.5</v>
      </c>
      <c r="AF182" s="1067"/>
      <c r="AG182" s="1067">
        <v>31</v>
      </c>
      <c r="AH182" s="1067">
        <f>AG182*('Ввод исходных данных'!$D$83-AE182)</f>
        <v>821.5</v>
      </c>
      <c r="AI182" s="1068">
        <v>-9.3000000000000007</v>
      </c>
      <c r="AJ182" s="1068"/>
      <c r="AK182" s="1068">
        <v>31</v>
      </c>
      <c r="AL182" s="1068">
        <f>AK182*('Ввод исходных данных'!$D$83-AI182)</f>
        <v>908.30000000000007</v>
      </c>
      <c r="AM182" s="1069">
        <v>-8.4</v>
      </c>
      <c r="AN182" s="1069"/>
      <c r="AO182" s="1069">
        <v>28</v>
      </c>
      <c r="AP182" s="1069">
        <f>AO182*('Ввод исходных данных'!$D$83-AM182)</f>
        <v>795.19999999999993</v>
      </c>
      <c r="AQ182" s="1064">
        <v>-2.8</v>
      </c>
      <c r="AR182" s="1064"/>
      <c r="AS182" s="1064">
        <f t="shared" si="30"/>
        <v>31</v>
      </c>
      <c r="AT182" s="1064">
        <f>AS182*('Ввод исходных данных'!$D$83-AQ182)</f>
        <v>706.80000000000007</v>
      </c>
      <c r="AU182" s="1070">
        <v>3.7</v>
      </c>
      <c r="AV182" s="1070"/>
      <c r="AW182" s="1070">
        <f t="shared" si="31"/>
        <v>30</v>
      </c>
      <c r="AX182" s="1070">
        <f>AW182*('Ввод исходных данных'!$D$83-AU182)</f>
        <v>489</v>
      </c>
      <c r="AY182" s="1071">
        <v>10.4</v>
      </c>
      <c r="AZ182" s="1071"/>
      <c r="BA182" s="1071">
        <f t="shared" si="32"/>
        <v>5.5</v>
      </c>
      <c r="BB182" s="1071">
        <f>BA182*('Ввод исходных данных'!$D$83-AY182)</f>
        <v>52.8</v>
      </c>
      <c r="BC182" s="1072">
        <v>15.1</v>
      </c>
      <c r="BD182" s="1072"/>
      <c r="BE182" s="1072">
        <f t="shared" si="24"/>
        <v>0</v>
      </c>
      <c r="BF182" s="1073">
        <f>BE182*('Ввод исходных данных'!$D$83-BC182)</f>
        <v>0</v>
      </c>
    </row>
    <row r="183" spans="2:58" ht="15.75" customHeight="1" x14ac:dyDescent="0.25">
      <c r="B183" s="1052" t="s">
        <v>188</v>
      </c>
      <c r="C183" s="1052" t="s">
        <v>189</v>
      </c>
      <c r="D183" s="1053" t="str">
        <f t="shared" si="22"/>
        <v>Липецкая областьЛипецк</v>
      </c>
      <c r="E183" s="1054">
        <v>202</v>
      </c>
      <c r="F183" s="1055">
        <v>-3.4</v>
      </c>
      <c r="G183" s="1055">
        <v>-27</v>
      </c>
      <c r="H183" s="1057">
        <v>5.9</v>
      </c>
      <c r="I183" s="1058">
        <f>E183*('Ввод исходных данных'!$D$83-F183)</f>
        <v>4726.7999999999993</v>
      </c>
      <c r="J183" s="1059" t="str">
        <f t="shared" si="23"/>
        <v>4000-5000</v>
      </c>
      <c r="K183" s="1060">
        <v>20.2</v>
      </c>
      <c r="L183" s="1060"/>
      <c r="M183" s="1061">
        <f t="shared" si="25"/>
        <v>0</v>
      </c>
      <c r="N183" s="1062">
        <f>M183*('Ввод исходных данных'!$D$83-K183)</f>
        <v>0</v>
      </c>
      <c r="O183" s="1063">
        <v>18.5</v>
      </c>
      <c r="P183" s="1063"/>
      <c r="Q183" s="1063">
        <f t="shared" si="26"/>
        <v>0</v>
      </c>
      <c r="R183" s="1063">
        <f>Q183*('Ввод исходных данных'!$D$83-O183)</f>
        <v>0</v>
      </c>
      <c r="S183" s="1064">
        <v>12.5</v>
      </c>
      <c r="T183" s="1064"/>
      <c r="U183" s="1064">
        <f t="shared" si="27"/>
        <v>0</v>
      </c>
      <c r="V183" s="1064">
        <f>U183*('Ввод исходных данных'!$D$83-S183)</f>
        <v>0</v>
      </c>
      <c r="W183" s="1065">
        <v>5.5</v>
      </c>
      <c r="X183" s="1065"/>
      <c r="Y183" s="1065">
        <f t="shared" si="28"/>
        <v>25.5</v>
      </c>
      <c r="Z183" s="1065">
        <f>Y183*('Ввод исходных данных'!$D$83-W183)</f>
        <v>369.75</v>
      </c>
      <c r="AA183" s="1066">
        <v>-1.5</v>
      </c>
      <c r="AB183" s="1066"/>
      <c r="AC183" s="1066">
        <f t="shared" si="29"/>
        <v>30</v>
      </c>
      <c r="AD183" s="1066">
        <f>AC183*('Ввод исходных данных'!$D$83-AA183)</f>
        <v>645</v>
      </c>
      <c r="AE183" s="1067">
        <v>-7.1</v>
      </c>
      <c r="AF183" s="1067"/>
      <c r="AG183" s="1067">
        <v>31</v>
      </c>
      <c r="AH183" s="1067">
        <f>AG183*('Ввод исходных данных'!$D$83-AE183)</f>
        <v>840.1</v>
      </c>
      <c r="AI183" s="1068">
        <v>-10.3</v>
      </c>
      <c r="AJ183" s="1068"/>
      <c r="AK183" s="1068">
        <v>31</v>
      </c>
      <c r="AL183" s="1068">
        <f>AK183*('Ввод исходных данных'!$D$83-AI183)</f>
        <v>939.30000000000007</v>
      </c>
      <c r="AM183" s="1069">
        <v>-9.5</v>
      </c>
      <c r="AN183" s="1069"/>
      <c r="AO183" s="1069">
        <v>28</v>
      </c>
      <c r="AP183" s="1069">
        <f>AO183*('Ввод исходных данных'!$D$83-AM183)</f>
        <v>826</v>
      </c>
      <c r="AQ183" s="1064">
        <v>-4.4000000000000004</v>
      </c>
      <c r="AR183" s="1064"/>
      <c r="AS183" s="1064">
        <f t="shared" si="30"/>
        <v>31</v>
      </c>
      <c r="AT183" s="1064">
        <f>AS183*('Ввод исходных данных'!$D$83-AQ183)</f>
        <v>756.4</v>
      </c>
      <c r="AU183" s="1070">
        <v>5.5</v>
      </c>
      <c r="AV183" s="1070"/>
      <c r="AW183" s="1070">
        <f t="shared" si="31"/>
        <v>25.5</v>
      </c>
      <c r="AX183" s="1070">
        <f>AW183*('Ввод исходных данных'!$D$83-AU183)</f>
        <v>369.75</v>
      </c>
      <c r="AY183" s="1071">
        <v>13.8</v>
      </c>
      <c r="AZ183" s="1071"/>
      <c r="BA183" s="1071">
        <f t="shared" si="32"/>
        <v>0</v>
      </c>
      <c r="BB183" s="1071">
        <f>BA183*('Ввод исходных данных'!$D$83-AY183)</f>
        <v>0</v>
      </c>
      <c r="BC183" s="1072">
        <v>18</v>
      </c>
      <c r="BD183" s="1072"/>
      <c r="BE183" s="1072">
        <f t="shared" si="24"/>
        <v>0</v>
      </c>
      <c r="BF183" s="1073">
        <f>BE183*('Ввод исходных данных'!$D$83-BC183)</f>
        <v>0</v>
      </c>
    </row>
    <row r="184" spans="2:58" ht="15.75" customHeight="1" x14ac:dyDescent="0.25">
      <c r="B184" s="1076" t="s">
        <v>190</v>
      </c>
      <c r="C184" s="1076" t="s">
        <v>191</v>
      </c>
      <c r="D184" s="1053" t="str">
        <f t="shared" si="22"/>
        <v>Магаданская областьАркагала</v>
      </c>
      <c r="E184" s="1054">
        <v>289</v>
      </c>
      <c r="F184" s="1055">
        <v>-19</v>
      </c>
      <c r="G184" s="1055">
        <v>-51</v>
      </c>
      <c r="H184" s="1057">
        <v>6.4</v>
      </c>
      <c r="I184" s="1058">
        <f>E184*('Ввод исходных данных'!$D$83-F184)</f>
        <v>11271</v>
      </c>
      <c r="J184" s="1059" t="str">
        <f t="shared" si="23"/>
        <v>11000-12000</v>
      </c>
      <c r="K184" s="1060">
        <v>11.9</v>
      </c>
      <c r="L184" s="1060"/>
      <c r="M184" s="1061">
        <f t="shared" si="25"/>
        <v>0</v>
      </c>
      <c r="N184" s="1062">
        <f>M184*('Ввод исходных данных'!$D$83-K184)</f>
        <v>0</v>
      </c>
      <c r="O184" s="1063">
        <v>12.2</v>
      </c>
      <c r="P184" s="1063"/>
      <c r="Q184" s="1063">
        <f t="shared" si="26"/>
        <v>8</v>
      </c>
      <c r="R184" s="1063">
        <f>Q184*('Ввод исходных данных'!$D$83-O184)</f>
        <v>62.400000000000006</v>
      </c>
      <c r="S184" s="1064">
        <v>7.8</v>
      </c>
      <c r="T184" s="1064"/>
      <c r="U184" s="1064">
        <f t="shared" si="27"/>
        <v>30</v>
      </c>
      <c r="V184" s="1064">
        <f>U184*('Ввод исходных данных'!$D$83-S184)</f>
        <v>366</v>
      </c>
      <c r="W184" s="1065">
        <v>-1.1000000000000001</v>
      </c>
      <c r="X184" s="1065"/>
      <c r="Y184" s="1065">
        <f t="shared" si="28"/>
        <v>31</v>
      </c>
      <c r="Z184" s="1065">
        <f>Y184*('Ввод исходных данных'!$D$83-W184)</f>
        <v>654.1</v>
      </c>
      <c r="AA184" s="1066">
        <v>-10.7</v>
      </c>
      <c r="AB184" s="1066"/>
      <c r="AC184" s="1066">
        <f t="shared" si="29"/>
        <v>30</v>
      </c>
      <c r="AD184" s="1066">
        <f>AC184*('Ввод исходных данных'!$D$83-AA184)</f>
        <v>921</v>
      </c>
      <c r="AE184" s="1067">
        <v>-15.8</v>
      </c>
      <c r="AF184" s="1067"/>
      <c r="AG184" s="1067">
        <v>31</v>
      </c>
      <c r="AH184" s="1067">
        <f>AG184*('Ввод исходных данных'!$D$83-AE184)</f>
        <v>1109.8</v>
      </c>
      <c r="AI184" s="1068">
        <v>-19.600000000000001</v>
      </c>
      <c r="AJ184" s="1068"/>
      <c r="AK184" s="1068">
        <v>31</v>
      </c>
      <c r="AL184" s="1068">
        <f>AK184*('Ввод исходных данных'!$D$83-AI184)</f>
        <v>1227.6000000000001</v>
      </c>
      <c r="AM184" s="1069">
        <v>-19.2</v>
      </c>
      <c r="AN184" s="1069"/>
      <c r="AO184" s="1069">
        <v>28</v>
      </c>
      <c r="AP184" s="1069">
        <f>AO184*('Ввод исходных данных'!$D$83-AM184)</f>
        <v>1097.6000000000001</v>
      </c>
      <c r="AQ184" s="1064">
        <v>-16.7</v>
      </c>
      <c r="AR184" s="1064"/>
      <c r="AS184" s="1064">
        <f t="shared" si="30"/>
        <v>31</v>
      </c>
      <c r="AT184" s="1064">
        <f>AS184*('Ввод исходных данных'!$D$83-AQ184)</f>
        <v>1137.7</v>
      </c>
      <c r="AU184" s="1070">
        <v>-8.6999999999999993</v>
      </c>
      <c r="AV184" s="1070"/>
      <c r="AW184" s="1070">
        <f t="shared" si="31"/>
        <v>30</v>
      </c>
      <c r="AX184" s="1070">
        <f>AW184*('Ввод исходных данных'!$D$83-AU184)</f>
        <v>861</v>
      </c>
      <c r="AY184" s="1071">
        <v>-0.5</v>
      </c>
      <c r="AZ184" s="1071"/>
      <c r="BA184" s="1071">
        <f t="shared" si="32"/>
        <v>31</v>
      </c>
      <c r="BB184" s="1071">
        <f>BA184*('Ввод исходных данных'!$D$83-AY184)</f>
        <v>635.5</v>
      </c>
      <c r="BC184" s="1072">
        <v>5.8</v>
      </c>
      <c r="BD184" s="1072"/>
      <c r="BE184" s="1072">
        <f t="shared" si="24"/>
        <v>8</v>
      </c>
      <c r="BF184" s="1073">
        <f>BE184*('Ввод исходных данных'!$D$83-BC184)</f>
        <v>113.6</v>
      </c>
    </row>
    <row r="185" spans="2:58" ht="15.75" customHeight="1" x14ac:dyDescent="0.25">
      <c r="B185" s="1052" t="s">
        <v>190</v>
      </c>
      <c r="C185" s="1052" t="s">
        <v>192</v>
      </c>
      <c r="D185" s="1053" t="str">
        <f t="shared" si="22"/>
        <v>Магаданская областьБрохово</v>
      </c>
      <c r="E185" s="1054">
        <v>278</v>
      </c>
      <c r="F185" s="1055">
        <v>-9.3000000000000007</v>
      </c>
      <c r="G185" s="1055">
        <v>-35</v>
      </c>
      <c r="H185" s="1057">
        <v>9.8000000000000007</v>
      </c>
      <c r="I185" s="1058">
        <f>E185*('Ввод исходных данных'!$D$83-F185)</f>
        <v>8145.4000000000005</v>
      </c>
      <c r="J185" s="1059" t="str">
        <f t="shared" si="23"/>
        <v>8000-9000</v>
      </c>
      <c r="K185" s="1060">
        <v>12.1</v>
      </c>
      <c r="L185" s="1060"/>
      <c r="M185" s="1061">
        <f t="shared" si="25"/>
        <v>0</v>
      </c>
      <c r="N185" s="1062">
        <f>M185*('Ввод исходных данных'!$D$83-K185)</f>
        <v>0</v>
      </c>
      <c r="O185" s="1063">
        <v>12.3</v>
      </c>
      <c r="P185" s="1063"/>
      <c r="Q185" s="1063">
        <f t="shared" si="26"/>
        <v>2.5</v>
      </c>
      <c r="R185" s="1063">
        <f>Q185*('Ввод исходных данных'!$D$83-O185)</f>
        <v>19.25</v>
      </c>
      <c r="S185" s="1064">
        <v>7.9</v>
      </c>
      <c r="T185" s="1064"/>
      <c r="U185" s="1064">
        <f t="shared" si="27"/>
        <v>30</v>
      </c>
      <c r="V185" s="1064">
        <f>U185*('Ввод исходных данных'!$D$83-S185)</f>
        <v>363</v>
      </c>
      <c r="W185" s="1065">
        <v>-0.4</v>
      </c>
      <c r="X185" s="1065"/>
      <c r="Y185" s="1065">
        <f t="shared" si="28"/>
        <v>31</v>
      </c>
      <c r="Z185" s="1065">
        <f>Y185*('Ввод исходных данных'!$D$83-W185)</f>
        <v>632.4</v>
      </c>
      <c r="AA185" s="1066">
        <v>-10.199999999999999</v>
      </c>
      <c r="AB185" s="1066"/>
      <c r="AC185" s="1066">
        <f t="shared" si="29"/>
        <v>30</v>
      </c>
      <c r="AD185" s="1066">
        <f>AC185*('Ввод исходных данных'!$D$83-AA185)</f>
        <v>906</v>
      </c>
      <c r="AE185" s="1067">
        <v>-16.3</v>
      </c>
      <c r="AF185" s="1067"/>
      <c r="AG185" s="1067">
        <v>31</v>
      </c>
      <c r="AH185" s="1067">
        <f>AG185*('Ввод исходных данных'!$D$83-AE185)</f>
        <v>1125.3</v>
      </c>
      <c r="AI185" s="1068">
        <v>-19.7</v>
      </c>
      <c r="AJ185" s="1068"/>
      <c r="AK185" s="1068">
        <v>31</v>
      </c>
      <c r="AL185" s="1068">
        <f>AK185*('Ввод исходных данных'!$D$83-AI185)</f>
        <v>1230.7</v>
      </c>
      <c r="AM185" s="1069">
        <v>-19.5</v>
      </c>
      <c r="AN185" s="1069"/>
      <c r="AO185" s="1069">
        <v>28</v>
      </c>
      <c r="AP185" s="1069">
        <f>AO185*('Ввод исходных данных'!$D$83-AM185)</f>
        <v>1106</v>
      </c>
      <c r="AQ185" s="1064">
        <v>-15.5</v>
      </c>
      <c r="AR185" s="1064"/>
      <c r="AS185" s="1064">
        <f t="shared" si="30"/>
        <v>31</v>
      </c>
      <c r="AT185" s="1064">
        <f>AS185*('Ввод исходных данных'!$D$83-AQ185)</f>
        <v>1100.5</v>
      </c>
      <c r="AU185" s="1070">
        <v>-8</v>
      </c>
      <c r="AV185" s="1070"/>
      <c r="AW185" s="1070">
        <f t="shared" si="31"/>
        <v>30</v>
      </c>
      <c r="AX185" s="1070">
        <f>AW185*('Ввод исходных данных'!$D$83-AU185)</f>
        <v>840</v>
      </c>
      <c r="AY185" s="1071">
        <v>0</v>
      </c>
      <c r="AZ185" s="1071"/>
      <c r="BA185" s="1071">
        <f t="shared" si="32"/>
        <v>31</v>
      </c>
      <c r="BB185" s="1071">
        <f>BA185*('Ввод исходных данных'!$D$83-AY185)</f>
        <v>620</v>
      </c>
      <c r="BC185" s="1072">
        <v>6.9</v>
      </c>
      <c r="BD185" s="1072"/>
      <c r="BE185" s="1072">
        <f t="shared" si="24"/>
        <v>2.5</v>
      </c>
      <c r="BF185" s="1073">
        <f>BE185*('Ввод исходных данных'!$D$83-BC185)</f>
        <v>32.75</v>
      </c>
    </row>
    <row r="186" spans="2:58" ht="15.75" customHeight="1" x14ac:dyDescent="0.25">
      <c r="B186" s="1076" t="s">
        <v>190</v>
      </c>
      <c r="C186" s="1076" t="s">
        <v>666</v>
      </c>
      <c r="D186" s="1053" t="str">
        <f t="shared" si="22"/>
        <v>Магаданская областьМагадан (Нагаева, бухта)</v>
      </c>
      <c r="E186" s="1054">
        <v>279</v>
      </c>
      <c r="F186" s="1055">
        <v>-7.5</v>
      </c>
      <c r="G186" s="1055">
        <v>-29</v>
      </c>
      <c r="H186" s="1057">
        <v>4.5999999999999996</v>
      </c>
      <c r="I186" s="1058">
        <f>E186*('Ввод исходных данных'!$D$83-F186)</f>
        <v>7672.5</v>
      </c>
      <c r="J186" s="1059" t="str">
        <f t="shared" si="23"/>
        <v>7000-8000</v>
      </c>
      <c r="K186" s="1060">
        <v>11.5</v>
      </c>
      <c r="L186" s="1060"/>
      <c r="M186" s="1061">
        <f t="shared" si="25"/>
        <v>0</v>
      </c>
      <c r="N186" s="1062">
        <f>M186*('Ввод исходных данных'!$D$83-K186)</f>
        <v>0</v>
      </c>
      <c r="O186" s="1063">
        <v>11.9</v>
      </c>
      <c r="P186" s="1063"/>
      <c r="Q186" s="1063">
        <f t="shared" si="26"/>
        <v>3</v>
      </c>
      <c r="R186" s="1063">
        <f>Q186*('Ввод исходных данных'!$D$83-O186)</f>
        <v>24.299999999999997</v>
      </c>
      <c r="S186" s="1064">
        <v>7.3</v>
      </c>
      <c r="T186" s="1064"/>
      <c r="U186" s="1064">
        <f t="shared" si="27"/>
        <v>30</v>
      </c>
      <c r="V186" s="1064">
        <f>U186*('Ввод исходных данных'!$D$83-S186)</f>
        <v>381</v>
      </c>
      <c r="W186" s="1065">
        <v>-1.3</v>
      </c>
      <c r="X186" s="1065"/>
      <c r="Y186" s="1065">
        <f t="shared" si="28"/>
        <v>31</v>
      </c>
      <c r="Z186" s="1065">
        <f>Y186*('Ввод исходных данных'!$D$83-W186)</f>
        <v>660.30000000000007</v>
      </c>
      <c r="AA186" s="1066">
        <v>-10.5</v>
      </c>
      <c r="AB186" s="1066"/>
      <c r="AC186" s="1066">
        <f t="shared" si="29"/>
        <v>30</v>
      </c>
      <c r="AD186" s="1066">
        <f>AC186*('Ввод исходных данных'!$D$83-AA186)</f>
        <v>915</v>
      </c>
      <c r="AE186" s="1067">
        <v>-15</v>
      </c>
      <c r="AF186" s="1067"/>
      <c r="AG186" s="1067">
        <v>31</v>
      </c>
      <c r="AH186" s="1067">
        <f>AG186*('Ввод исходных данных'!$D$83-AE186)</f>
        <v>1085</v>
      </c>
      <c r="AI186" s="1068">
        <v>-16.7</v>
      </c>
      <c r="AJ186" s="1068"/>
      <c r="AK186" s="1068">
        <v>31</v>
      </c>
      <c r="AL186" s="1068">
        <f>AK186*('Ввод исходных данных'!$D$83-AI186)</f>
        <v>1137.7</v>
      </c>
      <c r="AM186" s="1069">
        <v>-15.6</v>
      </c>
      <c r="AN186" s="1069"/>
      <c r="AO186" s="1069">
        <v>28</v>
      </c>
      <c r="AP186" s="1069">
        <f>AO186*('Ввод исходных данных'!$D$83-AM186)</f>
        <v>996.80000000000007</v>
      </c>
      <c r="AQ186" s="1064">
        <v>-11.5</v>
      </c>
      <c r="AR186" s="1064"/>
      <c r="AS186" s="1064">
        <f t="shared" si="30"/>
        <v>31</v>
      </c>
      <c r="AT186" s="1064">
        <f>AS186*('Ввод исходных данных'!$D$83-AQ186)</f>
        <v>976.5</v>
      </c>
      <c r="AU186" s="1070">
        <v>-4.9000000000000004</v>
      </c>
      <c r="AV186" s="1070"/>
      <c r="AW186" s="1070">
        <f t="shared" si="31"/>
        <v>30</v>
      </c>
      <c r="AX186" s="1070">
        <f>AW186*('Ввод исходных данных'!$D$83-AU186)</f>
        <v>747</v>
      </c>
      <c r="AY186" s="1071">
        <v>1.5</v>
      </c>
      <c r="AZ186" s="1071"/>
      <c r="BA186" s="1071">
        <f t="shared" si="32"/>
        <v>31</v>
      </c>
      <c r="BB186" s="1071">
        <f>BA186*('Ввод исходных данных'!$D$83-AY186)</f>
        <v>573.5</v>
      </c>
      <c r="BC186" s="1072">
        <v>7.4</v>
      </c>
      <c r="BD186" s="1072"/>
      <c r="BE186" s="1072">
        <f t="shared" si="24"/>
        <v>3</v>
      </c>
      <c r="BF186" s="1073">
        <f>BE186*('Ввод исходных данных'!$D$83-BC186)</f>
        <v>37.799999999999997</v>
      </c>
    </row>
    <row r="187" spans="2:58" ht="15.75" customHeight="1" x14ac:dyDescent="0.25">
      <c r="B187" s="1052" t="s">
        <v>190</v>
      </c>
      <c r="C187" s="1052" t="s">
        <v>193</v>
      </c>
      <c r="D187" s="1053" t="str">
        <f t="shared" si="22"/>
        <v>Магаданская областьОмсукчан</v>
      </c>
      <c r="E187" s="1054">
        <v>286</v>
      </c>
      <c r="F187" s="1055">
        <v>-17.2</v>
      </c>
      <c r="G187" s="1055">
        <v>-50</v>
      </c>
      <c r="H187" s="1057">
        <v>6.9</v>
      </c>
      <c r="I187" s="1058">
        <f>E187*('Ввод исходных данных'!$D$83-F187)</f>
        <v>10639.2</v>
      </c>
      <c r="J187" s="1059" t="str">
        <f t="shared" si="23"/>
        <v>10000-11000</v>
      </c>
      <c r="K187" s="1060">
        <v>13.2</v>
      </c>
      <c r="L187" s="1060"/>
      <c r="M187" s="1061">
        <f t="shared" si="25"/>
        <v>0</v>
      </c>
      <c r="N187" s="1062">
        <f>M187*('Ввод исходных данных'!$D$83-K187)</f>
        <v>0</v>
      </c>
      <c r="O187" s="1063">
        <v>10.6</v>
      </c>
      <c r="P187" s="1063"/>
      <c r="Q187" s="1063">
        <f t="shared" si="26"/>
        <v>6.5</v>
      </c>
      <c r="R187" s="1063">
        <f>Q187*('Ввод исходных данных'!$D$83-O187)</f>
        <v>61.1</v>
      </c>
      <c r="S187" s="1064">
        <v>3.1</v>
      </c>
      <c r="T187" s="1064"/>
      <c r="U187" s="1064">
        <f t="shared" si="27"/>
        <v>30</v>
      </c>
      <c r="V187" s="1064">
        <f>U187*('Ввод исходных данных'!$D$83-S187)</f>
        <v>506.99999999999994</v>
      </c>
      <c r="W187" s="1065">
        <v>-11.3</v>
      </c>
      <c r="X187" s="1065"/>
      <c r="Y187" s="1065">
        <f t="shared" si="28"/>
        <v>31</v>
      </c>
      <c r="Z187" s="1065">
        <f>Y187*('Ввод исходных данных'!$D$83-W187)</f>
        <v>970.30000000000007</v>
      </c>
      <c r="AA187" s="1066">
        <v>-26.5</v>
      </c>
      <c r="AB187" s="1066"/>
      <c r="AC187" s="1066">
        <f t="shared" si="29"/>
        <v>30</v>
      </c>
      <c r="AD187" s="1066">
        <f>AC187*('Ввод исходных данных'!$D$83-AA187)</f>
        <v>1395</v>
      </c>
      <c r="AE187" s="1067">
        <v>-32.5</v>
      </c>
      <c r="AF187" s="1067"/>
      <c r="AG187" s="1067">
        <v>31</v>
      </c>
      <c r="AH187" s="1067">
        <f>AG187*('Ввод исходных данных'!$D$83-AE187)</f>
        <v>1627.5</v>
      </c>
      <c r="AI187" s="1068">
        <v>-33.4</v>
      </c>
      <c r="AJ187" s="1068"/>
      <c r="AK187" s="1068">
        <v>31</v>
      </c>
      <c r="AL187" s="1068">
        <f>AK187*('Ввод исходных данных'!$D$83-AI187)</f>
        <v>1655.3999999999999</v>
      </c>
      <c r="AM187" s="1069">
        <v>-31</v>
      </c>
      <c r="AN187" s="1069"/>
      <c r="AO187" s="1069">
        <v>28</v>
      </c>
      <c r="AP187" s="1069">
        <f>AO187*('Ввод исходных данных'!$D$83-AM187)</f>
        <v>1428</v>
      </c>
      <c r="AQ187" s="1064">
        <v>-24.3</v>
      </c>
      <c r="AR187" s="1064"/>
      <c r="AS187" s="1064">
        <f t="shared" si="30"/>
        <v>31</v>
      </c>
      <c r="AT187" s="1064">
        <f>AS187*('Ввод исходных данных'!$D$83-AQ187)</f>
        <v>1373.3</v>
      </c>
      <c r="AU187" s="1070">
        <v>-12.4</v>
      </c>
      <c r="AV187" s="1070"/>
      <c r="AW187" s="1070">
        <f t="shared" si="31"/>
        <v>30</v>
      </c>
      <c r="AX187" s="1070">
        <f>AW187*('Ввод исходных данных'!$D$83-AU187)</f>
        <v>972</v>
      </c>
      <c r="AY187" s="1071">
        <v>0.8</v>
      </c>
      <c r="AZ187" s="1071"/>
      <c r="BA187" s="1071">
        <f t="shared" si="32"/>
        <v>31</v>
      </c>
      <c r="BB187" s="1071">
        <f>BA187*('Ввод исходных данных'!$D$83-AY187)</f>
        <v>595.19999999999993</v>
      </c>
      <c r="BC187" s="1072">
        <v>10.1</v>
      </c>
      <c r="BD187" s="1072"/>
      <c r="BE187" s="1072">
        <f t="shared" si="24"/>
        <v>6.5</v>
      </c>
      <c r="BF187" s="1073">
        <f>BE187*('Ввод исходных данных'!$D$83-BC187)</f>
        <v>64.350000000000009</v>
      </c>
    </row>
    <row r="188" spans="2:58" ht="15.75" customHeight="1" x14ac:dyDescent="0.25">
      <c r="B188" s="1076" t="s">
        <v>190</v>
      </c>
      <c r="C188" s="1076" t="s">
        <v>194</v>
      </c>
      <c r="D188" s="1053" t="str">
        <f t="shared" si="22"/>
        <v>Магаданская областьПалатка</v>
      </c>
      <c r="E188" s="1054">
        <v>280</v>
      </c>
      <c r="F188" s="1055">
        <v>-10.7</v>
      </c>
      <c r="G188" s="1055">
        <v>-38</v>
      </c>
      <c r="H188" s="1057">
        <v>7.6</v>
      </c>
      <c r="I188" s="1058">
        <f>E188*('Ввод исходных данных'!$D$83-F188)</f>
        <v>8596</v>
      </c>
      <c r="J188" s="1059" t="str">
        <f t="shared" si="23"/>
        <v>8000-9000</v>
      </c>
      <c r="K188" s="1060">
        <v>12.8</v>
      </c>
      <c r="L188" s="1060"/>
      <c r="M188" s="1061">
        <f t="shared" si="25"/>
        <v>0</v>
      </c>
      <c r="N188" s="1062">
        <f>M188*('Ввод исходных данных'!$D$83-K188)</f>
        <v>0</v>
      </c>
      <c r="O188" s="1063">
        <v>11.6</v>
      </c>
      <c r="P188" s="1063"/>
      <c r="Q188" s="1063">
        <f t="shared" si="26"/>
        <v>3.5</v>
      </c>
      <c r="R188" s="1063">
        <f>Q188*('Ввод исходных данных'!$D$83-O188)</f>
        <v>29.400000000000002</v>
      </c>
      <c r="S188" s="1064">
        <v>5.2</v>
      </c>
      <c r="T188" s="1064"/>
      <c r="U188" s="1064">
        <f t="shared" si="27"/>
        <v>30</v>
      </c>
      <c r="V188" s="1064">
        <f>U188*('Ввод исходных данных'!$D$83-S188)</f>
        <v>444</v>
      </c>
      <c r="W188" s="1065">
        <v>-6.7</v>
      </c>
      <c r="X188" s="1065"/>
      <c r="Y188" s="1065">
        <f t="shared" si="28"/>
        <v>31</v>
      </c>
      <c r="Z188" s="1065">
        <f>Y188*('Ввод исходных данных'!$D$83-W188)</f>
        <v>827.69999999999993</v>
      </c>
      <c r="AA188" s="1066">
        <v>-16.7</v>
      </c>
      <c r="AB188" s="1066"/>
      <c r="AC188" s="1066">
        <f t="shared" si="29"/>
        <v>30</v>
      </c>
      <c r="AD188" s="1066">
        <f>AC188*('Ввод исходных данных'!$D$83-AA188)</f>
        <v>1101</v>
      </c>
      <c r="AE188" s="1067">
        <v>-20.3</v>
      </c>
      <c r="AF188" s="1067"/>
      <c r="AG188" s="1067">
        <v>31</v>
      </c>
      <c r="AH188" s="1067">
        <f>AG188*('Ввод исходных данных'!$D$83-AE188)</f>
        <v>1249.3</v>
      </c>
      <c r="AI188" s="1068">
        <v>-22.1</v>
      </c>
      <c r="AJ188" s="1068"/>
      <c r="AK188" s="1068">
        <v>31</v>
      </c>
      <c r="AL188" s="1068">
        <f>AK188*('Ввод исходных данных'!$D$83-AI188)</f>
        <v>1305.1000000000001</v>
      </c>
      <c r="AM188" s="1069">
        <v>-20.2</v>
      </c>
      <c r="AN188" s="1069"/>
      <c r="AO188" s="1069">
        <v>28</v>
      </c>
      <c r="AP188" s="1069">
        <f>AO188*('Ввод исходных данных'!$D$83-AM188)</f>
        <v>1125.6000000000001</v>
      </c>
      <c r="AQ188" s="1064">
        <v>-16.3</v>
      </c>
      <c r="AR188" s="1064"/>
      <c r="AS188" s="1064">
        <f t="shared" si="30"/>
        <v>31</v>
      </c>
      <c r="AT188" s="1064">
        <f>AS188*('Ввод исходных данных'!$D$83-AQ188)</f>
        <v>1125.3</v>
      </c>
      <c r="AU188" s="1070">
        <v>-7.7</v>
      </c>
      <c r="AV188" s="1070"/>
      <c r="AW188" s="1070">
        <f t="shared" si="31"/>
        <v>30</v>
      </c>
      <c r="AX188" s="1070">
        <f>AW188*('Ввод исходных данных'!$D$83-AU188)</f>
        <v>831</v>
      </c>
      <c r="AY188" s="1071">
        <v>2.2999999999999998</v>
      </c>
      <c r="AZ188" s="1071"/>
      <c r="BA188" s="1071">
        <f t="shared" si="32"/>
        <v>31</v>
      </c>
      <c r="BB188" s="1071">
        <f>BA188*('Ввод исходных данных'!$D$83-AY188)</f>
        <v>548.69999999999993</v>
      </c>
      <c r="BC188" s="1072">
        <v>9.4</v>
      </c>
      <c r="BD188" s="1072"/>
      <c r="BE188" s="1072">
        <f t="shared" si="24"/>
        <v>3.5</v>
      </c>
      <c r="BF188" s="1073">
        <f>BE188*('Ввод исходных данных'!$D$83-BC188)</f>
        <v>37.1</v>
      </c>
    </row>
    <row r="189" spans="2:58" ht="15.75" customHeight="1" x14ac:dyDescent="0.25">
      <c r="B189" s="1052" t="s">
        <v>190</v>
      </c>
      <c r="C189" s="1052" t="s">
        <v>195</v>
      </c>
      <c r="D189" s="1053" t="str">
        <f t="shared" si="22"/>
        <v>Магаданская областьСреднекан</v>
      </c>
      <c r="E189" s="1054">
        <v>274</v>
      </c>
      <c r="F189" s="1055">
        <v>-19.3</v>
      </c>
      <c r="G189" s="1055">
        <v>-52</v>
      </c>
      <c r="H189" s="1057">
        <v>2</v>
      </c>
      <c r="I189" s="1058">
        <f>E189*('Ввод исходных данных'!$D$83-F189)</f>
        <v>10768.199999999999</v>
      </c>
      <c r="J189" s="1059" t="str">
        <f t="shared" si="23"/>
        <v>10000-11000</v>
      </c>
      <c r="K189" s="1060">
        <v>15.1</v>
      </c>
      <c r="L189" s="1060"/>
      <c r="M189" s="1061">
        <f t="shared" si="25"/>
        <v>0</v>
      </c>
      <c r="N189" s="1062">
        <f>M189*('Ввод исходных данных'!$D$83-K189)</f>
        <v>0</v>
      </c>
      <c r="O189" s="1063">
        <v>11.9</v>
      </c>
      <c r="P189" s="1063"/>
      <c r="Q189" s="1063">
        <f t="shared" si="26"/>
        <v>0.5</v>
      </c>
      <c r="R189" s="1063">
        <f>Q189*('Ввод исходных данных'!$D$83-O189)</f>
        <v>4.05</v>
      </c>
      <c r="S189" s="1064">
        <v>4</v>
      </c>
      <c r="T189" s="1064"/>
      <c r="U189" s="1064">
        <f t="shared" si="27"/>
        <v>30</v>
      </c>
      <c r="V189" s="1064">
        <f>U189*('Ввод исходных данных'!$D$83-S189)</f>
        <v>480</v>
      </c>
      <c r="W189" s="1065">
        <v>-11.3</v>
      </c>
      <c r="X189" s="1065"/>
      <c r="Y189" s="1065">
        <f t="shared" si="28"/>
        <v>31</v>
      </c>
      <c r="Z189" s="1065">
        <f>Y189*('Ввод исходных данных'!$D$83-W189)</f>
        <v>970.30000000000007</v>
      </c>
      <c r="AA189" s="1066">
        <v>-28.6</v>
      </c>
      <c r="AB189" s="1066"/>
      <c r="AC189" s="1066">
        <f t="shared" si="29"/>
        <v>30</v>
      </c>
      <c r="AD189" s="1066">
        <f>AC189*('Ввод исходных данных'!$D$83-AA189)</f>
        <v>1458</v>
      </c>
      <c r="AE189" s="1067">
        <v>-35.799999999999997</v>
      </c>
      <c r="AF189" s="1067"/>
      <c r="AG189" s="1067">
        <v>31</v>
      </c>
      <c r="AH189" s="1067">
        <f>AG189*('Ввод исходных данных'!$D$83-AE189)</f>
        <v>1729.8</v>
      </c>
      <c r="AI189" s="1068">
        <v>-36.6</v>
      </c>
      <c r="AJ189" s="1068"/>
      <c r="AK189" s="1068">
        <v>31</v>
      </c>
      <c r="AL189" s="1068">
        <f>AK189*('Ввод исходных данных'!$D$83-AI189)</f>
        <v>1754.6000000000001</v>
      </c>
      <c r="AM189" s="1069">
        <v>-33.4</v>
      </c>
      <c r="AN189" s="1069"/>
      <c r="AO189" s="1069">
        <v>28</v>
      </c>
      <c r="AP189" s="1069">
        <f>AO189*('Ввод исходных данных'!$D$83-AM189)</f>
        <v>1495.2</v>
      </c>
      <c r="AQ189" s="1064">
        <v>-25.8</v>
      </c>
      <c r="AR189" s="1064"/>
      <c r="AS189" s="1064">
        <f t="shared" si="30"/>
        <v>31</v>
      </c>
      <c r="AT189" s="1064">
        <f>AS189*('Ввод исходных данных'!$D$83-AQ189)</f>
        <v>1419.8</v>
      </c>
      <c r="AU189" s="1070">
        <v>-12</v>
      </c>
      <c r="AV189" s="1070"/>
      <c r="AW189" s="1070">
        <f t="shared" si="31"/>
        <v>30</v>
      </c>
      <c r="AX189" s="1070">
        <f>AW189*('Ввод исходных данных'!$D$83-AU189)</f>
        <v>960</v>
      </c>
      <c r="AY189" s="1071">
        <v>2.8</v>
      </c>
      <c r="AZ189" s="1071"/>
      <c r="BA189" s="1071">
        <f t="shared" si="32"/>
        <v>31</v>
      </c>
      <c r="BB189" s="1071">
        <f>BA189*('Ввод исходных данных'!$D$83-AY189)</f>
        <v>533.19999999999993</v>
      </c>
      <c r="BC189" s="1072">
        <v>13</v>
      </c>
      <c r="BD189" s="1072"/>
      <c r="BE189" s="1072">
        <f t="shared" si="24"/>
        <v>0.5</v>
      </c>
      <c r="BF189" s="1073">
        <f>BE189*('Ввод исходных данных'!$D$83-BC189)</f>
        <v>3.5</v>
      </c>
    </row>
    <row r="190" spans="2:58" ht="15.75" customHeight="1" x14ac:dyDescent="0.25">
      <c r="B190" s="1076" t="s">
        <v>190</v>
      </c>
      <c r="C190" s="1076" t="s">
        <v>196</v>
      </c>
      <c r="D190" s="1053" t="str">
        <f t="shared" si="22"/>
        <v>Магаданская областьСусуман</v>
      </c>
      <c r="E190" s="1054">
        <v>274</v>
      </c>
      <c r="F190" s="1055">
        <v>-20.8</v>
      </c>
      <c r="G190" s="1055">
        <v>-54</v>
      </c>
      <c r="H190" s="1057">
        <v>3.6</v>
      </c>
      <c r="I190" s="1058">
        <f>E190*('Ввод исходных данных'!$D$83-F190)</f>
        <v>11179.199999999999</v>
      </c>
      <c r="J190" s="1059" t="str">
        <f t="shared" si="23"/>
        <v>11000-12000</v>
      </c>
      <c r="K190" s="1060">
        <v>14.1</v>
      </c>
      <c r="L190" s="1060"/>
      <c r="M190" s="1061">
        <f t="shared" si="25"/>
        <v>0</v>
      </c>
      <c r="N190" s="1062">
        <f>M190*('Ввод исходных данных'!$D$83-K190)</f>
        <v>0</v>
      </c>
      <c r="O190" s="1063">
        <v>10.4</v>
      </c>
      <c r="P190" s="1063"/>
      <c r="Q190" s="1063">
        <f t="shared" si="26"/>
        <v>0.5</v>
      </c>
      <c r="R190" s="1063">
        <f>Q190*('Ввод исходных данных'!$D$83-O190)</f>
        <v>4.8</v>
      </c>
      <c r="S190" s="1064">
        <v>2.5</v>
      </c>
      <c r="T190" s="1064"/>
      <c r="U190" s="1064">
        <f t="shared" si="27"/>
        <v>30</v>
      </c>
      <c r="V190" s="1064">
        <f>U190*('Ввод исходных данных'!$D$83-S190)</f>
        <v>525</v>
      </c>
      <c r="W190" s="1065">
        <v>-13.5</v>
      </c>
      <c r="X190" s="1065"/>
      <c r="Y190" s="1065">
        <f t="shared" si="28"/>
        <v>31</v>
      </c>
      <c r="Z190" s="1065">
        <f>Y190*('Ввод исходных данных'!$D$83-W190)</f>
        <v>1038.5</v>
      </c>
      <c r="AA190" s="1066">
        <v>-29.6</v>
      </c>
      <c r="AB190" s="1066"/>
      <c r="AC190" s="1066">
        <f t="shared" si="29"/>
        <v>30</v>
      </c>
      <c r="AD190" s="1066">
        <f>AC190*('Ввод исходных данных'!$D$83-AA190)</f>
        <v>1488</v>
      </c>
      <c r="AE190" s="1067">
        <v>-37.700000000000003</v>
      </c>
      <c r="AF190" s="1067"/>
      <c r="AG190" s="1067">
        <v>31</v>
      </c>
      <c r="AH190" s="1067">
        <f>AG190*('Ввод исходных данных'!$D$83-AE190)</f>
        <v>1788.7</v>
      </c>
      <c r="AI190" s="1068">
        <v>-37.700000000000003</v>
      </c>
      <c r="AJ190" s="1068"/>
      <c r="AK190" s="1068">
        <v>31</v>
      </c>
      <c r="AL190" s="1068">
        <f>AK190*('Ввод исходных данных'!$D$83-AI190)</f>
        <v>1788.7</v>
      </c>
      <c r="AM190" s="1069">
        <v>-33.6</v>
      </c>
      <c r="AN190" s="1069"/>
      <c r="AO190" s="1069">
        <v>28</v>
      </c>
      <c r="AP190" s="1069">
        <f>AO190*('Ввод исходных данных'!$D$83-AM190)</f>
        <v>1500.8</v>
      </c>
      <c r="AQ190" s="1064">
        <v>-24.7</v>
      </c>
      <c r="AR190" s="1064"/>
      <c r="AS190" s="1064">
        <f t="shared" si="30"/>
        <v>31</v>
      </c>
      <c r="AT190" s="1064">
        <f>AS190*('Ввод исходных данных'!$D$83-AQ190)</f>
        <v>1385.7</v>
      </c>
      <c r="AU190" s="1070">
        <v>-11.9</v>
      </c>
      <c r="AV190" s="1070"/>
      <c r="AW190" s="1070">
        <f t="shared" si="31"/>
        <v>30</v>
      </c>
      <c r="AX190" s="1070">
        <f>AW190*('Ввод исходных данных'!$D$83-AU190)</f>
        <v>957</v>
      </c>
      <c r="AY190" s="1071">
        <v>2.6</v>
      </c>
      <c r="AZ190" s="1071"/>
      <c r="BA190" s="1071">
        <f t="shared" si="32"/>
        <v>31</v>
      </c>
      <c r="BB190" s="1071">
        <f>BA190*('Ввод исходных данных'!$D$83-AY190)</f>
        <v>539.4</v>
      </c>
      <c r="BC190" s="1072">
        <v>11.9</v>
      </c>
      <c r="BD190" s="1072"/>
      <c r="BE190" s="1072">
        <f t="shared" si="24"/>
        <v>0.5</v>
      </c>
      <c r="BF190" s="1073">
        <f>BE190*('Ввод исходных данных'!$D$83-BC190)</f>
        <v>4.05</v>
      </c>
    </row>
    <row r="191" spans="2:58" ht="15.75" customHeight="1" x14ac:dyDescent="0.25">
      <c r="B191" s="1052" t="s">
        <v>617</v>
      </c>
      <c r="C191" s="1052" t="s">
        <v>199</v>
      </c>
      <c r="D191" s="1053" t="str">
        <f t="shared" si="22"/>
        <v>Москва г.Москва</v>
      </c>
      <c r="E191" s="1054">
        <v>205</v>
      </c>
      <c r="F191" s="1055">
        <v>-2.2000000000000002</v>
      </c>
      <c r="G191" s="1055">
        <v>-25</v>
      </c>
      <c r="H191" s="1057">
        <v>2</v>
      </c>
      <c r="I191" s="1058">
        <f>E191*('Ввод исходных данных'!$D$83-F191)</f>
        <v>4551</v>
      </c>
      <c r="J191" s="1059" t="str">
        <f t="shared" si="23"/>
        <v>4000-5000</v>
      </c>
      <c r="K191" s="1060">
        <v>18.7</v>
      </c>
      <c r="L191" s="1060"/>
      <c r="M191" s="1061">
        <f t="shared" si="25"/>
        <v>0</v>
      </c>
      <c r="N191" s="1062">
        <f>M191*('Ввод исходных данных'!$D$83-K191)</f>
        <v>0</v>
      </c>
      <c r="O191" s="1063">
        <v>16.8</v>
      </c>
      <c r="P191" s="1063"/>
      <c r="Q191" s="1063">
        <f t="shared" si="26"/>
        <v>0</v>
      </c>
      <c r="R191" s="1063">
        <f>Q191*('Ввод исходных данных'!$D$83-O191)</f>
        <v>0</v>
      </c>
      <c r="S191" s="1064">
        <v>11.1</v>
      </c>
      <c r="T191" s="1064"/>
      <c r="U191" s="1064">
        <f t="shared" si="27"/>
        <v>0</v>
      </c>
      <c r="V191" s="1064">
        <f>U191*('Ввод исходных данных'!$D$83-S191)</f>
        <v>0</v>
      </c>
      <c r="W191" s="1065">
        <v>5.2</v>
      </c>
      <c r="X191" s="1065"/>
      <c r="Y191" s="1065">
        <f t="shared" si="28"/>
        <v>27</v>
      </c>
      <c r="Z191" s="1065">
        <f>Y191*('Ввод исходных данных'!$D$83-W191)</f>
        <v>399.6</v>
      </c>
      <c r="AA191" s="1066">
        <v>-1.1000000000000001</v>
      </c>
      <c r="AB191" s="1066"/>
      <c r="AC191" s="1066">
        <f t="shared" si="29"/>
        <v>30</v>
      </c>
      <c r="AD191" s="1066">
        <f>AC191*('Ввод исходных данных'!$D$83-AA191)</f>
        <v>633</v>
      </c>
      <c r="AE191" s="1067">
        <v>-5.6</v>
      </c>
      <c r="AF191" s="1067"/>
      <c r="AG191" s="1067">
        <v>31</v>
      </c>
      <c r="AH191" s="1067">
        <f>AG191*('Ввод исходных данных'!$D$83-AE191)</f>
        <v>793.6</v>
      </c>
      <c r="AI191" s="1068">
        <v>-7.8</v>
      </c>
      <c r="AJ191" s="1068"/>
      <c r="AK191" s="1068">
        <v>31</v>
      </c>
      <c r="AL191" s="1068">
        <f>AK191*('Ввод исходных данных'!$D$83-AI191)</f>
        <v>861.80000000000007</v>
      </c>
      <c r="AM191" s="1069">
        <v>-7.1</v>
      </c>
      <c r="AN191" s="1069"/>
      <c r="AO191" s="1069">
        <v>28</v>
      </c>
      <c r="AP191" s="1069">
        <f>AO191*('Ввод исходных данных'!$D$83-AM191)</f>
        <v>758.80000000000007</v>
      </c>
      <c r="AQ191" s="1064">
        <v>-1.3</v>
      </c>
      <c r="AR191" s="1064"/>
      <c r="AS191" s="1064">
        <f t="shared" si="30"/>
        <v>31</v>
      </c>
      <c r="AT191" s="1064">
        <f>AS191*('Ввод исходных данных'!$D$83-AQ191)</f>
        <v>660.30000000000007</v>
      </c>
      <c r="AU191" s="1070">
        <v>6.4</v>
      </c>
      <c r="AV191" s="1070"/>
      <c r="AW191" s="1070">
        <f t="shared" si="31"/>
        <v>27</v>
      </c>
      <c r="AX191" s="1070">
        <f>AW191*('Ввод исходных данных'!$D$83-AU191)</f>
        <v>367.2</v>
      </c>
      <c r="AY191" s="1071">
        <v>13</v>
      </c>
      <c r="AZ191" s="1071"/>
      <c r="BA191" s="1071">
        <f t="shared" si="32"/>
        <v>0</v>
      </c>
      <c r="BB191" s="1071">
        <f>BA191*('Ввод исходных данных'!$D$83-AY191)</f>
        <v>0</v>
      </c>
      <c r="BC191" s="1072">
        <v>16.899999999999999</v>
      </c>
      <c r="BD191" s="1072"/>
      <c r="BE191" s="1072">
        <f t="shared" si="24"/>
        <v>0</v>
      </c>
      <c r="BF191" s="1073">
        <f>BE191*('Ввод исходных данных'!$D$83-BC191)</f>
        <v>0</v>
      </c>
    </row>
    <row r="192" spans="2:58" ht="15.75" customHeight="1" x14ac:dyDescent="0.25">
      <c r="B192" s="1076" t="s">
        <v>52</v>
      </c>
      <c r="C192" s="1076" t="s">
        <v>200</v>
      </c>
      <c r="D192" s="1053" t="str">
        <f t="shared" si="22"/>
        <v>Московская областьДмитров</v>
      </c>
      <c r="E192" s="1054">
        <v>216</v>
      </c>
      <c r="F192" s="1055">
        <v>-3.1</v>
      </c>
      <c r="G192" s="1055">
        <v>-28</v>
      </c>
      <c r="H192" s="1057">
        <v>5.2</v>
      </c>
      <c r="I192" s="1058">
        <f>E192*('Ввод исходных данных'!$D$83-F192)</f>
        <v>4989.6000000000004</v>
      </c>
      <c r="J192" s="1059" t="str">
        <f t="shared" si="23"/>
        <v>4000-5000</v>
      </c>
      <c r="K192" s="1060">
        <v>17.5</v>
      </c>
      <c r="L192" s="1060"/>
      <c r="M192" s="1061">
        <f t="shared" si="25"/>
        <v>0</v>
      </c>
      <c r="N192" s="1062">
        <f>M192*('Ввод исходных данных'!$D$83-K192)</f>
        <v>0</v>
      </c>
      <c r="O192" s="1063">
        <v>15.7</v>
      </c>
      <c r="P192" s="1063"/>
      <c r="Q192" s="1063">
        <f t="shared" si="26"/>
        <v>0</v>
      </c>
      <c r="R192" s="1063">
        <f>Q192*('Ввод исходных данных'!$D$83-O192)</f>
        <v>0</v>
      </c>
      <c r="S192" s="1064">
        <v>10.3</v>
      </c>
      <c r="T192" s="1064"/>
      <c r="U192" s="1064">
        <f t="shared" si="27"/>
        <v>2</v>
      </c>
      <c r="V192" s="1064">
        <f>U192*('Ввод исходных данных'!$D$83-S192)</f>
        <v>19.399999999999999</v>
      </c>
      <c r="W192" s="1065">
        <v>4</v>
      </c>
      <c r="X192" s="1065"/>
      <c r="Y192" s="1065">
        <f t="shared" si="28"/>
        <v>31</v>
      </c>
      <c r="Z192" s="1065">
        <f>Y192*('Ввод исходных данных'!$D$83-W192)</f>
        <v>496</v>
      </c>
      <c r="AA192" s="1066">
        <v>-2.4</v>
      </c>
      <c r="AB192" s="1066"/>
      <c r="AC192" s="1066">
        <f t="shared" si="29"/>
        <v>30</v>
      </c>
      <c r="AD192" s="1066">
        <f>AC192*('Ввод исходных данных'!$D$83-AA192)</f>
        <v>672</v>
      </c>
      <c r="AE192" s="1067">
        <v>-7.2</v>
      </c>
      <c r="AF192" s="1067"/>
      <c r="AG192" s="1067">
        <v>31</v>
      </c>
      <c r="AH192" s="1067">
        <f>AG192*('Ввод исходных данных'!$D$83-AE192)</f>
        <v>843.19999999999993</v>
      </c>
      <c r="AI192" s="1068">
        <v>-10.4</v>
      </c>
      <c r="AJ192" s="1068"/>
      <c r="AK192" s="1068">
        <v>31</v>
      </c>
      <c r="AL192" s="1068">
        <f>AK192*('Ввод исходных данных'!$D$83-AI192)</f>
        <v>942.4</v>
      </c>
      <c r="AM192" s="1069">
        <v>-9.5</v>
      </c>
      <c r="AN192" s="1069"/>
      <c r="AO192" s="1069">
        <v>28</v>
      </c>
      <c r="AP192" s="1069">
        <f>AO192*('Ввод исходных данных'!$D$83-AM192)</f>
        <v>826</v>
      </c>
      <c r="AQ192" s="1064">
        <v>-4.4000000000000004</v>
      </c>
      <c r="AR192" s="1064"/>
      <c r="AS192" s="1064">
        <f t="shared" si="30"/>
        <v>31</v>
      </c>
      <c r="AT192" s="1064">
        <f>AS192*('Ввод исходных данных'!$D$83-AQ192)</f>
        <v>756.4</v>
      </c>
      <c r="AU192" s="1070">
        <v>4.3</v>
      </c>
      <c r="AV192" s="1070"/>
      <c r="AW192" s="1070">
        <f t="shared" si="31"/>
        <v>30</v>
      </c>
      <c r="AX192" s="1070">
        <f>AW192*('Ввод исходных данных'!$D$83-AU192)</f>
        <v>471</v>
      </c>
      <c r="AY192" s="1071">
        <v>11.5</v>
      </c>
      <c r="AZ192" s="1071"/>
      <c r="BA192" s="1071">
        <f t="shared" si="32"/>
        <v>2</v>
      </c>
      <c r="BB192" s="1071">
        <f>BA192*('Ввод исходных данных'!$D$83-AY192)</f>
        <v>17</v>
      </c>
      <c r="BC192" s="1072">
        <v>15.7</v>
      </c>
      <c r="BD192" s="1072"/>
      <c r="BE192" s="1072">
        <f t="shared" si="24"/>
        <v>0</v>
      </c>
      <c r="BF192" s="1073">
        <f>BE192*('Ввод исходных данных'!$D$83-BC192)</f>
        <v>0</v>
      </c>
    </row>
    <row r="193" spans="2:58" ht="15.75" customHeight="1" x14ac:dyDescent="0.25">
      <c r="B193" s="1052" t="s">
        <v>52</v>
      </c>
      <c r="C193" s="1052" t="s">
        <v>201</v>
      </c>
      <c r="D193" s="1053" t="str">
        <f t="shared" si="22"/>
        <v>Московская областьКашира</v>
      </c>
      <c r="E193" s="1054">
        <v>212</v>
      </c>
      <c r="F193" s="1055">
        <v>-3.4</v>
      </c>
      <c r="G193" s="1055">
        <v>-27</v>
      </c>
      <c r="H193" s="1057">
        <f>H192</f>
        <v>5.2</v>
      </c>
      <c r="I193" s="1058">
        <f>E193*('Ввод исходных данных'!$D$83-F193)</f>
        <v>4960.7999999999993</v>
      </c>
      <c r="J193" s="1059" t="str">
        <f t="shared" si="23"/>
        <v>4000-5000</v>
      </c>
      <c r="K193" s="1060">
        <v>17.8</v>
      </c>
      <c r="L193" s="1060"/>
      <c r="M193" s="1061">
        <f t="shared" si="25"/>
        <v>0.5</v>
      </c>
      <c r="N193" s="1062">
        <f>M193*('Ввод исходных данных'!$D$83-K193)</f>
        <v>1.0999999999999996</v>
      </c>
      <c r="O193" s="1063">
        <v>16.5</v>
      </c>
      <c r="P193" s="1063"/>
      <c r="Q193" s="1063">
        <f t="shared" si="26"/>
        <v>0</v>
      </c>
      <c r="R193" s="1063">
        <f>Q193*('Ввод исходных данных'!$D$83-O193)</f>
        <v>0</v>
      </c>
      <c r="S193" s="1064">
        <v>11</v>
      </c>
      <c r="T193" s="1064"/>
      <c r="U193" s="1064">
        <f t="shared" si="27"/>
        <v>0</v>
      </c>
      <c r="V193" s="1064">
        <f>U193*('Ввод исходных данных'!$D$83-S193)</f>
        <v>0</v>
      </c>
      <c r="W193" s="1065">
        <v>4.0999999999999996</v>
      </c>
      <c r="X193" s="1065"/>
      <c r="Y193" s="1065">
        <f t="shared" si="28"/>
        <v>30.5</v>
      </c>
      <c r="Z193" s="1065">
        <f>Y193*('Ввод исходных данных'!$D$83-W193)</f>
        <v>484.95</v>
      </c>
      <c r="AA193" s="1066">
        <v>-2.2999999999999998</v>
      </c>
      <c r="AB193" s="1066"/>
      <c r="AC193" s="1066">
        <f t="shared" si="29"/>
        <v>30</v>
      </c>
      <c r="AD193" s="1066">
        <f>AC193*('Ввод исходных данных'!$D$83-AA193)</f>
        <v>669</v>
      </c>
      <c r="AE193" s="1067">
        <v>-7</v>
      </c>
      <c r="AF193" s="1067"/>
      <c r="AG193" s="1067">
        <v>31</v>
      </c>
      <c r="AH193" s="1067">
        <f>AG193*('Ввод исходных данных'!$D$83-AE193)</f>
        <v>837</v>
      </c>
      <c r="AI193" s="1068">
        <v>-10.9</v>
      </c>
      <c r="AJ193" s="1068"/>
      <c r="AK193" s="1068">
        <v>31</v>
      </c>
      <c r="AL193" s="1068">
        <f>AK193*('Ввод исходных данных'!$D$83-AI193)</f>
        <v>957.9</v>
      </c>
      <c r="AM193" s="1069">
        <v>-9.8000000000000007</v>
      </c>
      <c r="AN193" s="1069"/>
      <c r="AO193" s="1069">
        <v>28</v>
      </c>
      <c r="AP193" s="1069">
        <f>AO193*('Ввод исходных данных'!$D$83-AM193)</f>
        <v>834.4</v>
      </c>
      <c r="AQ193" s="1064">
        <v>-4.5999999999999996</v>
      </c>
      <c r="AR193" s="1064"/>
      <c r="AS193" s="1064">
        <f t="shared" si="30"/>
        <v>31</v>
      </c>
      <c r="AT193" s="1064">
        <f>AS193*('Ввод исходных данных'!$D$83-AQ193)</f>
        <v>762.6</v>
      </c>
      <c r="AU193" s="1070">
        <v>4.5999999999999996</v>
      </c>
      <c r="AV193" s="1070"/>
      <c r="AW193" s="1070">
        <f t="shared" si="31"/>
        <v>30</v>
      </c>
      <c r="AX193" s="1070">
        <f>AW193*('Ввод исходных данных'!$D$83-AU193)</f>
        <v>462</v>
      </c>
      <c r="AY193" s="1071">
        <v>12.2</v>
      </c>
      <c r="AZ193" s="1071"/>
      <c r="BA193" s="1071">
        <f t="shared" si="32"/>
        <v>0</v>
      </c>
      <c r="BB193" s="1071">
        <f>BA193*('Ввод исходных данных'!$D$83-AY193)</f>
        <v>0</v>
      </c>
      <c r="BC193" s="1072">
        <v>16.3</v>
      </c>
      <c r="BD193" s="1072"/>
      <c r="BE193" s="1072">
        <f t="shared" si="24"/>
        <v>0</v>
      </c>
      <c r="BF193" s="1073">
        <f>BE193*('Ввод исходных данных'!$D$83-BC193)</f>
        <v>0</v>
      </c>
    </row>
    <row r="194" spans="2:58" ht="15.75" customHeight="1" x14ac:dyDescent="0.25">
      <c r="B194" s="1076" t="s">
        <v>202</v>
      </c>
      <c r="C194" s="1076" t="s">
        <v>214</v>
      </c>
      <c r="D194" s="1053" t="str">
        <f t="shared" si="22"/>
        <v>Мурманская областьВайда-Губа</v>
      </c>
      <c r="E194" s="1054">
        <v>287</v>
      </c>
      <c r="F194" s="1055">
        <v>-0.8</v>
      </c>
      <c r="G194" s="1055">
        <v>-16</v>
      </c>
      <c r="H194" s="1057">
        <v>8.8000000000000007</v>
      </c>
      <c r="I194" s="1058">
        <f>E194*('Ввод исходных данных'!$D$83-F194)</f>
        <v>5969.6</v>
      </c>
      <c r="J194" s="1059" t="str">
        <f t="shared" si="23"/>
        <v>5000-6000</v>
      </c>
      <c r="K194" s="1060">
        <v>10.7</v>
      </c>
      <c r="L194" s="1060"/>
      <c r="M194" s="1061">
        <f t="shared" si="25"/>
        <v>0</v>
      </c>
      <c r="N194" s="1062">
        <f>M194*('Ввод исходных данных'!$D$83-K194)</f>
        <v>0</v>
      </c>
      <c r="O194" s="1063">
        <v>10.199999999999999</v>
      </c>
      <c r="P194" s="1063"/>
      <c r="Q194" s="1063">
        <f t="shared" si="26"/>
        <v>7</v>
      </c>
      <c r="R194" s="1063">
        <f>Q194*('Ввод исходных данных'!$D$83-O194)</f>
        <v>68.600000000000009</v>
      </c>
      <c r="S194" s="1064">
        <v>7.1</v>
      </c>
      <c r="T194" s="1064"/>
      <c r="U194" s="1064">
        <f t="shared" si="27"/>
        <v>30</v>
      </c>
      <c r="V194" s="1064">
        <f>U194*('Ввод исходных данных'!$D$83-S194)</f>
        <v>387</v>
      </c>
      <c r="W194" s="1065">
        <v>2.4</v>
      </c>
      <c r="X194" s="1065"/>
      <c r="Y194" s="1065">
        <f t="shared" si="28"/>
        <v>31</v>
      </c>
      <c r="Z194" s="1065">
        <f>Y194*('Ввод исходных данных'!$D$83-W194)</f>
        <v>545.6</v>
      </c>
      <c r="AA194" s="1066">
        <v>-1.6</v>
      </c>
      <c r="AB194" s="1066"/>
      <c r="AC194" s="1066">
        <f t="shared" si="29"/>
        <v>30</v>
      </c>
      <c r="AD194" s="1066">
        <f>AC194*('Ввод исходных данных'!$D$83-AA194)</f>
        <v>648</v>
      </c>
      <c r="AE194" s="1067">
        <v>-3.5</v>
      </c>
      <c r="AF194" s="1067"/>
      <c r="AG194" s="1067">
        <v>31</v>
      </c>
      <c r="AH194" s="1067">
        <f>AG194*('Ввод исходных данных'!$D$83-AE194)</f>
        <v>728.5</v>
      </c>
      <c r="AI194" s="1068">
        <v>-5.3</v>
      </c>
      <c r="AJ194" s="1068"/>
      <c r="AK194" s="1068">
        <v>31</v>
      </c>
      <c r="AL194" s="1068">
        <f>AK194*('Ввод исходных данных'!$D$83-AI194)</f>
        <v>784.30000000000007</v>
      </c>
      <c r="AM194" s="1069">
        <v>-5.9</v>
      </c>
      <c r="AN194" s="1069"/>
      <c r="AO194" s="1069">
        <v>28</v>
      </c>
      <c r="AP194" s="1069">
        <f>AO194*('Ввод исходных данных'!$D$83-AM194)</f>
        <v>725.19999999999993</v>
      </c>
      <c r="AQ194" s="1064">
        <v>-3.8</v>
      </c>
      <c r="AR194" s="1064"/>
      <c r="AS194" s="1064">
        <f t="shared" si="30"/>
        <v>31</v>
      </c>
      <c r="AT194" s="1064">
        <f>AS194*('Ввод исходных данных'!$D$83-AQ194)</f>
        <v>737.80000000000007</v>
      </c>
      <c r="AU194" s="1070">
        <v>-1.2</v>
      </c>
      <c r="AV194" s="1070"/>
      <c r="AW194" s="1070">
        <f t="shared" si="31"/>
        <v>30</v>
      </c>
      <c r="AX194" s="1070">
        <f>AW194*('Ввод исходных данных'!$D$83-AU194)</f>
        <v>636</v>
      </c>
      <c r="AY194" s="1071">
        <v>2.8</v>
      </c>
      <c r="AZ194" s="1071"/>
      <c r="BA194" s="1071">
        <f t="shared" si="32"/>
        <v>31</v>
      </c>
      <c r="BB194" s="1071">
        <f>BA194*('Ввод исходных данных'!$D$83-AY194)</f>
        <v>533.19999999999993</v>
      </c>
      <c r="BC194" s="1072">
        <v>7.1</v>
      </c>
      <c r="BD194" s="1072"/>
      <c r="BE194" s="1072">
        <f t="shared" si="24"/>
        <v>7</v>
      </c>
      <c r="BF194" s="1073">
        <f>BE194*('Ввод исходных данных'!$D$83-BC194)</f>
        <v>90.3</v>
      </c>
    </row>
    <row r="195" spans="2:58" ht="15.75" customHeight="1" x14ac:dyDescent="0.25">
      <c r="B195" s="1052" t="s">
        <v>202</v>
      </c>
      <c r="C195" s="1052" t="s">
        <v>203</v>
      </c>
      <c r="D195" s="1053" t="str">
        <f t="shared" si="22"/>
        <v>Мурманская областьКандалакша</v>
      </c>
      <c r="E195" s="1054">
        <v>265</v>
      </c>
      <c r="F195" s="1055">
        <v>-4.5999999999999996</v>
      </c>
      <c r="G195" s="1055">
        <v>-30</v>
      </c>
      <c r="H195" s="1057">
        <v>3.3</v>
      </c>
      <c r="I195" s="1058">
        <f>E195*('Ввод исходных данных'!$D$83-F195)</f>
        <v>6519</v>
      </c>
      <c r="J195" s="1059" t="str">
        <f t="shared" si="23"/>
        <v>6000-7000</v>
      </c>
      <c r="K195" s="1060">
        <v>14.5</v>
      </c>
      <c r="L195" s="1060"/>
      <c r="M195" s="1061">
        <f t="shared" si="25"/>
        <v>0</v>
      </c>
      <c r="N195" s="1062">
        <f>M195*('Ввод исходных данных'!$D$83-K195)</f>
        <v>0</v>
      </c>
      <c r="O195" s="1063">
        <v>12.1</v>
      </c>
      <c r="P195" s="1063"/>
      <c r="Q195" s="1063">
        <f t="shared" si="26"/>
        <v>0</v>
      </c>
      <c r="R195" s="1063">
        <f>Q195*('Ввод исходных данных'!$D$83-O195)</f>
        <v>0</v>
      </c>
      <c r="S195" s="1064">
        <v>6.8</v>
      </c>
      <c r="T195" s="1064"/>
      <c r="U195" s="1064">
        <f t="shared" si="27"/>
        <v>26.5</v>
      </c>
      <c r="V195" s="1064">
        <f>U195*('Ввод исходных данных'!$D$83-S195)</f>
        <v>349.79999999999995</v>
      </c>
      <c r="W195" s="1065">
        <v>0.8</v>
      </c>
      <c r="X195" s="1065"/>
      <c r="Y195" s="1065">
        <f t="shared" si="28"/>
        <v>31</v>
      </c>
      <c r="Z195" s="1065">
        <f>Y195*('Ввод исходных данных'!$D$83-W195)</f>
        <v>595.19999999999993</v>
      </c>
      <c r="AA195" s="1066">
        <v>-5.5</v>
      </c>
      <c r="AB195" s="1066"/>
      <c r="AC195" s="1066">
        <f t="shared" si="29"/>
        <v>30</v>
      </c>
      <c r="AD195" s="1066">
        <f>AC195*('Ввод исходных данных'!$D$83-AA195)</f>
        <v>765</v>
      </c>
      <c r="AE195" s="1067">
        <v>-9.6999999999999993</v>
      </c>
      <c r="AF195" s="1067"/>
      <c r="AG195" s="1067">
        <v>31</v>
      </c>
      <c r="AH195" s="1067">
        <f>AG195*('Ввод исходных данных'!$D$83-AE195)</f>
        <v>920.69999999999993</v>
      </c>
      <c r="AI195" s="1068">
        <v>-12.7</v>
      </c>
      <c r="AJ195" s="1068"/>
      <c r="AK195" s="1068">
        <v>31</v>
      </c>
      <c r="AL195" s="1068">
        <f>AK195*('Ввод исходных данных'!$D$83-AI195)</f>
        <v>1013.7</v>
      </c>
      <c r="AM195" s="1069">
        <v>-12.4</v>
      </c>
      <c r="AN195" s="1069"/>
      <c r="AO195" s="1069">
        <v>28</v>
      </c>
      <c r="AP195" s="1069">
        <f>AO195*('Ввод исходных данных'!$D$83-AM195)</f>
        <v>907.19999999999993</v>
      </c>
      <c r="AQ195" s="1064">
        <v>-6.8</v>
      </c>
      <c r="AR195" s="1064"/>
      <c r="AS195" s="1064">
        <f t="shared" si="30"/>
        <v>31</v>
      </c>
      <c r="AT195" s="1064">
        <f>AS195*('Ввод исходных данных'!$D$83-AQ195)</f>
        <v>830.80000000000007</v>
      </c>
      <c r="AU195" s="1070">
        <v>-1.6</v>
      </c>
      <c r="AV195" s="1070"/>
      <c r="AW195" s="1070">
        <f t="shared" si="31"/>
        <v>30</v>
      </c>
      <c r="AX195" s="1070">
        <f>AW195*('Ввод исходных данных'!$D$83-AU195)</f>
        <v>648</v>
      </c>
      <c r="AY195" s="1071">
        <v>4.5999999999999996</v>
      </c>
      <c r="AZ195" s="1071"/>
      <c r="BA195" s="1071">
        <f t="shared" si="32"/>
        <v>26.5</v>
      </c>
      <c r="BB195" s="1071">
        <f>BA195*('Ввод исходных данных'!$D$83-AY195)</f>
        <v>408.1</v>
      </c>
      <c r="BC195" s="1072">
        <v>11.2</v>
      </c>
      <c r="BD195" s="1072"/>
      <c r="BE195" s="1072">
        <f t="shared" si="24"/>
        <v>0</v>
      </c>
      <c r="BF195" s="1073">
        <f>BE195*('Ввод исходных данных'!$D$83-BC195)</f>
        <v>0</v>
      </c>
    </row>
    <row r="196" spans="2:58" ht="15.75" customHeight="1" x14ac:dyDescent="0.25">
      <c r="B196" s="1076" t="s">
        <v>202</v>
      </c>
      <c r="C196" s="1076" t="s">
        <v>204</v>
      </c>
      <c r="D196" s="1053" t="str">
        <f t="shared" si="22"/>
        <v>Мурманская областьКовдор</v>
      </c>
      <c r="E196" s="1054">
        <v>271</v>
      </c>
      <c r="F196" s="1055">
        <v>-4.9000000000000004</v>
      </c>
      <c r="G196" s="1055">
        <v>-35</v>
      </c>
      <c r="H196" s="1057">
        <v>2.7</v>
      </c>
      <c r="I196" s="1058">
        <f>E196*('Ввод исходных данных'!$D$83-F196)</f>
        <v>6747.9</v>
      </c>
      <c r="J196" s="1059" t="str">
        <f t="shared" si="23"/>
        <v>6000-7000</v>
      </c>
      <c r="K196" s="1060">
        <v>13.7</v>
      </c>
      <c r="L196" s="1060"/>
      <c r="M196" s="1061">
        <f t="shared" si="25"/>
        <v>0</v>
      </c>
      <c r="N196" s="1062">
        <f>M196*('Ввод исходных данных'!$D$83-K196)</f>
        <v>0</v>
      </c>
      <c r="O196" s="1063">
        <v>11</v>
      </c>
      <c r="P196" s="1063"/>
      <c r="Q196" s="1063">
        <f t="shared" si="26"/>
        <v>0</v>
      </c>
      <c r="R196" s="1063">
        <f>Q196*('Ввод исходных данных'!$D$83-O196)</f>
        <v>0</v>
      </c>
      <c r="S196" s="1064">
        <v>5.8</v>
      </c>
      <c r="T196" s="1064"/>
      <c r="U196" s="1064">
        <f t="shared" si="27"/>
        <v>29.5</v>
      </c>
      <c r="V196" s="1064">
        <f>U196*('Ввод исходных данных'!$D$83-S196)</f>
        <v>418.9</v>
      </c>
      <c r="W196" s="1065">
        <v>-0.6</v>
      </c>
      <c r="X196" s="1065"/>
      <c r="Y196" s="1065">
        <f t="shared" si="28"/>
        <v>31</v>
      </c>
      <c r="Z196" s="1065">
        <f>Y196*('Ввод исходных данных'!$D$83-W196)</f>
        <v>638.6</v>
      </c>
      <c r="AA196" s="1066">
        <v>-6.6</v>
      </c>
      <c r="AB196" s="1066"/>
      <c r="AC196" s="1066">
        <f t="shared" si="29"/>
        <v>30</v>
      </c>
      <c r="AD196" s="1066">
        <f>AC196*('Ввод исходных данных'!$D$83-AA196)</f>
        <v>798</v>
      </c>
      <c r="AE196" s="1067">
        <v>-10.199999999999999</v>
      </c>
      <c r="AF196" s="1067"/>
      <c r="AG196" s="1067">
        <v>31</v>
      </c>
      <c r="AH196" s="1067">
        <f>AG196*('Ввод исходных данных'!$D$83-AE196)</f>
        <v>936.19999999999993</v>
      </c>
      <c r="AI196" s="1068">
        <v>-12.8</v>
      </c>
      <c r="AJ196" s="1068"/>
      <c r="AK196" s="1068">
        <v>31</v>
      </c>
      <c r="AL196" s="1068">
        <f>AK196*('Ввод исходных данных'!$D$83-AI196)</f>
        <v>1016.8</v>
      </c>
      <c r="AM196" s="1069">
        <v>-12.3</v>
      </c>
      <c r="AN196" s="1069"/>
      <c r="AO196" s="1069">
        <v>28</v>
      </c>
      <c r="AP196" s="1069">
        <f>AO196*('Ввод исходных данных'!$D$83-AM196)</f>
        <v>904.39999999999986</v>
      </c>
      <c r="AQ196" s="1064">
        <v>-7.2</v>
      </c>
      <c r="AR196" s="1064"/>
      <c r="AS196" s="1064">
        <f t="shared" si="30"/>
        <v>31</v>
      </c>
      <c r="AT196" s="1064">
        <f>AS196*('Ввод исходных данных'!$D$83-AQ196)</f>
        <v>843.19999999999993</v>
      </c>
      <c r="AU196" s="1070">
        <v>-2</v>
      </c>
      <c r="AV196" s="1070"/>
      <c r="AW196" s="1070">
        <f t="shared" si="31"/>
        <v>30</v>
      </c>
      <c r="AX196" s="1070">
        <f>AW196*('Ввод исходных данных'!$D$83-AU196)</f>
        <v>660</v>
      </c>
      <c r="AY196" s="1071">
        <v>4.2</v>
      </c>
      <c r="AZ196" s="1071"/>
      <c r="BA196" s="1071">
        <f t="shared" si="32"/>
        <v>29.5</v>
      </c>
      <c r="BB196" s="1071">
        <f>BA196*('Ввод исходных данных'!$D$83-AY196)</f>
        <v>466.1</v>
      </c>
      <c r="BC196" s="1072">
        <v>10.8</v>
      </c>
      <c r="BD196" s="1072"/>
      <c r="BE196" s="1072">
        <f t="shared" si="24"/>
        <v>0</v>
      </c>
      <c r="BF196" s="1073">
        <f>BE196*('Ввод исходных данных'!$D$83-BC196)</f>
        <v>0</v>
      </c>
    </row>
    <row r="197" spans="2:58" ht="15.75" customHeight="1" x14ac:dyDescent="0.25">
      <c r="B197" s="1052" t="s">
        <v>202</v>
      </c>
      <c r="C197" s="1052" t="s">
        <v>205</v>
      </c>
      <c r="D197" s="1053" t="str">
        <f t="shared" si="22"/>
        <v>Мурманская областьКраснощелье</v>
      </c>
      <c r="E197" s="1054">
        <v>279</v>
      </c>
      <c r="F197" s="1055">
        <v>-5.4</v>
      </c>
      <c r="G197" s="1055">
        <v>-35</v>
      </c>
      <c r="H197" s="1057">
        <v>3.6</v>
      </c>
      <c r="I197" s="1058">
        <f>E197*('Ввод исходных данных'!$D$83-F197)</f>
        <v>7086.5999999999995</v>
      </c>
      <c r="J197" s="1059" t="str">
        <f t="shared" si="23"/>
        <v>7000-8000</v>
      </c>
      <c r="K197" s="1060">
        <v>13.3</v>
      </c>
      <c r="L197" s="1060"/>
      <c r="M197" s="1061">
        <f t="shared" si="25"/>
        <v>0</v>
      </c>
      <c r="N197" s="1062">
        <f>M197*('Ввод исходных данных'!$D$83-K197)</f>
        <v>0</v>
      </c>
      <c r="O197" s="1063">
        <v>10.7</v>
      </c>
      <c r="P197" s="1063"/>
      <c r="Q197" s="1063">
        <f t="shared" si="26"/>
        <v>3</v>
      </c>
      <c r="R197" s="1063">
        <f>Q197*('Ввод исходных данных'!$D$83-O197)</f>
        <v>27.900000000000002</v>
      </c>
      <c r="S197" s="1064">
        <v>5.9</v>
      </c>
      <c r="T197" s="1064"/>
      <c r="U197" s="1064">
        <f t="shared" si="27"/>
        <v>30</v>
      </c>
      <c r="V197" s="1064">
        <f>U197*('Ввод исходных данных'!$D$83-S197)</f>
        <v>423</v>
      </c>
      <c r="W197" s="1065">
        <v>-0.5</v>
      </c>
      <c r="X197" s="1065"/>
      <c r="Y197" s="1065">
        <f t="shared" si="28"/>
        <v>31</v>
      </c>
      <c r="Z197" s="1065">
        <f>Y197*('Ввод исходных данных'!$D$83-W197)</f>
        <v>635.5</v>
      </c>
      <c r="AA197" s="1066">
        <v>-6.9</v>
      </c>
      <c r="AB197" s="1066"/>
      <c r="AC197" s="1066">
        <f t="shared" si="29"/>
        <v>30</v>
      </c>
      <c r="AD197" s="1066">
        <f>AC197*('Ввод исходных данных'!$D$83-AA197)</f>
        <v>807</v>
      </c>
      <c r="AE197" s="1067">
        <v>-10.6</v>
      </c>
      <c r="AF197" s="1067"/>
      <c r="AG197" s="1067">
        <v>31</v>
      </c>
      <c r="AH197" s="1067">
        <f>AG197*('Ввод исходных данных'!$D$83-AE197)</f>
        <v>948.6</v>
      </c>
      <c r="AI197" s="1068">
        <v>-13.9</v>
      </c>
      <c r="AJ197" s="1068"/>
      <c r="AK197" s="1068">
        <v>31</v>
      </c>
      <c r="AL197" s="1068">
        <f>AK197*('Ввод исходных данных'!$D$83-AI197)</f>
        <v>1050.8999999999999</v>
      </c>
      <c r="AM197" s="1069">
        <v>-13.8</v>
      </c>
      <c r="AN197" s="1069"/>
      <c r="AO197" s="1069">
        <v>28</v>
      </c>
      <c r="AP197" s="1069">
        <f>AO197*('Ввод исходных данных'!$D$83-AM197)</f>
        <v>946.39999999999986</v>
      </c>
      <c r="AQ197" s="1064">
        <v>-8.5</v>
      </c>
      <c r="AR197" s="1064"/>
      <c r="AS197" s="1064">
        <f t="shared" si="30"/>
        <v>31</v>
      </c>
      <c r="AT197" s="1064">
        <f>AS197*('Ввод исходных данных'!$D$83-AQ197)</f>
        <v>883.5</v>
      </c>
      <c r="AU197" s="1070">
        <v>-3.5</v>
      </c>
      <c r="AV197" s="1070"/>
      <c r="AW197" s="1070">
        <f t="shared" si="31"/>
        <v>30</v>
      </c>
      <c r="AX197" s="1070">
        <f>AW197*('Ввод исходных данных'!$D$83-AU197)</f>
        <v>705</v>
      </c>
      <c r="AY197" s="1071">
        <v>2.7</v>
      </c>
      <c r="AZ197" s="1071"/>
      <c r="BA197" s="1071">
        <f t="shared" si="32"/>
        <v>31</v>
      </c>
      <c r="BB197" s="1071">
        <f>BA197*('Ввод исходных данных'!$D$83-AY197)</f>
        <v>536.30000000000007</v>
      </c>
      <c r="BC197" s="1072">
        <v>9.6</v>
      </c>
      <c r="BD197" s="1072"/>
      <c r="BE197" s="1072">
        <f t="shared" si="24"/>
        <v>3</v>
      </c>
      <c r="BF197" s="1073">
        <f>BE197*('Ввод исходных данных'!$D$83-BC197)</f>
        <v>31.200000000000003</v>
      </c>
    </row>
    <row r="198" spans="2:58" ht="15.75" customHeight="1" x14ac:dyDescent="0.25">
      <c r="B198" s="1076" t="s">
        <v>202</v>
      </c>
      <c r="C198" s="1076" t="s">
        <v>206</v>
      </c>
      <c r="D198" s="1053" t="str">
        <f t="shared" si="22"/>
        <v>Мурманская областьЛовозеро</v>
      </c>
      <c r="E198" s="1054">
        <v>281</v>
      </c>
      <c r="F198" s="1055">
        <v>-5</v>
      </c>
      <c r="G198" s="1055">
        <v>-31</v>
      </c>
      <c r="H198" s="1057">
        <v>3.9</v>
      </c>
      <c r="I198" s="1058">
        <f>E198*('Ввод исходных данных'!$D$83-F198)</f>
        <v>7025</v>
      </c>
      <c r="J198" s="1059" t="str">
        <f t="shared" si="23"/>
        <v>7000-8000</v>
      </c>
      <c r="K198" s="1060">
        <v>13</v>
      </c>
      <c r="L198" s="1060"/>
      <c r="M198" s="1061">
        <f t="shared" si="25"/>
        <v>0</v>
      </c>
      <c r="N198" s="1062">
        <f>M198*('Ввод исходных данных'!$D$83-K198)</f>
        <v>0</v>
      </c>
      <c r="O198" s="1063">
        <v>11.1</v>
      </c>
      <c r="P198" s="1063"/>
      <c r="Q198" s="1063">
        <f t="shared" si="26"/>
        <v>4</v>
      </c>
      <c r="R198" s="1063">
        <f>Q198*('Ввод исходных данных'!$D$83-O198)</f>
        <v>35.6</v>
      </c>
      <c r="S198" s="1064">
        <v>5.6</v>
      </c>
      <c r="T198" s="1064"/>
      <c r="U198" s="1064">
        <f t="shared" si="27"/>
        <v>30</v>
      </c>
      <c r="V198" s="1064">
        <f>U198*('Ввод исходных данных'!$D$83-S198)</f>
        <v>432</v>
      </c>
      <c r="W198" s="1065">
        <v>-0.9</v>
      </c>
      <c r="X198" s="1065"/>
      <c r="Y198" s="1065">
        <f t="shared" si="28"/>
        <v>31</v>
      </c>
      <c r="Z198" s="1065">
        <f>Y198*('Ввод исходных данных'!$D$83-W198)</f>
        <v>647.9</v>
      </c>
      <c r="AA198" s="1066">
        <v>-6.2</v>
      </c>
      <c r="AB198" s="1066"/>
      <c r="AC198" s="1066">
        <f t="shared" si="29"/>
        <v>30</v>
      </c>
      <c r="AD198" s="1066">
        <f>AC198*('Ввод исходных данных'!$D$83-AA198)</f>
        <v>786</v>
      </c>
      <c r="AE198" s="1067">
        <v>-10.4</v>
      </c>
      <c r="AF198" s="1067"/>
      <c r="AG198" s="1067">
        <v>31</v>
      </c>
      <c r="AH198" s="1067">
        <f>AG198*('Ввод исходных данных'!$D$83-AE198)</f>
        <v>942.4</v>
      </c>
      <c r="AI198" s="1068">
        <v>-13.2</v>
      </c>
      <c r="AJ198" s="1068"/>
      <c r="AK198" s="1068">
        <v>31</v>
      </c>
      <c r="AL198" s="1068">
        <f>AK198*('Ввод исходных данных'!$D$83-AI198)</f>
        <v>1029.2</v>
      </c>
      <c r="AM198" s="1069">
        <v>-13.8</v>
      </c>
      <c r="AN198" s="1069"/>
      <c r="AO198" s="1069">
        <v>28</v>
      </c>
      <c r="AP198" s="1069">
        <f>AO198*('Ввод исходных данных'!$D$83-AM198)</f>
        <v>946.39999999999986</v>
      </c>
      <c r="AQ198" s="1064">
        <v>-10.199999999999999</v>
      </c>
      <c r="AR198" s="1064"/>
      <c r="AS198" s="1064">
        <f t="shared" si="30"/>
        <v>31</v>
      </c>
      <c r="AT198" s="1064">
        <f>AS198*('Ввод исходных данных'!$D$83-AQ198)</f>
        <v>936.19999999999993</v>
      </c>
      <c r="AU198" s="1070">
        <v>-3.8</v>
      </c>
      <c r="AV198" s="1070"/>
      <c r="AW198" s="1070">
        <f t="shared" si="31"/>
        <v>30</v>
      </c>
      <c r="AX198" s="1070">
        <f>AW198*('Ввод исходных данных'!$D$83-AU198)</f>
        <v>714</v>
      </c>
      <c r="AY198" s="1071">
        <v>2.4</v>
      </c>
      <c r="AZ198" s="1071"/>
      <c r="BA198" s="1071">
        <f t="shared" si="32"/>
        <v>31</v>
      </c>
      <c r="BB198" s="1071">
        <f>BA198*('Ввод исходных данных'!$D$83-AY198)</f>
        <v>545.6</v>
      </c>
      <c r="BC198" s="1072">
        <v>9.1</v>
      </c>
      <c r="BD198" s="1072"/>
      <c r="BE198" s="1072">
        <f t="shared" si="24"/>
        <v>4</v>
      </c>
      <c r="BF198" s="1073">
        <f>BE198*('Ввод исходных данных'!$D$83-BC198)</f>
        <v>43.6</v>
      </c>
    </row>
    <row r="199" spans="2:58" ht="15.75" customHeight="1" x14ac:dyDescent="0.25">
      <c r="B199" s="1052" t="s">
        <v>202</v>
      </c>
      <c r="C199" s="1052" t="s">
        <v>207</v>
      </c>
      <c r="D199" s="1053" t="str">
        <f t="shared" si="22"/>
        <v>Мурманская областьМончегорск</v>
      </c>
      <c r="E199" s="1054">
        <v>271</v>
      </c>
      <c r="F199" s="1055">
        <v>-4.5</v>
      </c>
      <c r="G199" s="1055">
        <v>-30</v>
      </c>
      <c r="H199" s="1057">
        <v>5.7</v>
      </c>
      <c r="I199" s="1058">
        <f>E199*('Ввод исходных данных'!$D$83-F199)</f>
        <v>6639.5</v>
      </c>
      <c r="J199" s="1059" t="str">
        <f t="shared" si="23"/>
        <v>6000-7000</v>
      </c>
      <c r="K199" s="1060">
        <v>13.8</v>
      </c>
      <c r="L199" s="1060"/>
      <c r="M199" s="1061">
        <f t="shared" si="25"/>
        <v>0</v>
      </c>
      <c r="N199" s="1062">
        <f>M199*('Ввод исходных данных'!$D$83-K199)</f>
        <v>0</v>
      </c>
      <c r="O199" s="1063">
        <v>12</v>
      </c>
      <c r="P199" s="1063"/>
      <c r="Q199" s="1063">
        <f t="shared" si="26"/>
        <v>0</v>
      </c>
      <c r="R199" s="1063">
        <f>Q199*('Ввод исходных данных'!$D$83-O199)</f>
        <v>0</v>
      </c>
      <c r="S199" s="1064">
        <v>6.6</v>
      </c>
      <c r="T199" s="1064"/>
      <c r="U199" s="1064">
        <f t="shared" si="27"/>
        <v>29.5</v>
      </c>
      <c r="V199" s="1064">
        <f>U199*('Ввод исходных данных'!$D$83-S199)</f>
        <v>395.3</v>
      </c>
      <c r="W199" s="1065">
        <v>0.2</v>
      </c>
      <c r="X199" s="1065"/>
      <c r="Y199" s="1065">
        <f t="shared" si="28"/>
        <v>31</v>
      </c>
      <c r="Z199" s="1065">
        <f>Y199*('Ввод исходных данных'!$D$83-W199)</f>
        <v>613.80000000000007</v>
      </c>
      <c r="AA199" s="1066">
        <v>-5.4</v>
      </c>
      <c r="AB199" s="1066"/>
      <c r="AC199" s="1066">
        <f t="shared" si="29"/>
        <v>30</v>
      </c>
      <c r="AD199" s="1066">
        <f>AC199*('Ввод исходных данных'!$D$83-AA199)</f>
        <v>762</v>
      </c>
      <c r="AE199" s="1067">
        <v>-9.6999999999999993</v>
      </c>
      <c r="AF199" s="1067"/>
      <c r="AG199" s="1067">
        <v>31</v>
      </c>
      <c r="AH199" s="1067">
        <f>AG199*('Ввод исходных данных'!$D$83-AE199)</f>
        <v>920.69999999999993</v>
      </c>
      <c r="AI199" s="1068">
        <v>-12.8</v>
      </c>
      <c r="AJ199" s="1068"/>
      <c r="AK199" s="1068">
        <v>31</v>
      </c>
      <c r="AL199" s="1068">
        <f>AK199*('Ввод исходных данных'!$D$83-AI199)</f>
        <v>1016.8</v>
      </c>
      <c r="AM199" s="1069">
        <v>-12.7</v>
      </c>
      <c r="AN199" s="1069"/>
      <c r="AO199" s="1069">
        <v>28</v>
      </c>
      <c r="AP199" s="1069">
        <f>AO199*('Ввод исходных данных'!$D$83-AM199)</f>
        <v>915.60000000000014</v>
      </c>
      <c r="AQ199" s="1064">
        <v>-8.6</v>
      </c>
      <c r="AR199" s="1064"/>
      <c r="AS199" s="1064">
        <f t="shared" si="30"/>
        <v>31</v>
      </c>
      <c r="AT199" s="1064">
        <f>AS199*('Ввод исходных данных'!$D$83-AQ199)</f>
        <v>886.6</v>
      </c>
      <c r="AU199" s="1070">
        <v>-2.5</v>
      </c>
      <c r="AV199" s="1070"/>
      <c r="AW199" s="1070">
        <f t="shared" si="31"/>
        <v>30</v>
      </c>
      <c r="AX199" s="1070">
        <f>AW199*('Ввод исходных данных'!$D$83-AU199)</f>
        <v>675</v>
      </c>
      <c r="AY199" s="1071">
        <v>3.4</v>
      </c>
      <c r="AZ199" s="1071"/>
      <c r="BA199" s="1071">
        <f t="shared" si="32"/>
        <v>29.5</v>
      </c>
      <c r="BB199" s="1071">
        <f>BA199*('Ввод исходных данных'!$D$83-AY199)</f>
        <v>489.70000000000005</v>
      </c>
      <c r="BC199" s="1072">
        <v>10.199999999999999</v>
      </c>
      <c r="BD199" s="1072"/>
      <c r="BE199" s="1072">
        <f t="shared" si="24"/>
        <v>0</v>
      </c>
      <c r="BF199" s="1073">
        <f>BE199*('Ввод исходных данных'!$D$83-BC199)</f>
        <v>0</v>
      </c>
    </row>
    <row r="200" spans="2:58" ht="15.75" customHeight="1" x14ac:dyDescent="0.25">
      <c r="B200" s="1076" t="s">
        <v>202</v>
      </c>
      <c r="C200" s="1076" t="s">
        <v>208</v>
      </c>
      <c r="D200" s="1053" t="str">
        <f t="shared" si="22"/>
        <v>Мурманская областьМурманск</v>
      </c>
      <c r="E200" s="1054">
        <v>275</v>
      </c>
      <c r="F200" s="1055">
        <v>-3.4</v>
      </c>
      <c r="G200" s="1055">
        <v>-30</v>
      </c>
      <c r="H200" s="1057">
        <v>5.6</v>
      </c>
      <c r="I200" s="1058">
        <f>E200*('Ввод исходных данных'!$D$83-F200)</f>
        <v>6435</v>
      </c>
      <c r="J200" s="1059" t="str">
        <f t="shared" si="23"/>
        <v>6000-7000</v>
      </c>
      <c r="K200" s="1060">
        <v>12.8</v>
      </c>
      <c r="L200" s="1060"/>
      <c r="M200" s="1061">
        <f t="shared" si="25"/>
        <v>0</v>
      </c>
      <c r="N200" s="1062">
        <f>M200*('Ввод исходных данных'!$D$83-K200)</f>
        <v>0</v>
      </c>
      <c r="O200" s="1063">
        <v>11.1</v>
      </c>
      <c r="P200" s="1063"/>
      <c r="Q200" s="1063">
        <f t="shared" si="26"/>
        <v>1</v>
      </c>
      <c r="R200" s="1063">
        <f>Q200*('Ввод исходных данных'!$D$83-O200)</f>
        <v>8.9</v>
      </c>
      <c r="S200" s="1064">
        <v>6.8</v>
      </c>
      <c r="T200" s="1064"/>
      <c r="U200" s="1064">
        <f t="shared" si="27"/>
        <v>30</v>
      </c>
      <c r="V200" s="1064">
        <f>U200*('Ввод исходных данных'!$D$83-S200)</f>
        <v>396</v>
      </c>
      <c r="W200" s="1065">
        <v>0.9</v>
      </c>
      <c r="X200" s="1065"/>
      <c r="Y200" s="1065">
        <f t="shared" si="28"/>
        <v>31</v>
      </c>
      <c r="Z200" s="1065">
        <f>Y200*('Ввод исходных данных'!$D$83-W200)</f>
        <v>592.1</v>
      </c>
      <c r="AA200" s="1066">
        <v>-4.9000000000000004</v>
      </c>
      <c r="AB200" s="1066"/>
      <c r="AC200" s="1066">
        <f t="shared" si="29"/>
        <v>30</v>
      </c>
      <c r="AD200" s="1066">
        <f>AC200*('Ввод исходных данных'!$D$83-AA200)</f>
        <v>747</v>
      </c>
      <c r="AE200" s="1067">
        <v>-8.1999999999999993</v>
      </c>
      <c r="AF200" s="1067"/>
      <c r="AG200" s="1067">
        <v>31</v>
      </c>
      <c r="AH200" s="1067">
        <f>AG200*('Ввод исходных данных'!$D$83-AE200)</f>
        <v>874.19999999999993</v>
      </c>
      <c r="AI200" s="1068">
        <v>-10.5</v>
      </c>
      <c r="AJ200" s="1068"/>
      <c r="AK200" s="1068">
        <v>31</v>
      </c>
      <c r="AL200" s="1068">
        <f>AK200*('Ввод исходных данных'!$D$83-AI200)</f>
        <v>945.5</v>
      </c>
      <c r="AM200" s="1069">
        <v>-10.4</v>
      </c>
      <c r="AN200" s="1069"/>
      <c r="AO200" s="1069">
        <v>28</v>
      </c>
      <c r="AP200" s="1069">
        <f>AO200*('Ввод исходных данных'!$D$83-AM200)</f>
        <v>851.19999999999993</v>
      </c>
      <c r="AQ200" s="1064">
        <v>-5.8</v>
      </c>
      <c r="AR200" s="1064"/>
      <c r="AS200" s="1064">
        <f t="shared" si="30"/>
        <v>31</v>
      </c>
      <c r="AT200" s="1064">
        <f>AS200*('Ввод исходных данных'!$D$83-AQ200)</f>
        <v>799.80000000000007</v>
      </c>
      <c r="AU200" s="1070">
        <v>-1.3</v>
      </c>
      <c r="AV200" s="1070"/>
      <c r="AW200" s="1070">
        <f t="shared" si="31"/>
        <v>30</v>
      </c>
      <c r="AX200" s="1070">
        <f>AW200*('Ввод исходных данных'!$D$83-AU200)</f>
        <v>639</v>
      </c>
      <c r="AY200" s="1071">
        <v>3.7</v>
      </c>
      <c r="AZ200" s="1071"/>
      <c r="BA200" s="1071">
        <f t="shared" si="32"/>
        <v>31</v>
      </c>
      <c r="BB200" s="1071">
        <f>BA200*('Ввод исходных данных'!$D$83-AY200)</f>
        <v>505.3</v>
      </c>
      <c r="BC200" s="1072">
        <v>9.1999999999999993</v>
      </c>
      <c r="BD200" s="1072"/>
      <c r="BE200" s="1072">
        <f t="shared" si="24"/>
        <v>1</v>
      </c>
      <c r="BF200" s="1073">
        <f>BE200*('Ввод исходных данных'!$D$83-BC200)</f>
        <v>10.8</v>
      </c>
    </row>
    <row r="201" spans="2:58" ht="15.75" customHeight="1" x14ac:dyDescent="0.25">
      <c r="B201" s="1052" t="s">
        <v>202</v>
      </c>
      <c r="C201" s="1052" t="s">
        <v>667</v>
      </c>
      <c r="D201" s="1053" t="str">
        <f t="shared" si="22"/>
        <v>Мурманская областьНиванкюль</v>
      </c>
      <c r="E201" s="1054">
        <v>271</v>
      </c>
      <c r="F201" s="1055">
        <v>-4.5999999999999996</v>
      </c>
      <c r="G201" s="1055">
        <v>-36</v>
      </c>
      <c r="H201" s="1057">
        <f>H200</f>
        <v>5.6</v>
      </c>
      <c r="I201" s="1058">
        <f>E201*('Ввод исходных данных'!$D$83-F201)</f>
        <v>6666.6</v>
      </c>
      <c r="J201" s="1059" t="str">
        <f t="shared" ref="J201:J264" si="33">CONCATENATE(ROUNDDOWN(I201/1000,0)*1000,"-",ROUNDUP(I201/1000,0)*1000)</f>
        <v>6000-7000</v>
      </c>
      <c r="K201" s="1060">
        <v>13.5</v>
      </c>
      <c r="L201" s="1060"/>
      <c r="M201" s="1061">
        <f t="shared" si="25"/>
        <v>0</v>
      </c>
      <c r="N201" s="1062">
        <f>M201*('Ввод исходных данных'!$D$83-K201)</f>
        <v>0</v>
      </c>
      <c r="O201" s="1063">
        <v>11.6</v>
      </c>
      <c r="P201" s="1063"/>
      <c r="Q201" s="1063">
        <f t="shared" si="26"/>
        <v>0</v>
      </c>
      <c r="R201" s="1063">
        <f>Q201*('Ввод исходных данных'!$D$83-O201)</f>
        <v>0</v>
      </c>
      <c r="S201" s="1064">
        <v>6.3</v>
      </c>
      <c r="T201" s="1064"/>
      <c r="U201" s="1064">
        <f t="shared" si="27"/>
        <v>29.5</v>
      </c>
      <c r="V201" s="1064">
        <f>U201*('Ввод исходных данных'!$D$83-S201)</f>
        <v>404.15</v>
      </c>
      <c r="W201" s="1065">
        <v>-0.1</v>
      </c>
      <c r="X201" s="1065"/>
      <c r="Y201" s="1065">
        <f t="shared" si="28"/>
        <v>31</v>
      </c>
      <c r="Z201" s="1065">
        <f>Y201*('Ввод исходных данных'!$D$83-W201)</f>
        <v>623.1</v>
      </c>
      <c r="AA201" s="1066">
        <v>-6.1</v>
      </c>
      <c r="AB201" s="1066"/>
      <c r="AC201" s="1066">
        <f t="shared" si="29"/>
        <v>30</v>
      </c>
      <c r="AD201" s="1066">
        <f>AC201*('Ввод исходных данных'!$D$83-AA201)</f>
        <v>783</v>
      </c>
      <c r="AE201" s="1067">
        <v>-10.199999999999999</v>
      </c>
      <c r="AF201" s="1067"/>
      <c r="AG201" s="1067">
        <v>31</v>
      </c>
      <c r="AH201" s="1067">
        <f>AG201*('Ввод исходных данных'!$D$83-AE201)</f>
        <v>936.19999999999993</v>
      </c>
      <c r="AI201" s="1068">
        <v>-13.1</v>
      </c>
      <c r="AJ201" s="1068"/>
      <c r="AK201" s="1068">
        <v>31</v>
      </c>
      <c r="AL201" s="1068">
        <f>AK201*('Ввод исходных данных'!$D$83-AI201)</f>
        <v>1026.1000000000001</v>
      </c>
      <c r="AM201" s="1069">
        <v>-13</v>
      </c>
      <c r="AN201" s="1069"/>
      <c r="AO201" s="1069">
        <v>28</v>
      </c>
      <c r="AP201" s="1069">
        <f>AO201*('Ввод исходных данных'!$D$83-AM201)</f>
        <v>924</v>
      </c>
      <c r="AQ201" s="1064">
        <v>-8.1</v>
      </c>
      <c r="AR201" s="1064"/>
      <c r="AS201" s="1064">
        <f t="shared" si="30"/>
        <v>31</v>
      </c>
      <c r="AT201" s="1064">
        <f>AS201*('Ввод исходных данных'!$D$83-AQ201)</f>
        <v>871.1</v>
      </c>
      <c r="AU201" s="1070">
        <v>-1.7</v>
      </c>
      <c r="AV201" s="1070"/>
      <c r="AW201" s="1070">
        <f t="shared" si="31"/>
        <v>30</v>
      </c>
      <c r="AX201" s="1070">
        <f>AW201*('Ввод исходных данных'!$D$83-AU201)</f>
        <v>651</v>
      </c>
      <c r="AY201" s="1071">
        <v>4.2</v>
      </c>
      <c r="AZ201" s="1071"/>
      <c r="BA201" s="1071">
        <f t="shared" si="32"/>
        <v>29.5</v>
      </c>
      <c r="BB201" s="1071">
        <f>BA201*('Ввод исходных данных'!$D$83-AY201)</f>
        <v>466.1</v>
      </c>
      <c r="BC201" s="1072">
        <v>10.5</v>
      </c>
      <c r="BD201" s="1072"/>
      <c r="BE201" s="1072">
        <f t="shared" si="24"/>
        <v>0</v>
      </c>
      <c r="BF201" s="1073">
        <f>BE201*('Ввод исходных данных'!$D$83-BC201)</f>
        <v>0</v>
      </c>
    </row>
    <row r="202" spans="2:58" ht="15.75" customHeight="1" x14ac:dyDescent="0.25">
      <c r="B202" s="1076" t="s">
        <v>202</v>
      </c>
      <c r="C202" s="1076" t="s">
        <v>209</v>
      </c>
      <c r="D202" s="1053" t="str">
        <f t="shared" si="22"/>
        <v>Мурманская областьПулозеро</v>
      </c>
      <c r="E202" s="1054">
        <v>277</v>
      </c>
      <c r="F202" s="1055">
        <v>-4.8</v>
      </c>
      <c r="G202" s="1055">
        <v>-35</v>
      </c>
      <c r="H202" s="1057">
        <v>2.5</v>
      </c>
      <c r="I202" s="1058">
        <f>E202*('Ввод исходных данных'!$D$83-F202)</f>
        <v>6869.6</v>
      </c>
      <c r="J202" s="1059" t="str">
        <f t="shared" si="33"/>
        <v>6000-7000</v>
      </c>
      <c r="K202" s="1060">
        <v>13.4</v>
      </c>
      <c r="L202" s="1060"/>
      <c r="M202" s="1061">
        <f t="shared" si="25"/>
        <v>0</v>
      </c>
      <c r="N202" s="1062">
        <f>M202*('Ввод исходных данных'!$D$83-K202)</f>
        <v>0</v>
      </c>
      <c r="O202" s="1063">
        <v>11.4</v>
      </c>
      <c r="P202" s="1063"/>
      <c r="Q202" s="1063">
        <f t="shared" si="26"/>
        <v>2</v>
      </c>
      <c r="R202" s="1063">
        <f>Q202*('Ввод исходных данных'!$D$83-O202)</f>
        <v>17.2</v>
      </c>
      <c r="S202" s="1064">
        <v>6</v>
      </c>
      <c r="T202" s="1064"/>
      <c r="U202" s="1064">
        <f t="shared" si="27"/>
        <v>30</v>
      </c>
      <c r="V202" s="1064">
        <f>U202*('Ввод исходных данных'!$D$83-S202)</f>
        <v>420</v>
      </c>
      <c r="W202" s="1065">
        <v>-0.3</v>
      </c>
      <c r="X202" s="1065"/>
      <c r="Y202" s="1065">
        <f t="shared" si="28"/>
        <v>31</v>
      </c>
      <c r="Z202" s="1065">
        <f>Y202*('Ввод исходных данных'!$D$83-W202)</f>
        <v>629.30000000000007</v>
      </c>
      <c r="AA202" s="1066">
        <v>-5.8</v>
      </c>
      <c r="AB202" s="1066"/>
      <c r="AC202" s="1066">
        <f t="shared" si="29"/>
        <v>30</v>
      </c>
      <c r="AD202" s="1066">
        <f>AC202*('Ввод исходных данных'!$D$83-AA202)</f>
        <v>774</v>
      </c>
      <c r="AE202" s="1067">
        <v>-10.1</v>
      </c>
      <c r="AF202" s="1067"/>
      <c r="AG202" s="1067">
        <v>31</v>
      </c>
      <c r="AH202" s="1067">
        <f>AG202*('Ввод исходных данных'!$D$83-AE202)</f>
        <v>933.1</v>
      </c>
      <c r="AI202" s="1068">
        <v>-13.4</v>
      </c>
      <c r="AJ202" s="1068"/>
      <c r="AK202" s="1068">
        <v>31</v>
      </c>
      <c r="AL202" s="1068">
        <f>AK202*('Ввод исходных данных'!$D$83-AI202)</f>
        <v>1035.3999999999999</v>
      </c>
      <c r="AM202" s="1069">
        <v>-13.6</v>
      </c>
      <c r="AN202" s="1069"/>
      <c r="AO202" s="1069">
        <v>28</v>
      </c>
      <c r="AP202" s="1069">
        <f>AO202*('Ввод исходных данных'!$D$83-AM202)</f>
        <v>940.80000000000007</v>
      </c>
      <c r="AQ202" s="1064">
        <v>-9.4</v>
      </c>
      <c r="AR202" s="1064"/>
      <c r="AS202" s="1064">
        <f t="shared" si="30"/>
        <v>31</v>
      </c>
      <c r="AT202" s="1064">
        <f>AS202*('Ввод исходных данных'!$D$83-AQ202)</f>
        <v>911.4</v>
      </c>
      <c r="AU202" s="1070">
        <v>-3</v>
      </c>
      <c r="AV202" s="1070"/>
      <c r="AW202" s="1070">
        <f t="shared" si="31"/>
        <v>30</v>
      </c>
      <c r="AX202" s="1070">
        <f>AW202*('Ввод исходных данных'!$D$83-AU202)</f>
        <v>690</v>
      </c>
      <c r="AY202" s="1071">
        <v>3.1</v>
      </c>
      <c r="AZ202" s="1071"/>
      <c r="BA202" s="1071">
        <f t="shared" si="32"/>
        <v>31</v>
      </c>
      <c r="BB202" s="1071">
        <f>BA202*('Ввод исходных данных'!$D$83-AY202)</f>
        <v>523.9</v>
      </c>
      <c r="BC202" s="1072">
        <v>9.6</v>
      </c>
      <c r="BD202" s="1072"/>
      <c r="BE202" s="1072">
        <f t="shared" ref="BE202:BE265" si="34">IF((E202-273)&gt;0,IF((E202-273)/2&gt;30,30,(E202-273)/2),0)</f>
        <v>2</v>
      </c>
      <c r="BF202" s="1073">
        <f>BE202*('Ввод исходных данных'!$D$83-BC202)</f>
        <v>20.8</v>
      </c>
    </row>
    <row r="203" spans="2:58" ht="15.75" customHeight="1" x14ac:dyDescent="0.25">
      <c r="B203" s="1052" t="s">
        <v>202</v>
      </c>
      <c r="C203" s="1052" t="s">
        <v>210</v>
      </c>
      <c r="D203" s="1053" t="str">
        <f t="shared" si="22"/>
        <v>Мурманская областьПялица</v>
      </c>
      <c r="E203" s="1054">
        <v>298</v>
      </c>
      <c r="F203" s="1055">
        <v>-2.8</v>
      </c>
      <c r="G203" s="1055">
        <v>-25</v>
      </c>
      <c r="H203" s="1057">
        <f>H202</f>
        <v>2.5</v>
      </c>
      <c r="I203" s="1058">
        <f>E203*('Ввод исходных данных'!$D$83-F203)</f>
        <v>6794.4000000000005</v>
      </c>
      <c r="J203" s="1059" t="str">
        <f t="shared" si="33"/>
        <v>6000-7000</v>
      </c>
      <c r="K203" s="1060">
        <v>10.1</v>
      </c>
      <c r="L203" s="1060"/>
      <c r="M203" s="1061">
        <f t="shared" ref="M203:M266" si="35">MAX(0,E203-Q203-U203-Y203-AC203-AG203-AK203-AO203-AS203-AW203-BA203-BE203)</f>
        <v>0</v>
      </c>
      <c r="N203" s="1062">
        <f>M203*('Ввод исходных данных'!$D$83-K203)</f>
        <v>0</v>
      </c>
      <c r="O203" s="1063">
        <v>9.8000000000000007</v>
      </c>
      <c r="P203" s="1063"/>
      <c r="Q203" s="1063">
        <f t="shared" ref="Q203:Q266" si="36">IF((E203-273)&gt;0,IF((E203-273)/2&gt;31,31,(E203-273)/2),0)</f>
        <v>12.5</v>
      </c>
      <c r="R203" s="1063">
        <f>Q203*('Ввод исходных данных'!$D$83-O203)</f>
        <v>127.49999999999999</v>
      </c>
      <c r="S203" s="1064">
        <v>6.4</v>
      </c>
      <c r="T203" s="1064"/>
      <c r="U203" s="1064">
        <f t="shared" ref="U203:U266" si="37">IF((E203-212)&gt;0,IF((E203-212)/2&gt;30,30,(E203-212)/2),0)</f>
        <v>30</v>
      </c>
      <c r="V203" s="1064">
        <f>U203*('Ввод исходных данных'!$D$83-S203)</f>
        <v>408</v>
      </c>
      <c r="W203" s="1065">
        <v>1.3</v>
      </c>
      <c r="X203" s="1065"/>
      <c r="Y203" s="1065">
        <f t="shared" ref="Y203:Y266" si="38">IF((E203-151)&gt;0,IF((E203-151)/2&gt;31,31,(E203-151)/2),0)</f>
        <v>31</v>
      </c>
      <c r="Z203" s="1065">
        <f>Y203*('Ввод исходных данных'!$D$83-W203)</f>
        <v>579.69999999999993</v>
      </c>
      <c r="AA203" s="1066">
        <v>-2.8</v>
      </c>
      <c r="AB203" s="1066"/>
      <c r="AC203" s="1066">
        <f t="shared" ref="AC203:AC266" si="39">IF((E203-90)/2&gt;30,30,(E203-90)/2)</f>
        <v>30</v>
      </c>
      <c r="AD203" s="1066">
        <f>AC203*('Ввод исходных данных'!$D$83-AA203)</f>
        <v>684</v>
      </c>
      <c r="AE203" s="1067">
        <v>-6.4</v>
      </c>
      <c r="AF203" s="1067"/>
      <c r="AG203" s="1067">
        <v>31</v>
      </c>
      <c r="AH203" s="1067">
        <f>AG203*('Ввод исходных данных'!$D$83-AE203)</f>
        <v>818.4</v>
      </c>
      <c r="AI203" s="1068">
        <v>-10</v>
      </c>
      <c r="AJ203" s="1068"/>
      <c r="AK203" s="1068">
        <v>31</v>
      </c>
      <c r="AL203" s="1068">
        <f>AK203*('Ввод исходных данных'!$D$83-AI203)</f>
        <v>930</v>
      </c>
      <c r="AM203" s="1069">
        <v>-11.2</v>
      </c>
      <c r="AN203" s="1069"/>
      <c r="AO203" s="1069">
        <v>28</v>
      </c>
      <c r="AP203" s="1069">
        <f>AO203*('Ввод исходных данных'!$D$83-AM203)</f>
        <v>873.6</v>
      </c>
      <c r="AQ203" s="1064">
        <v>-8.9</v>
      </c>
      <c r="AR203" s="1064"/>
      <c r="AS203" s="1064">
        <f t="shared" ref="AS203:AS266" si="40">IF((E203-90)/2&gt;31,31,(E203-90)/2)</f>
        <v>31</v>
      </c>
      <c r="AT203" s="1064">
        <f>AS203*('Ввод исходных данных'!$D$83-AQ203)</f>
        <v>895.9</v>
      </c>
      <c r="AU203" s="1070">
        <v>-3.7</v>
      </c>
      <c r="AV203" s="1070"/>
      <c r="AW203" s="1070">
        <f t="shared" ref="AW203:AW266" si="41">IF((E203-151)&gt;0,IF((E203-151)/2&gt;30,30,(E203-151)/2),0)</f>
        <v>30</v>
      </c>
      <c r="AX203" s="1070">
        <f>AW203*('Ввод исходных данных'!$D$83-AU203)</f>
        <v>711</v>
      </c>
      <c r="AY203" s="1071">
        <v>1.4</v>
      </c>
      <c r="AZ203" s="1071"/>
      <c r="BA203" s="1071">
        <f t="shared" ref="BA203:BA266" si="42">IF((E203-212)&gt;0,IF((E203-212)/2&gt;31,31,(E203-212)/2),0)</f>
        <v>31</v>
      </c>
      <c r="BB203" s="1071">
        <f>BA203*('Ввод исходных данных'!$D$83-AY203)</f>
        <v>576.6</v>
      </c>
      <c r="BC203" s="1072">
        <v>6.8</v>
      </c>
      <c r="BD203" s="1072"/>
      <c r="BE203" s="1072">
        <f t="shared" si="34"/>
        <v>12.5</v>
      </c>
      <c r="BF203" s="1073">
        <f>BE203*('Ввод исходных данных'!$D$83-BC203)</f>
        <v>165</v>
      </c>
    </row>
    <row r="204" spans="2:58" ht="15.75" customHeight="1" x14ac:dyDescent="0.25">
      <c r="B204" s="1076" t="s">
        <v>202</v>
      </c>
      <c r="C204" s="1076" t="s">
        <v>212</v>
      </c>
      <c r="D204" s="1053" t="str">
        <f t="shared" ref="D204:D267" si="43">CONCATENATE(B204,C204)</f>
        <v>Мурманская областьТериберка</v>
      </c>
      <c r="E204" s="1054">
        <v>282</v>
      </c>
      <c r="F204" s="1055">
        <v>-2.2000000000000002</v>
      </c>
      <c r="G204" s="1055">
        <v>-22</v>
      </c>
      <c r="H204" s="1057">
        <v>9.1999999999999993</v>
      </c>
      <c r="I204" s="1058">
        <f>E204*('Ввод исходных данных'!$D$83-F204)</f>
        <v>6260.4</v>
      </c>
      <c r="J204" s="1059" t="str">
        <f t="shared" si="33"/>
        <v>6000-7000</v>
      </c>
      <c r="K204" s="1060">
        <v>11.4</v>
      </c>
      <c r="L204" s="1060"/>
      <c r="M204" s="1061">
        <f t="shared" si="35"/>
        <v>0</v>
      </c>
      <c r="N204" s="1062">
        <f>M204*('Ввод исходных данных'!$D$83-K204)</f>
        <v>0</v>
      </c>
      <c r="O204" s="1063">
        <v>10.6</v>
      </c>
      <c r="P204" s="1063"/>
      <c r="Q204" s="1063">
        <f t="shared" si="36"/>
        <v>4.5</v>
      </c>
      <c r="R204" s="1063">
        <f>Q204*('Ввод исходных данных'!$D$83-O204)</f>
        <v>42.300000000000004</v>
      </c>
      <c r="S204" s="1064">
        <v>7.1</v>
      </c>
      <c r="T204" s="1064"/>
      <c r="U204" s="1064">
        <f t="shared" si="37"/>
        <v>30</v>
      </c>
      <c r="V204" s="1064">
        <f>U204*('Ввод исходных данных'!$D$83-S204)</f>
        <v>387</v>
      </c>
      <c r="W204" s="1065">
        <v>1.7</v>
      </c>
      <c r="X204" s="1065"/>
      <c r="Y204" s="1065">
        <f t="shared" si="38"/>
        <v>31</v>
      </c>
      <c r="Z204" s="1065">
        <f>Y204*('Ввод исходных данных'!$D$83-W204)</f>
        <v>567.30000000000007</v>
      </c>
      <c r="AA204" s="1066">
        <v>-3.2</v>
      </c>
      <c r="AB204" s="1066"/>
      <c r="AC204" s="1066">
        <f t="shared" si="39"/>
        <v>30</v>
      </c>
      <c r="AD204" s="1066">
        <f>AC204*('Ввод исходных данных'!$D$83-AA204)</f>
        <v>696</v>
      </c>
      <c r="AE204" s="1067">
        <v>-5.7</v>
      </c>
      <c r="AF204" s="1067"/>
      <c r="AG204" s="1067">
        <v>31</v>
      </c>
      <c r="AH204" s="1067">
        <f>AG204*('Ввод исходных данных'!$D$83-AE204)</f>
        <v>796.69999999999993</v>
      </c>
      <c r="AI204" s="1068">
        <v>-7.6</v>
      </c>
      <c r="AJ204" s="1068"/>
      <c r="AK204" s="1068">
        <v>31</v>
      </c>
      <c r="AL204" s="1068">
        <f>AK204*('Ввод исходных данных'!$D$83-AI204)</f>
        <v>855.6</v>
      </c>
      <c r="AM204" s="1069">
        <v>-8.1999999999999993</v>
      </c>
      <c r="AN204" s="1069"/>
      <c r="AO204" s="1069">
        <v>28</v>
      </c>
      <c r="AP204" s="1069">
        <f>AO204*('Ввод исходных данных'!$D$83-AM204)</f>
        <v>789.6</v>
      </c>
      <c r="AQ204" s="1064">
        <v>-5.2</v>
      </c>
      <c r="AR204" s="1064"/>
      <c r="AS204" s="1064">
        <f t="shared" si="40"/>
        <v>31</v>
      </c>
      <c r="AT204" s="1064">
        <f>AS204*('Ввод исходных данных'!$D$83-AQ204)</f>
        <v>781.19999999999993</v>
      </c>
      <c r="AU204" s="1070">
        <v>-1.9</v>
      </c>
      <c r="AV204" s="1070"/>
      <c r="AW204" s="1070">
        <f t="shared" si="41"/>
        <v>30</v>
      </c>
      <c r="AX204" s="1070">
        <f>AW204*('Ввод исходных данных'!$D$83-AU204)</f>
        <v>657</v>
      </c>
      <c r="AY204" s="1071">
        <v>2.6</v>
      </c>
      <c r="AZ204" s="1071"/>
      <c r="BA204" s="1071">
        <f t="shared" si="42"/>
        <v>31</v>
      </c>
      <c r="BB204" s="1071">
        <f>BA204*('Ввод исходных данных'!$D$83-AY204)</f>
        <v>539.4</v>
      </c>
      <c r="BC204" s="1072">
        <v>7.5</v>
      </c>
      <c r="BD204" s="1072"/>
      <c r="BE204" s="1072">
        <f t="shared" si="34"/>
        <v>4.5</v>
      </c>
      <c r="BF204" s="1073">
        <f>BE204*('Ввод исходных данных'!$D$83-BC204)</f>
        <v>56.25</v>
      </c>
    </row>
    <row r="205" spans="2:58" ht="15.75" customHeight="1" x14ac:dyDescent="0.25">
      <c r="B205" s="1052" t="s">
        <v>202</v>
      </c>
      <c r="C205" s="1052" t="s">
        <v>211</v>
      </c>
      <c r="D205" s="1053" t="str">
        <f t="shared" si="43"/>
        <v>Мурманская областьТерско-Орловский</v>
      </c>
      <c r="E205" s="1054">
        <v>312</v>
      </c>
      <c r="F205" s="1055">
        <v>-2.5</v>
      </c>
      <c r="G205" s="1055">
        <v>-22</v>
      </c>
      <c r="H205" s="1057">
        <f>H204</f>
        <v>9.1999999999999993</v>
      </c>
      <c r="I205" s="1058">
        <f>E205*('Ввод исходных данных'!$D$83-F205)</f>
        <v>7020</v>
      </c>
      <c r="J205" s="1059" t="str">
        <f t="shared" si="33"/>
        <v>7000-8000</v>
      </c>
      <c r="K205" s="1060">
        <v>9</v>
      </c>
      <c r="L205" s="1060"/>
      <c r="M205" s="1061">
        <f t="shared" si="35"/>
        <v>0</v>
      </c>
      <c r="N205" s="1062">
        <f>M205*('Ввод исходных данных'!$D$83-K205)</f>
        <v>0</v>
      </c>
      <c r="O205" s="1063">
        <v>9.3000000000000007</v>
      </c>
      <c r="P205" s="1063"/>
      <c r="Q205" s="1063">
        <f t="shared" si="36"/>
        <v>19.5</v>
      </c>
      <c r="R205" s="1063">
        <f>Q205*('Ввод исходных данных'!$D$83-O205)</f>
        <v>208.64999999999998</v>
      </c>
      <c r="S205" s="1064">
        <v>6.4</v>
      </c>
      <c r="T205" s="1064"/>
      <c r="U205" s="1064">
        <f t="shared" si="37"/>
        <v>30</v>
      </c>
      <c r="V205" s="1064">
        <f>U205*('Ввод исходных данных'!$D$83-S205)</f>
        <v>408</v>
      </c>
      <c r="W205" s="1065">
        <v>0.9</v>
      </c>
      <c r="X205" s="1065"/>
      <c r="Y205" s="1065">
        <f t="shared" si="38"/>
        <v>31</v>
      </c>
      <c r="Z205" s="1065">
        <f>Y205*('Ввод исходных данных'!$D$83-W205)</f>
        <v>592.1</v>
      </c>
      <c r="AA205" s="1066">
        <v>-3.3</v>
      </c>
      <c r="AB205" s="1066"/>
      <c r="AC205" s="1066">
        <f t="shared" si="39"/>
        <v>30</v>
      </c>
      <c r="AD205" s="1066">
        <f>AC205*('Ввод исходных данных'!$D$83-AA205)</f>
        <v>699</v>
      </c>
      <c r="AE205" s="1067">
        <v>-6.2</v>
      </c>
      <c r="AF205" s="1067"/>
      <c r="AG205" s="1067">
        <v>31</v>
      </c>
      <c r="AH205" s="1067">
        <f>AG205*('Ввод исходных данных'!$D$83-AE205)</f>
        <v>812.19999999999993</v>
      </c>
      <c r="AI205" s="1068">
        <v>-9.9</v>
      </c>
      <c r="AJ205" s="1068"/>
      <c r="AK205" s="1068">
        <v>31</v>
      </c>
      <c r="AL205" s="1068">
        <f>AK205*('Ввод исходных данных'!$D$83-AI205)</f>
        <v>926.9</v>
      </c>
      <c r="AM205" s="1069">
        <v>-11.1</v>
      </c>
      <c r="AN205" s="1069"/>
      <c r="AO205" s="1069">
        <v>28</v>
      </c>
      <c r="AP205" s="1069">
        <f>AO205*('Ввод исходных данных'!$D$83-AM205)</f>
        <v>870.80000000000007</v>
      </c>
      <c r="AQ205" s="1064">
        <v>-8.8000000000000007</v>
      </c>
      <c r="AR205" s="1064"/>
      <c r="AS205" s="1064">
        <f t="shared" si="40"/>
        <v>31</v>
      </c>
      <c r="AT205" s="1064">
        <f>AS205*('Ввод исходных данных'!$D$83-AQ205)</f>
        <v>892.80000000000007</v>
      </c>
      <c r="AU205" s="1070">
        <v>-3.6</v>
      </c>
      <c r="AV205" s="1070"/>
      <c r="AW205" s="1070">
        <f t="shared" si="41"/>
        <v>30</v>
      </c>
      <c r="AX205" s="1070">
        <f>AW205*('Ввод исходных данных'!$D$83-AU205)</f>
        <v>708</v>
      </c>
      <c r="AY205" s="1071">
        <v>0.7</v>
      </c>
      <c r="AZ205" s="1071"/>
      <c r="BA205" s="1071">
        <f t="shared" si="42"/>
        <v>31</v>
      </c>
      <c r="BB205" s="1071">
        <f>BA205*('Ввод исходных данных'!$D$83-AY205)</f>
        <v>598.30000000000007</v>
      </c>
      <c r="BC205" s="1072">
        <v>5.4</v>
      </c>
      <c r="BD205" s="1072"/>
      <c r="BE205" s="1072">
        <f t="shared" si="34"/>
        <v>19.5</v>
      </c>
      <c r="BF205" s="1073">
        <f>BE205*('Ввод исходных данных'!$D$83-BC205)</f>
        <v>284.7</v>
      </c>
    </row>
    <row r="206" spans="2:58" ht="15.75" customHeight="1" x14ac:dyDescent="0.25">
      <c r="B206" s="1076" t="s">
        <v>202</v>
      </c>
      <c r="C206" s="1076" t="s">
        <v>213</v>
      </c>
      <c r="D206" s="1053" t="str">
        <f t="shared" si="43"/>
        <v>Мурманская областьУмба</v>
      </c>
      <c r="E206" s="1054">
        <v>263</v>
      </c>
      <c r="F206" s="1055">
        <v>-4</v>
      </c>
      <c r="G206" s="1055">
        <v>-31</v>
      </c>
      <c r="H206" s="1057">
        <v>4.7</v>
      </c>
      <c r="I206" s="1058">
        <f>E206*('Ввод исходных данных'!$D$83-F206)</f>
        <v>6312</v>
      </c>
      <c r="J206" s="1059" t="str">
        <f t="shared" si="33"/>
        <v>6000-7000</v>
      </c>
      <c r="K206" s="1060">
        <v>14.4</v>
      </c>
      <c r="L206" s="1060"/>
      <c r="M206" s="1061">
        <f t="shared" si="35"/>
        <v>0</v>
      </c>
      <c r="N206" s="1062">
        <f>M206*('Ввод исходных данных'!$D$83-K206)</f>
        <v>0</v>
      </c>
      <c r="O206" s="1063">
        <v>12.2</v>
      </c>
      <c r="P206" s="1063"/>
      <c r="Q206" s="1063">
        <f t="shared" si="36"/>
        <v>0</v>
      </c>
      <c r="R206" s="1063">
        <f>Q206*('Ввод исходных данных'!$D$83-O206)</f>
        <v>0</v>
      </c>
      <c r="S206" s="1064">
        <v>7.5</v>
      </c>
      <c r="T206" s="1064"/>
      <c r="U206" s="1064">
        <f t="shared" si="37"/>
        <v>25.5</v>
      </c>
      <c r="V206" s="1064">
        <f>U206*('Ввод исходных данных'!$D$83-S206)</f>
        <v>318.75</v>
      </c>
      <c r="W206" s="1065">
        <v>1.4</v>
      </c>
      <c r="X206" s="1065"/>
      <c r="Y206" s="1065">
        <f t="shared" si="38"/>
        <v>31</v>
      </c>
      <c r="Z206" s="1065">
        <f>Y206*('Ввод исходных данных'!$D$83-W206)</f>
        <v>576.6</v>
      </c>
      <c r="AA206" s="1066">
        <v>-4.4000000000000004</v>
      </c>
      <c r="AB206" s="1066"/>
      <c r="AC206" s="1066">
        <f t="shared" si="39"/>
        <v>30</v>
      </c>
      <c r="AD206" s="1066">
        <f>AC206*('Ввод исходных данных'!$D$83-AA206)</f>
        <v>732</v>
      </c>
      <c r="AE206" s="1067">
        <v>-8.3000000000000007</v>
      </c>
      <c r="AF206" s="1067"/>
      <c r="AG206" s="1067">
        <v>31</v>
      </c>
      <c r="AH206" s="1067">
        <f>AG206*('Ввод исходных данных'!$D$83-AE206)</f>
        <v>877.30000000000007</v>
      </c>
      <c r="AI206" s="1068">
        <v>-11.5</v>
      </c>
      <c r="AJ206" s="1068"/>
      <c r="AK206" s="1068">
        <v>31</v>
      </c>
      <c r="AL206" s="1068">
        <f>AK206*('Ввод исходных данных'!$D$83-AI206)</f>
        <v>976.5</v>
      </c>
      <c r="AM206" s="1069">
        <v>-11.5</v>
      </c>
      <c r="AN206" s="1069"/>
      <c r="AO206" s="1069">
        <v>28</v>
      </c>
      <c r="AP206" s="1069">
        <f>AO206*('Ввод исходных данных'!$D$83-AM206)</f>
        <v>882</v>
      </c>
      <c r="AQ206" s="1064">
        <v>-6.4</v>
      </c>
      <c r="AR206" s="1064"/>
      <c r="AS206" s="1064">
        <f t="shared" si="40"/>
        <v>31</v>
      </c>
      <c r="AT206" s="1064">
        <f>AS206*('Ввод исходных данных'!$D$83-AQ206)</f>
        <v>818.4</v>
      </c>
      <c r="AU206" s="1070">
        <v>-1.5</v>
      </c>
      <c r="AV206" s="1070"/>
      <c r="AW206" s="1070">
        <f t="shared" si="41"/>
        <v>30</v>
      </c>
      <c r="AX206" s="1070">
        <f>AW206*('Ввод исходных данных'!$D$83-AU206)</f>
        <v>645</v>
      </c>
      <c r="AY206" s="1071">
        <v>4.3</v>
      </c>
      <c r="AZ206" s="1071"/>
      <c r="BA206" s="1071">
        <f t="shared" si="42"/>
        <v>25.5</v>
      </c>
      <c r="BB206" s="1071">
        <f>BA206*('Ввод исходных данных'!$D$83-AY206)</f>
        <v>400.34999999999997</v>
      </c>
      <c r="BC206" s="1072">
        <v>10.8</v>
      </c>
      <c r="BD206" s="1072"/>
      <c r="BE206" s="1072">
        <f t="shared" si="34"/>
        <v>0</v>
      </c>
      <c r="BF206" s="1073">
        <f>BE206*('Ввод исходных данных'!$D$83-BC206)</f>
        <v>0</v>
      </c>
    </row>
    <row r="207" spans="2:58" ht="15.75" customHeight="1" x14ac:dyDescent="0.25">
      <c r="B207" s="1052" t="s">
        <v>202</v>
      </c>
      <c r="C207" s="1052" t="s">
        <v>215</v>
      </c>
      <c r="D207" s="1053" t="str">
        <f t="shared" si="43"/>
        <v>Мурманская областьЮкспор</v>
      </c>
      <c r="E207" s="1054">
        <v>340</v>
      </c>
      <c r="F207" s="1055">
        <v>-4.5</v>
      </c>
      <c r="G207" s="1055">
        <v>-24</v>
      </c>
      <c r="H207" s="1057">
        <f>H206</f>
        <v>4.7</v>
      </c>
      <c r="I207" s="1058">
        <f>E207*('Ввод исходных данных'!$D$83-F207)</f>
        <v>8330</v>
      </c>
      <c r="J207" s="1059" t="str">
        <f t="shared" si="33"/>
        <v>8000-9000</v>
      </c>
      <c r="K207" s="1060">
        <v>9</v>
      </c>
      <c r="L207" s="1060"/>
      <c r="M207" s="1061">
        <f t="shared" si="35"/>
        <v>6</v>
      </c>
      <c r="N207" s="1062">
        <f>M207*('Ввод исходных данных'!$D$83-K207)</f>
        <v>66</v>
      </c>
      <c r="O207" s="1063">
        <v>7.2</v>
      </c>
      <c r="P207" s="1063"/>
      <c r="Q207" s="1063">
        <f t="shared" si="36"/>
        <v>31</v>
      </c>
      <c r="R207" s="1063">
        <f>Q207*('Ввод исходных данных'!$D$83-O207)</f>
        <v>396.8</v>
      </c>
      <c r="S207" s="1064">
        <v>1.5</v>
      </c>
      <c r="T207" s="1064"/>
      <c r="U207" s="1064">
        <f t="shared" si="37"/>
        <v>30</v>
      </c>
      <c r="V207" s="1064">
        <f>U207*('Ввод исходных данных'!$D$83-S207)</f>
        <v>555</v>
      </c>
      <c r="W207" s="1065">
        <v>-4.0999999999999996</v>
      </c>
      <c r="X207" s="1065"/>
      <c r="Y207" s="1065">
        <f t="shared" si="38"/>
        <v>31</v>
      </c>
      <c r="Z207" s="1065">
        <f>Y207*('Ввод исходных данных'!$D$83-W207)</f>
        <v>747.1</v>
      </c>
      <c r="AA207" s="1066">
        <v>-7.7</v>
      </c>
      <c r="AB207" s="1066"/>
      <c r="AC207" s="1066">
        <f t="shared" si="39"/>
        <v>30</v>
      </c>
      <c r="AD207" s="1066">
        <f>AC207*('Ввод исходных данных'!$D$83-AA207)</f>
        <v>831</v>
      </c>
      <c r="AE207" s="1067">
        <v>-10.4</v>
      </c>
      <c r="AF207" s="1067"/>
      <c r="AG207" s="1067">
        <v>31</v>
      </c>
      <c r="AH207" s="1067">
        <f>AG207*('Ввод исходных данных'!$D$83-AE207)</f>
        <v>942.4</v>
      </c>
      <c r="AI207" s="1068">
        <v>-12.2</v>
      </c>
      <c r="AJ207" s="1068"/>
      <c r="AK207" s="1068">
        <v>31</v>
      </c>
      <c r="AL207" s="1068">
        <f>AK207*('Ввод исходных данных'!$D$83-AI207)</f>
        <v>998.2</v>
      </c>
      <c r="AM207" s="1069">
        <v>-12.6</v>
      </c>
      <c r="AN207" s="1069"/>
      <c r="AO207" s="1069">
        <v>28</v>
      </c>
      <c r="AP207" s="1069">
        <f>AO207*('Ввод исходных данных'!$D$83-AM207)</f>
        <v>912.80000000000007</v>
      </c>
      <c r="AQ207" s="1064">
        <v>-10.9</v>
      </c>
      <c r="AR207" s="1064"/>
      <c r="AS207" s="1064">
        <f t="shared" si="40"/>
        <v>31</v>
      </c>
      <c r="AT207" s="1064">
        <f>AS207*('Ввод исходных данных'!$D$83-AQ207)</f>
        <v>957.9</v>
      </c>
      <c r="AU207" s="1070">
        <v>-6.9</v>
      </c>
      <c r="AV207" s="1070"/>
      <c r="AW207" s="1070">
        <f t="shared" si="41"/>
        <v>30</v>
      </c>
      <c r="AX207" s="1070">
        <f>AW207*('Ввод исходных данных'!$D$83-AU207)</f>
        <v>807</v>
      </c>
      <c r="AY207" s="1071">
        <v>-1.9</v>
      </c>
      <c r="AZ207" s="1071"/>
      <c r="BA207" s="1071">
        <f t="shared" si="42"/>
        <v>31</v>
      </c>
      <c r="BB207" s="1071">
        <f>BA207*('Ввод исходных данных'!$D$83-AY207)</f>
        <v>678.9</v>
      </c>
      <c r="BC207" s="1072">
        <v>4.9000000000000004</v>
      </c>
      <c r="BD207" s="1072"/>
      <c r="BE207" s="1072">
        <f t="shared" si="34"/>
        <v>30</v>
      </c>
      <c r="BF207" s="1073">
        <f>BE207*('Ввод исходных данных'!$D$83-BC207)</f>
        <v>453</v>
      </c>
    </row>
    <row r="208" spans="2:58" ht="15.75" customHeight="1" x14ac:dyDescent="0.25">
      <c r="B208" s="1076" t="s">
        <v>618</v>
      </c>
      <c r="C208" s="1076" t="s">
        <v>222</v>
      </c>
      <c r="D208" s="1053" t="str">
        <f t="shared" si="43"/>
        <v>Ненецкий АО (Архангельская область)Варандей</v>
      </c>
      <c r="E208" s="1054">
        <v>323</v>
      </c>
      <c r="F208" s="1055">
        <v>-7.3</v>
      </c>
      <c r="G208" s="1055">
        <v>-36</v>
      </c>
      <c r="H208" s="1057">
        <f>H209</f>
        <v>10.1</v>
      </c>
      <c r="I208" s="1058">
        <f>E208*('Ввод исходных данных'!$D$83-F208)</f>
        <v>8817.9</v>
      </c>
      <c r="J208" s="1059" t="str">
        <f t="shared" si="33"/>
        <v>8000-9000</v>
      </c>
      <c r="K208" s="1060">
        <v>8.9</v>
      </c>
      <c r="L208" s="1060"/>
      <c r="M208" s="1061">
        <f t="shared" si="35"/>
        <v>0</v>
      </c>
      <c r="N208" s="1062">
        <f>M208*('Ввод исходных данных'!$D$83-K208)</f>
        <v>0</v>
      </c>
      <c r="O208" s="1063">
        <v>8.8000000000000007</v>
      </c>
      <c r="P208" s="1063"/>
      <c r="Q208" s="1063">
        <f t="shared" si="36"/>
        <v>25</v>
      </c>
      <c r="R208" s="1063">
        <f>Q208*('Ввод исходных данных'!$D$83-O208)</f>
        <v>280</v>
      </c>
      <c r="S208" s="1064">
        <v>4.9000000000000004</v>
      </c>
      <c r="T208" s="1064"/>
      <c r="U208" s="1064">
        <f t="shared" si="37"/>
        <v>30</v>
      </c>
      <c r="V208" s="1064">
        <f>U208*('Ввод исходных данных'!$D$83-S208)</f>
        <v>453</v>
      </c>
      <c r="W208" s="1065">
        <v>-2.2000000000000002</v>
      </c>
      <c r="X208" s="1065"/>
      <c r="Y208" s="1065">
        <f t="shared" si="38"/>
        <v>31</v>
      </c>
      <c r="Z208" s="1065">
        <f>Y208*('Ввод исходных данных'!$D$83-W208)</f>
        <v>688.19999999999993</v>
      </c>
      <c r="AA208" s="1066">
        <v>-9.5</v>
      </c>
      <c r="AB208" s="1066"/>
      <c r="AC208" s="1066">
        <f t="shared" si="39"/>
        <v>30</v>
      </c>
      <c r="AD208" s="1066">
        <f>AC208*('Ввод исходных данных'!$D$83-AA208)</f>
        <v>885</v>
      </c>
      <c r="AE208" s="1067">
        <v>-13.9</v>
      </c>
      <c r="AF208" s="1067"/>
      <c r="AG208" s="1067">
        <v>31</v>
      </c>
      <c r="AH208" s="1067">
        <f>AG208*('Ввод исходных данных'!$D$83-AE208)</f>
        <v>1050.8999999999999</v>
      </c>
      <c r="AI208" s="1068">
        <v>-17.8</v>
      </c>
      <c r="AJ208" s="1068"/>
      <c r="AK208" s="1068">
        <v>31</v>
      </c>
      <c r="AL208" s="1068">
        <f>AK208*('Ввод исходных данных'!$D$83-AI208)</f>
        <v>1171.8</v>
      </c>
      <c r="AM208" s="1069">
        <v>-19.2</v>
      </c>
      <c r="AN208" s="1069"/>
      <c r="AO208" s="1069">
        <v>28</v>
      </c>
      <c r="AP208" s="1069">
        <f>AO208*('Ввод исходных данных'!$D$83-AM208)</f>
        <v>1097.6000000000001</v>
      </c>
      <c r="AQ208" s="1064">
        <v>-16.600000000000001</v>
      </c>
      <c r="AR208" s="1064"/>
      <c r="AS208" s="1064">
        <f t="shared" si="40"/>
        <v>31</v>
      </c>
      <c r="AT208" s="1064">
        <f>AS208*('Ввод исходных данных'!$D$83-AQ208)</f>
        <v>1134.6000000000001</v>
      </c>
      <c r="AU208" s="1070">
        <v>-9.5</v>
      </c>
      <c r="AV208" s="1070"/>
      <c r="AW208" s="1070">
        <f t="shared" si="41"/>
        <v>30</v>
      </c>
      <c r="AX208" s="1070">
        <f>AW208*('Ввод исходных данных'!$D$83-AU208)</f>
        <v>885</v>
      </c>
      <c r="AY208" s="1071">
        <v>-3.4</v>
      </c>
      <c r="AZ208" s="1071"/>
      <c r="BA208" s="1071">
        <f t="shared" si="42"/>
        <v>31</v>
      </c>
      <c r="BB208" s="1071">
        <f>BA208*('Ввод исходных данных'!$D$83-AY208)</f>
        <v>725.4</v>
      </c>
      <c r="BC208" s="1072">
        <v>2.8</v>
      </c>
      <c r="BD208" s="1072"/>
      <c r="BE208" s="1072">
        <f t="shared" si="34"/>
        <v>25</v>
      </c>
      <c r="BF208" s="1073">
        <f>BE208*('Ввод исходных данных'!$D$83-BC208)</f>
        <v>430</v>
      </c>
    </row>
    <row r="209" spans="1:58" ht="15.75" customHeight="1" x14ac:dyDescent="0.25">
      <c r="B209" s="1052" t="s">
        <v>618</v>
      </c>
      <c r="C209" s="1052" t="s">
        <v>218</v>
      </c>
      <c r="D209" s="1053" t="str">
        <f t="shared" si="43"/>
        <v>Ненецкий АО (Архангельская область)Индига</v>
      </c>
      <c r="E209" s="1054">
        <v>298</v>
      </c>
      <c r="F209" s="1055">
        <v>-5.6</v>
      </c>
      <c r="G209" s="1055">
        <v>-34</v>
      </c>
      <c r="H209" s="1057">
        <v>10.1</v>
      </c>
      <c r="I209" s="1058">
        <f>E209*('Ввод исходных данных'!$D$83-F209)</f>
        <v>7628.8</v>
      </c>
      <c r="J209" s="1059" t="str">
        <f t="shared" si="33"/>
        <v>7000-8000</v>
      </c>
      <c r="K209" s="1060">
        <v>10.6</v>
      </c>
      <c r="L209" s="1060"/>
      <c r="M209" s="1061">
        <f t="shared" si="35"/>
        <v>0</v>
      </c>
      <c r="N209" s="1062">
        <f>M209*('Ввод исходных данных'!$D$83-K209)</f>
        <v>0</v>
      </c>
      <c r="O209" s="1063">
        <v>9.6999999999999993</v>
      </c>
      <c r="P209" s="1063"/>
      <c r="Q209" s="1063">
        <f t="shared" si="36"/>
        <v>12.5</v>
      </c>
      <c r="R209" s="1063">
        <f>Q209*('Ввод исходных данных'!$D$83-O209)</f>
        <v>128.75</v>
      </c>
      <c r="S209" s="1064">
        <v>6.4</v>
      </c>
      <c r="T209" s="1064"/>
      <c r="U209" s="1064">
        <f t="shared" si="37"/>
        <v>30</v>
      </c>
      <c r="V209" s="1064">
        <f>U209*('Ввод исходных данных'!$D$83-S209)</f>
        <v>408</v>
      </c>
      <c r="W209" s="1065">
        <v>0.2</v>
      </c>
      <c r="X209" s="1065"/>
      <c r="Y209" s="1065">
        <f t="shared" si="38"/>
        <v>31</v>
      </c>
      <c r="Z209" s="1065">
        <f>Y209*('Ввод исходных данных'!$D$83-W209)</f>
        <v>613.80000000000007</v>
      </c>
      <c r="AA209" s="1066">
        <v>-6.5</v>
      </c>
      <c r="AB209" s="1066"/>
      <c r="AC209" s="1066">
        <f t="shared" si="39"/>
        <v>30</v>
      </c>
      <c r="AD209" s="1066">
        <f>AC209*('Ввод исходных данных'!$D$83-AA209)</f>
        <v>795</v>
      </c>
      <c r="AE209" s="1067">
        <v>-10.8</v>
      </c>
      <c r="AF209" s="1067"/>
      <c r="AG209" s="1067">
        <v>31</v>
      </c>
      <c r="AH209" s="1067">
        <f>AG209*('Ввод исходных данных'!$D$83-AE209)</f>
        <v>954.80000000000007</v>
      </c>
      <c r="AI209" s="1068">
        <v>-15.2</v>
      </c>
      <c r="AJ209" s="1068"/>
      <c r="AK209" s="1068">
        <v>31</v>
      </c>
      <c r="AL209" s="1068">
        <f>AK209*('Ввод исходных данных'!$D$83-AI209)</f>
        <v>1091.2</v>
      </c>
      <c r="AM209" s="1069">
        <v>-14.9</v>
      </c>
      <c r="AN209" s="1069"/>
      <c r="AO209" s="1069">
        <v>28</v>
      </c>
      <c r="AP209" s="1069">
        <f>AO209*('Ввод исходных данных'!$D$83-AM209)</f>
        <v>977.19999999999993</v>
      </c>
      <c r="AQ209" s="1064">
        <v>-10.1</v>
      </c>
      <c r="AR209" s="1064"/>
      <c r="AS209" s="1064">
        <f t="shared" si="40"/>
        <v>31</v>
      </c>
      <c r="AT209" s="1064">
        <f>AS209*('Ввод исходных данных'!$D$83-AQ209)</f>
        <v>933.1</v>
      </c>
      <c r="AU209" s="1070">
        <v>-6.6</v>
      </c>
      <c r="AV209" s="1070"/>
      <c r="AW209" s="1070">
        <f t="shared" si="41"/>
        <v>30</v>
      </c>
      <c r="AX209" s="1070">
        <f>AW209*('Ввод исходных данных'!$D$83-AU209)</f>
        <v>798</v>
      </c>
      <c r="AY209" s="1071">
        <v>-0.4</v>
      </c>
      <c r="AZ209" s="1071"/>
      <c r="BA209" s="1071">
        <f t="shared" si="42"/>
        <v>31</v>
      </c>
      <c r="BB209" s="1071">
        <f>BA209*('Ввод исходных данных'!$D$83-AY209)</f>
        <v>632.4</v>
      </c>
      <c r="BC209" s="1072">
        <v>5.9</v>
      </c>
      <c r="BD209" s="1072"/>
      <c r="BE209" s="1072">
        <f t="shared" si="34"/>
        <v>12.5</v>
      </c>
      <c r="BF209" s="1073">
        <f>BE209*('Ввод исходных данных'!$D$83-BC209)</f>
        <v>176.25</v>
      </c>
    </row>
    <row r="210" spans="1:58" ht="15.75" customHeight="1" x14ac:dyDescent="0.25">
      <c r="B210" s="1076" t="s">
        <v>618</v>
      </c>
      <c r="C210" s="1076" t="s">
        <v>219</v>
      </c>
      <c r="D210" s="1053" t="str">
        <f t="shared" si="43"/>
        <v>Ненецкий АО (Архангельская область)Канин Нос</v>
      </c>
      <c r="E210" s="1054">
        <v>316</v>
      </c>
      <c r="F210" s="1055">
        <v>-2.4</v>
      </c>
      <c r="G210" s="1055">
        <v>-23</v>
      </c>
      <c r="H210" s="1057">
        <v>9.9</v>
      </c>
      <c r="I210" s="1058">
        <f>E210*('Ввод исходных данных'!$D$83-F210)</f>
        <v>7078.4</v>
      </c>
      <c r="J210" s="1059" t="str">
        <f t="shared" si="33"/>
        <v>7000-8000</v>
      </c>
      <c r="K210" s="1060">
        <v>8.9</v>
      </c>
      <c r="L210" s="1060"/>
      <c r="M210" s="1061">
        <f t="shared" si="35"/>
        <v>0</v>
      </c>
      <c r="N210" s="1062">
        <f>M210*('Ввод исходных данных'!$D$83-K210)</f>
        <v>0</v>
      </c>
      <c r="O210" s="1063">
        <v>8.5</v>
      </c>
      <c r="P210" s="1063"/>
      <c r="Q210" s="1063">
        <f t="shared" si="36"/>
        <v>21.5</v>
      </c>
      <c r="R210" s="1063">
        <f>Q210*('Ввод исходных данных'!$D$83-O210)</f>
        <v>247.25</v>
      </c>
      <c r="S210" s="1064">
        <v>6</v>
      </c>
      <c r="T210" s="1064"/>
      <c r="U210" s="1064">
        <f t="shared" si="37"/>
        <v>30</v>
      </c>
      <c r="V210" s="1064">
        <f>U210*('Ввод исходных данных'!$D$83-S210)</f>
        <v>420</v>
      </c>
      <c r="W210" s="1065">
        <v>1.7</v>
      </c>
      <c r="X210" s="1065"/>
      <c r="Y210" s="1065">
        <f t="shared" si="38"/>
        <v>31</v>
      </c>
      <c r="Z210" s="1065">
        <f>Y210*('Ввод исходных данных'!$D$83-W210)</f>
        <v>567.30000000000007</v>
      </c>
      <c r="AA210" s="1066">
        <v>-2.2999999999999998</v>
      </c>
      <c r="AB210" s="1066"/>
      <c r="AC210" s="1066">
        <f t="shared" si="39"/>
        <v>30</v>
      </c>
      <c r="AD210" s="1066">
        <f>AC210*('Ввод исходных данных'!$D$83-AA210)</f>
        <v>669</v>
      </c>
      <c r="AE210" s="1067">
        <v>-5.5</v>
      </c>
      <c r="AF210" s="1067"/>
      <c r="AG210" s="1067">
        <v>31</v>
      </c>
      <c r="AH210" s="1067">
        <f>AG210*('Ввод исходных данных'!$D$83-AE210)</f>
        <v>790.5</v>
      </c>
      <c r="AI210" s="1068">
        <v>-8.6999999999999993</v>
      </c>
      <c r="AJ210" s="1068"/>
      <c r="AK210" s="1068">
        <v>31</v>
      </c>
      <c r="AL210" s="1068">
        <f>AK210*('Ввод исходных данных'!$D$83-AI210)</f>
        <v>889.69999999999993</v>
      </c>
      <c r="AM210" s="1069">
        <v>-9.6999999999999993</v>
      </c>
      <c r="AN210" s="1069"/>
      <c r="AO210" s="1069">
        <v>28</v>
      </c>
      <c r="AP210" s="1069">
        <f>AO210*('Ввод исходных данных'!$D$83-AM210)</f>
        <v>831.6</v>
      </c>
      <c r="AQ210" s="1064">
        <v>-7.2</v>
      </c>
      <c r="AR210" s="1064"/>
      <c r="AS210" s="1064">
        <f t="shared" si="40"/>
        <v>31</v>
      </c>
      <c r="AT210" s="1064">
        <f>AS210*('Ввод исходных данных'!$D$83-AQ210)</f>
        <v>843.19999999999993</v>
      </c>
      <c r="AU210" s="1070">
        <v>-4.8</v>
      </c>
      <c r="AV210" s="1070"/>
      <c r="AW210" s="1070">
        <f t="shared" si="41"/>
        <v>30</v>
      </c>
      <c r="AX210" s="1070">
        <f>AW210*('Ввод исходных данных'!$D$83-AU210)</f>
        <v>744</v>
      </c>
      <c r="AY210" s="1071">
        <v>-0.7</v>
      </c>
      <c r="AZ210" s="1071"/>
      <c r="BA210" s="1071">
        <f t="shared" si="42"/>
        <v>31</v>
      </c>
      <c r="BB210" s="1071">
        <f>BA210*('Ввод исходных данных'!$D$83-AY210)</f>
        <v>641.69999999999993</v>
      </c>
      <c r="BC210" s="1072">
        <v>4.4000000000000004</v>
      </c>
      <c r="BD210" s="1072"/>
      <c r="BE210" s="1072">
        <f t="shared" si="34"/>
        <v>21.5</v>
      </c>
      <c r="BF210" s="1073">
        <f>BE210*('Ввод исходных данных'!$D$83-BC210)</f>
        <v>335.4</v>
      </c>
    </row>
    <row r="211" spans="1:58" ht="15.75" customHeight="1" x14ac:dyDescent="0.25">
      <c r="B211" s="1052" t="s">
        <v>618</v>
      </c>
      <c r="C211" s="1052" t="s">
        <v>220</v>
      </c>
      <c r="D211" s="1053" t="str">
        <f t="shared" si="43"/>
        <v>Ненецкий АО (Архангельская область)Коткино</v>
      </c>
      <c r="E211" s="1054">
        <v>285</v>
      </c>
      <c r="F211" s="1055">
        <v>-7.1</v>
      </c>
      <c r="G211" s="1055">
        <v>-41</v>
      </c>
      <c r="H211" s="1057">
        <f>H212</f>
        <v>4.3</v>
      </c>
      <c r="I211" s="1058">
        <f>E211*('Ввод исходных данных'!$D$83-F211)</f>
        <v>7723.5</v>
      </c>
      <c r="J211" s="1059" t="str">
        <f t="shared" si="33"/>
        <v>7000-8000</v>
      </c>
      <c r="K211" s="1060">
        <v>12.9</v>
      </c>
      <c r="L211" s="1060"/>
      <c r="M211" s="1061">
        <f t="shared" si="35"/>
        <v>0</v>
      </c>
      <c r="N211" s="1062">
        <f>M211*('Ввод исходных данных'!$D$83-K211)</f>
        <v>0</v>
      </c>
      <c r="O211" s="1063">
        <v>10.9</v>
      </c>
      <c r="P211" s="1063"/>
      <c r="Q211" s="1063">
        <f t="shared" si="36"/>
        <v>6</v>
      </c>
      <c r="R211" s="1063">
        <f>Q211*('Ввод исходных данных'!$D$83-O211)</f>
        <v>54.599999999999994</v>
      </c>
      <c r="S211" s="1064">
        <v>5.6</v>
      </c>
      <c r="T211" s="1064"/>
      <c r="U211" s="1064">
        <f t="shared" si="37"/>
        <v>30</v>
      </c>
      <c r="V211" s="1064">
        <f>U211*('Ввод исходных данных'!$D$83-S211)</f>
        <v>432</v>
      </c>
      <c r="W211" s="1065">
        <v>-1.8</v>
      </c>
      <c r="X211" s="1065"/>
      <c r="Y211" s="1065">
        <f t="shared" si="38"/>
        <v>31</v>
      </c>
      <c r="Z211" s="1065">
        <f>Y211*('Ввод исходных данных'!$D$83-W211)</f>
        <v>675.80000000000007</v>
      </c>
      <c r="AA211" s="1066">
        <v>-9</v>
      </c>
      <c r="AB211" s="1066"/>
      <c r="AC211" s="1066">
        <f t="shared" si="39"/>
        <v>30</v>
      </c>
      <c r="AD211" s="1066">
        <f>AC211*('Ввод исходных данных'!$D$83-AA211)</f>
        <v>870</v>
      </c>
      <c r="AE211" s="1067">
        <v>-13.5</v>
      </c>
      <c r="AF211" s="1067"/>
      <c r="AG211" s="1067">
        <v>31</v>
      </c>
      <c r="AH211" s="1067">
        <f>AG211*('Ввод исходных данных'!$D$83-AE211)</f>
        <v>1038.5</v>
      </c>
      <c r="AI211" s="1068">
        <v>-17.3</v>
      </c>
      <c r="AJ211" s="1068"/>
      <c r="AK211" s="1068">
        <v>31</v>
      </c>
      <c r="AL211" s="1068">
        <f>AK211*('Ввод исходных данных'!$D$83-AI211)</f>
        <v>1156.3</v>
      </c>
      <c r="AM211" s="1069">
        <v>-17.8</v>
      </c>
      <c r="AN211" s="1069"/>
      <c r="AO211" s="1069">
        <v>28</v>
      </c>
      <c r="AP211" s="1069">
        <f>AO211*('Ввод исходных данных'!$D$83-AM211)</f>
        <v>1058.3999999999999</v>
      </c>
      <c r="AQ211" s="1064">
        <v>-12.6</v>
      </c>
      <c r="AR211" s="1064"/>
      <c r="AS211" s="1064">
        <f t="shared" si="40"/>
        <v>31</v>
      </c>
      <c r="AT211" s="1064">
        <f>AS211*('Ввод исходных данных'!$D$83-AQ211)</f>
        <v>1010.6</v>
      </c>
      <c r="AU211" s="1070">
        <v>-5.4</v>
      </c>
      <c r="AV211" s="1070"/>
      <c r="AW211" s="1070">
        <f t="shared" si="41"/>
        <v>30</v>
      </c>
      <c r="AX211" s="1070">
        <f>AW211*('Ввод исходных данных'!$D$83-AU211)</f>
        <v>762</v>
      </c>
      <c r="AY211" s="1071">
        <v>0.9</v>
      </c>
      <c r="AZ211" s="1071"/>
      <c r="BA211" s="1071">
        <f t="shared" si="42"/>
        <v>31</v>
      </c>
      <c r="BB211" s="1071">
        <f>BA211*('Ввод исходных данных'!$D$83-AY211)</f>
        <v>592.1</v>
      </c>
      <c r="BC211" s="1072">
        <v>8.4</v>
      </c>
      <c r="BD211" s="1072"/>
      <c r="BE211" s="1072">
        <f t="shared" si="34"/>
        <v>6</v>
      </c>
      <c r="BF211" s="1073">
        <f>BE211*('Ввод исходных данных'!$D$83-BC211)</f>
        <v>69.599999999999994</v>
      </c>
    </row>
    <row r="212" spans="1:58" ht="15.75" customHeight="1" x14ac:dyDescent="0.25">
      <c r="B212" s="1076" t="s">
        <v>618</v>
      </c>
      <c r="C212" s="1076" t="s">
        <v>221</v>
      </c>
      <c r="D212" s="1053" t="str">
        <f t="shared" si="43"/>
        <v>Ненецкий АО (Архангельская область)Нарьян-Мар</v>
      </c>
      <c r="E212" s="1054">
        <v>289</v>
      </c>
      <c r="F212" s="1055">
        <v>-7.5</v>
      </c>
      <c r="G212" s="1055">
        <v>-39</v>
      </c>
      <c r="H212" s="1057">
        <v>4.3</v>
      </c>
      <c r="I212" s="1058">
        <f>E212*('Ввод исходных данных'!$D$83-F212)</f>
        <v>7947.5</v>
      </c>
      <c r="J212" s="1059" t="str">
        <f t="shared" si="33"/>
        <v>7000-8000</v>
      </c>
      <c r="K212" s="1060">
        <v>13.3</v>
      </c>
      <c r="L212" s="1060"/>
      <c r="M212" s="1061">
        <f t="shared" si="35"/>
        <v>0</v>
      </c>
      <c r="N212" s="1062">
        <f>M212*('Ввод исходных данных'!$D$83-K212)</f>
        <v>0</v>
      </c>
      <c r="O212" s="1063">
        <v>10.4</v>
      </c>
      <c r="P212" s="1063"/>
      <c r="Q212" s="1063">
        <f t="shared" si="36"/>
        <v>8</v>
      </c>
      <c r="R212" s="1063">
        <f>Q212*('Ввод исходных данных'!$D$83-O212)</f>
        <v>76.8</v>
      </c>
      <c r="S212" s="1064">
        <v>5.8</v>
      </c>
      <c r="T212" s="1064"/>
      <c r="U212" s="1064">
        <f t="shared" si="37"/>
        <v>30</v>
      </c>
      <c r="V212" s="1064">
        <f>U212*('Ввод исходных данных'!$D$83-S212)</f>
        <v>426</v>
      </c>
      <c r="W212" s="1065">
        <v>-1.6</v>
      </c>
      <c r="X212" s="1065"/>
      <c r="Y212" s="1065">
        <f t="shared" si="38"/>
        <v>31</v>
      </c>
      <c r="Z212" s="1065">
        <f>Y212*('Ввод исходных данных'!$D$83-W212)</f>
        <v>669.6</v>
      </c>
      <c r="AA212" s="1066">
        <v>-9.5</v>
      </c>
      <c r="AB212" s="1066"/>
      <c r="AC212" s="1066">
        <f t="shared" si="39"/>
        <v>30</v>
      </c>
      <c r="AD212" s="1066">
        <f>AC212*('Ввод исходных данных'!$D$83-AA212)</f>
        <v>885</v>
      </c>
      <c r="AE212" s="1067">
        <v>-13.8</v>
      </c>
      <c r="AF212" s="1067"/>
      <c r="AG212" s="1067">
        <v>31</v>
      </c>
      <c r="AH212" s="1067">
        <f>AG212*('Ввод исходных данных'!$D$83-AE212)</f>
        <v>1047.8</v>
      </c>
      <c r="AI212" s="1068">
        <v>-18.100000000000001</v>
      </c>
      <c r="AJ212" s="1068"/>
      <c r="AK212" s="1068">
        <v>31</v>
      </c>
      <c r="AL212" s="1068">
        <f>AK212*('Ввод исходных данных'!$D$83-AI212)</f>
        <v>1181.1000000000001</v>
      </c>
      <c r="AM212" s="1069">
        <v>-17.399999999999999</v>
      </c>
      <c r="AN212" s="1069"/>
      <c r="AO212" s="1069">
        <v>28</v>
      </c>
      <c r="AP212" s="1069">
        <f>AO212*('Ввод исходных данных'!$D$83-AM212)</f>
        <v>1047.2</v>
      </c>
      <c r="AQ212" s="1064">
        <v>-11.2</v>
      </c>
      <c r="AR212" s="1064"/>
      <c r="AS212" s="1064">
        <f t="shared" si="40"/>
        <v>31</v>
      </c>
      <c r="AT212" s="1064">
        <f>AS212*('Ввод исходных данных'!$D$83-AQ212)</f>
        <v>967.19999999999993</v>
      </c>
      <c r="AU212" s="1070">
        <v>-7</v>
      </c>
      <c r="AV212" s="1070"/>
      <c r="AW212" s="1070">
        <f t="shared" si="41"/>
        <v>30</v>
      </c>
      <c r="AX212" s="1070">
        <f>AW212*('Ввод исходных данных'!$D$83-AU212)</f>
        <v>810</v>
      </c>
      <c r="AY212" s="1071">
        <v>0</v>
      </c>
      <c r="AZ212" s="1071"/>
      <c r="BA212" s="1071">
        <f t="shared" si="42"/>
        <v>31</v>
      </c>
      <c r="BB212" s="1071">
        <f>BA212*('Ввод исходных данных'!$D$83-AY212)</f>
        <v>620</v>
      </c>
      <c r="BC212" s="1072">
        <v>8</v>
      </c>
      <c r="BD212" s="1072"/>
      <c r="BE212" s="1072">
        <f t="shared" si="34"/>
        <v>8</v>
      </c>
      <c r="BF212" s="1073">
        <f>BE212*('Ввод исходных данных'!$D$83-BC212)</f>
        <v>96</v>
      </c>
    </row>
    <row r="213" spans="1:58" ht="15.75" customHeight="1" x14ac:dyDescent="0.25">
      <c r="B213" s="1052" t="s">
        <v>618</v>
      </c>
      <c r="C213" s="1052" t="s">
        <v>216</v>
      </c>
      <c r="D213" s="1053" t="str">
        <f t="shared" si="43"/>
        <v>Ненецкий АО (Архангельская область)Ходовариха</v>
      </c>
      <c r="E213" s="1054">
        <v>330</v>
      </c>
      <c r="F213" s="1055">
        <v>-6.2</v>
      </c>
      <c r="G213" s="1055">
        <v>-32</v>
      </c>
      <c r="H213" s="1057">
        <f>H214</f>
        <v>7.2</v>
      </c>
      <c r="I213" s="1058">
        <f>E213*('Ввод исходных данных'!$D$83-F213)</f>
        <v>8646</v>
      </c>
      <c r="J213" s="1059" t="str">
        <f t="shared" si="33"/>
        <v>8000-9000</v>
      </c>
      <c r="K213" s="1060">
        <v>8.3000000000000007</v>
      </c>
      <c r="L213" s="1060"/>
      <c r="M213" s="1061">
        <f t="shared" si="35"/>
        <v>0</v>
      </c>
      <c r="N213" s="1062">
        <f>M213*('Ввод исходных данных'!$D$83-K213)</f>
        <v>0</v>
      </c>
      <c r="O213" s="1063">
        <v>8.4</v>
      </c>
      <c r="P213" s="1063"/>
      <c r="Q213" s="1063">
        <f t="shared" si="36"/>
        <v>28.5</v>
      </c>
      <c r="R213" s="1063">
        <f>Q213*('Ввод исходных данных'!$D$83-O213)</f>
        <v>330.59999999999997</v>
      </c>
      <c r="S213" s="1064">
        <v>5.0999999999999996</v>
      </c>
      <c r="T213" s="1064"/>
      <c r="U213" s="1064">
        <f t="shared" si="37"/>
        <v>30</v>
      </c>
      <c r="V213" s="1064">
        <f>U213*('Ввод исходных данных'!$D$83-S213)</f>
        <v>447</v>
      </c>
      <c r="W213" s="1065">
        <v>-1</v>
      </c>
      <c r="X213" s="1065"/>
      <c r="Y213" s="1065">
        <f t="shared" si="38"/>
        <v>31</v>
      </c>
      <c r="Z213" s="1065">
        <f>Y213*('Ввод исходных данных'!$D$83-W213)</f>
        <v>651</v>
      </c>
      <c r="AA213" s="1066">
        <v>-6.9</v>
      </c>
      <c r="AB213" s="1066"/>
      <c r="AC213" s="1066">
        <f t="shared" si="39"/>
        <v>30</v>
      </c>
      <c r="AD213" s="1066">
        <f>AC213*('Ввод исходных данных'!$D$83-AA213)</f>
        <v>807</v>
      </c>
      <c r="AE213" s="1067">
        <v>-11.7</v>
      </c>
      <c r="AF213" s="1067"/>
      <c r="AG213" s="1067">
        <v>31</v>
      </c>
      <c r="AH213" s="1067">
        <f>AG213*('Ввод исходных данных'!$D$83-AE213)</f>
        <v>982.69999999999993</v>
      </c>
      <c r="AI213" s="1068">
        <v>-15.5</v>
      </c>
      <c r="AJ213" s="1068"/>
      <c r="AK213" s="1068">
        <v>31</v>
      </c>
      <c r="AL213" s="1068">
        <f>AK213*('Ввод исходных данных'!$D$83-AI213)</f>
        <v>1100.5</v>
      </c>
      <c r="AM213" s="1069">
        <v>-16.899999999999999</v>
      </c>
      <c r="AN213" s="1069"/>
      <c r="AO213" s="1069">
        <v>28</v>
      </c>
      <c r="AP213" s="1069">
        <f>AO213*('Ввод исходных данных'!$D$83-AM213)</f>
        <v>1033.2</v>
      </c>
      <c r="AQ213" s="1064">
        <v>-14.6</v>
      </c>
      <c r="AR213" s="1064"/>
      <c r="AS213" s="1064">
        <f t="shared" si="40"/>
        <v>31</v>
      </c>
      <c r="AT213" s="1064">
        <f>AS213*('Ввод исходных данных'!$D$83-AQ213)</f>
        <v>1072.6000000000001</v>
      </c>
      <c r="AU213" s="1070">
        <v>-8.6</v>
      </c>
      <c r="AV213" s="1070"/>
      <c r="AW213" s="1070">
        <f t="shared" si="41"/>
        <v>30</v>
      </c>
      <c r="AX213" s="1070">
        <f>AW213*('Ввод исходных данных'!$D$83-AU213)</f>
        <v>858</v>
      </c>
      <c r="AY213" s="1071">
        <v>-2.9</v>
      </c>
      <c r="AZ213" s="1071"/>
      <c r="BA213" s="1071">
        <f t="shared" si="42"/>
        <v>31</v>
      </c>
      <c r="BB213" s="1071">
        <f>BA213*('Ввод исходных данных'!$D$83-AY213)</f>
        <v>709.9</v>
      </c>
      <c r="BC213" s="1072">
        <v>-2.5</v>
      </c>
      <c r="BD213" s="1072"/>
      <c r="BE213" s="1072">
        <f t="shared" si="34"/>
        <v>28.5</v>
      </c>
      <c r="BF213" s="1073">
        <f>BE213*('Ввод исходных данных'!$D$83-BC213)</f>
        <v>641.25</v>
      </c>
    </row>
    <row r="214" spans="1:58" ht="15.75" customHeight="1" x14ac:dyDescent="0.25">
      <c r="B214" s="1076" t="s">
        <v>618</v>
      </c>
      <c r="C214" s="1076" t="s">
        <v>217</v>
      </c>
      <c r="D214" s="1053" t="str">
        <f t="shared" si="43"/>
        <v>Ненецкий АО (Архангельская область)Хоседа-Хард</v>
      </c>
      <c r="E214" s="1054">
        <v>296</v>
      </c>
      <c r="F214" s="1055">
        <v>-8.6</v>
      </c>
      <c r="G214" s="1055">
        <v>-42</v>
      </c>
      <c r="H214" s="1057">
        <v>7.2</v>
      </c>
      <c r="I214" s="1058">
        <f>E214*('Ввод исходных данных'!$D$83-F214)</f>
        <v>8465.6</v>
      </c>
      <c r="J214" s="1059" t="str">
        <f t="shared" si="33"/>
        <v>8000-9000</v>
      </c>
      <c r="K214" s="1060">
        <v>13.3</v>
      </c>
      <c r="L214" s="1060"/>
      <c r="M214" s="1061">
        <f t="shared" si="35"/>
        <v>0</v>
      </c>
      <c r="N214" s="1062">
        <f>M214*('Ввод исходных данных'!$D$83-K214)</f>
        <v>0</v>
      </c>
      <c r="O214" s="1063">
        <v>9.9</v>
      </c>
      <c r="P214" s="1063"/>
      <c r="Q214" s="1063">
        <f t="shared" si="36"/>
        <v>11.5</v>
      </c>
      <c r="R214" s="1063">
        <f>Q214*('Ввод исходных данных'!$D$83-O214)</f>
        <v>116.14999999999999</v>
      </c>
      <c r="S214" s="1064">
        <v>4.9000000000000004</v>
      </c>
      <c r="T214" s="1064"/>
      <c r="U214" s="1064">
        <f t="shared" si="37"/>
        <v>30</v>
      </c>
      <c r="V214" s="1064">
        <f>U214*('Ввод исходных данных'!$D$83-S214)</f>
        <v>453</v>
      </c>
      <c r="W214" s="1065">
        <v>-3.4</v>
      </c>
      <c r="X214" s="1065"/>
      <c r="Y214" s="1065">
        <f t="shared" si="38"/>
        <v>31</v>
      </c>
      <c r="Z214" s="1065">
        <f>Y214*('Ввод исходных данных'!$D$83-W214)</f>
        <v>725.4</v>
      </c>
      <c r="AA214" s="1066">
        <v>-12.1</v>
      </c>
      <c r="AB214" s="1066"/>
      <c r="AC214" s="1066">
        <f t="shared" si="39"/>
        <v>30</v>
      </c>
      <c r="AD214" s="1066">
        <f>AC214*('Ввод исходных данных'!$D$83-AA214)</f>
        <v>963</v>
      </c>
      <c r="AE214" s="1067">
        <v>-16.600000000000001</v>
      </c>
      <c r="AF214" s="1067"/>
      <c r="AG214" s="1067">
        <v>31</v>
      </c>
      <c r="AH214" s="1067">
        <f>AG214*('Ввод исходных данных'!$D$83-AE214)</f>
        <v>1134.6000000000001</v>
      </c>
      <c r="AI214" s="1068">
        <v>-20.399999999999999</v>
      </c>
      <c r="AJ214" s="1068"/>
      <c r="AK214" s="1068">
        <v>31</v>
      </c>
      <c r="AL214" s="1068">
        <f>AK214*('Ввод исходных данных'!$D$83-AI214)</f>
        <v>1252.3999999999999</v>
      </c>
      <c r="AM214" s="1069">
        <v>-19.7</v>
      </c>
      <c r="AN214" s="1069"/>
      <c r="AO214" s="1069">
        <v>28</v>
      </c>
      <c r="AP214" s="1069">
        <f>AO214*('Ввод исходных данных'!$D$83-AM214)</f>
        <v>1111.6000000000001</v>
      </c>
      <c r="AQ214" s="1064">
        <v>-13</v>
      </c>
      <c r="AR214" s="1064"/>
      <c r="AS214" s="1064">
        <f t="shared" si="40"/>
        <v>31</v>
      </c>
      <c r="AT214" s="1064">
        <f>AS214*('Ввод исходных данных'!$D$83-AQ214)</f>
        <v>1023</v>
      </c>
      <c r="AU214" s="1070">
        <v>-8.6</v>
      </c>
      <c r="AV214" s="1070"/>
      <c r="AW214" s="1070">
        <f t="shared" si="41"/>
        <v>30</v>
      </c>
      <c r="AX214" s="1070">
        <f>AW214*('Ввод исходных данных'!$D$83-AU214)</f>
        <v>858</v>
      </c>
      <c r="AY214" s="1071">
        <v>-0.8</v>
      </c>
      <c r="AZ214" s="1071"/>
      <c r="BA214" s="1071">
        <f t="shared" si="42"/>
        <v>31</v>
      </c>
      <c r="BB214" s="1071">
        <f>BA214*('Ввод исходных данных'!$D$83-AY214)</f>
        <v>644.80000000000007</v>
      </c>
      <c r="BC214" s="1072">
        <v>8.1</v>
      </c>
      <c r="BD214" s="1072"/>
      <c r="BE214" s="1072">
        <f t="shared" si="34"/>
        <v>11.5</v>
      </c>
      <c r="BF214" s="1073">
        <f>BE214*('Ввод исходных данных'!$D$83-BC214)</f>
        <v>136.85</v>
      </c>
    </row>
    <row r="215" spans="1:58" ht="15.75" customHeight="1" x14ac:dyDescent="0.25">
      <c r="B215" s="1052" t="s">
        <v>67</v>
      </c>
      <c r="C215" s="1052" t="s">
        <v>223</v>
      </c>
      <c r="D215" s="1053" t="str">
        <f t="shared" si="43"/>
        <v>Нижегородская областьАрзамас</v>
      </c>
      <c r="E215" s="1054">
        <v>216</v>
      </c>
      <c r="F215" s="1055">
        <v>-4.7</v>
      </c>
      <c r="G215" s="1055">
        <v>-32</v>
      </c>
      <c r="H215" s="1057">
        <v>7.5</v>
      </c>
      <c r="I215" s="1058">
        <f>E215*('Ввод исходных данных'!$D$83-F215)</f>
        <v>5335.2</v>
      </c>
      <c r="J215" s="1059" t="str">
        <f t="shared" si="33"/>
        <v>5000-6000</v>
      </c>
      <c r="K215" s="1060">
        <v>18.8</v>
      </c>
      <c r="L215" s="1060"/>
      <c r="M215" s="1061">
        <f t="shared" si="35"/>
        <v>0</v>
      </c>
      <c r="N215" s="1062">
        <f>M215*('Ввод исходных данных'!$D$83-K215)</f>
        <v>0</v>
      </c>
      <c r="O215" s="1063">
        <v>17.2</v>
      </c>
      <c r="P215" s="1063"/>
      <c r="Q215" s="1063">
        <f t="shared" si="36"/>
        <v>0</v>
      </c>
      <c r="R215" s="1063">
        <f>Q215*('Ввод исходных данных'!$D$83-O215)</f>
        <v>0</v>
      </c>
      <c r="S215" s="1064">
        <v>10.8</v>
      </c>
      <c r="T215" s="1064"/>
      <c r="U215" s="1064">
        <f t="shared" si="37"/>
        <v>2</v>
      </c>
      <c r="V215" s="1064">
        <f>U215*('Ввод исходных данных'!$D$83-S215)</f>
        <v>18.399999999999999</v>
      </c>
      <c r="W215" s="1065">
        <v>3.5</v>
      </c>
      <c r="X215" s="1065"/>
      <c r="Y215" s="1065">
        <f t="shared" si="38"/>
        <v>31</v>
      </c>
      <c r="Z215" s="1065">
        <f>Y215*('Ввод исходных данных'!$D$83-W215)</f>
        <v>511.5</v>
      </c>
      <c r="AA215" s="1066">
        <v>-3.6</v>
      </c>
      <c r="AB215" s="1066"/>
      <c r="AC215" s="1066">
        <f t="shared" si="39"/>
        <v>30</v>
      </c>
      <c r="AD215" s="1066">
        <f>AC215*('Ввод исходных данных'!$D$83-AA215)</f>
        <v>708</v>
      </c>
      <c r="AE215" s="1067">
        <v>-9.4</v>
      </c>
      <c r="AF215" s="1067"/>
      <c r="AG215" s="1067">
        <v>31</v>
      </c>
      <c r="AH215" s="1067">
        <f>AG215*('Ввод исходных данных'!$D$83-AE215)</f>
        <v>911.4</v>
      </c>
      <c r="AI215" s="1068">
        <v>-12.4</v>
      </c>
      <c r="AJ215" s="1068"/>
      <c r="AK215" s="1068">
        <v>31</v>
      </c>
      <c r="AL215" s="1068">
        <f>AK215*('Ввод исходных данных'!$D$83-AI215)</f>
        <v>1004.4</v>
      </c>
      <c r="AM215" s="1069">
        <v>-11.9</v>
      </c>
      <c r="AN215" s="1069"/>
      <c r="AO215" s="1069">
        <v>28</v>
      </c>
      <c r="AP215" s="1069">
        <f>AO215*('Ввод исходных данных'!$D$83-AM215)</f>
        <v>893.19999999999993</v>
      </c>
      <c r="AQ215" s="1064">
        <v>-6.5</v>
      </c>
      <c r="AR215" s="1064"/>
      <c r="AS215" s="1064">
        <f t="shared" si="40"/>
        <v>31</v>
      </c>
      <c r="AT215" s="1064">
        <f>AS215*('Ввод исходных данных'!$D$83-AQ215)</f>
        <v>821.5</v>
      </c>
      <c r="AU215" s="1070">
        <v>3.5</v>
      </c>
      <c r="AV215" s="1070"/>
      <c r="AW215" s="1070">
        <f t="shared" si="41"/>
        <v>30</v>
      </c>
      <c r="AX215" s="1070">
        <f>AW215*('Ввод исходных данных'!$D$83-AU215)</f>
        <v>495</v>
      </c>
      <c r="AY215" s="1071">
        <v>12</v>
      </c>
      <c r="AZ215" s="1071"/>
      <c r="BA215" s="1071">
        <f t="shared" si="42"/>
        <v>2</v>
      </c>
      <c r="BB215" s="1071">
        <f>BA215*('Ввод исходных данных'!$D$83-AY215)</f>
        <v>16</v>
      </c>
      <c r="BC215" s="1072">
        <v>16.899999999999999</v>
      </c>
      <c r="BD215" s="1072"/>
      <c r="BE215" s="1072">
        <f t="shared" si="34"/>
        <v>0</v>
      </c>
      <c r="BF215" s="1073">
        <f>BE215*('Ввод исходных данных'!$D$83-BC215)</f>
        <v>0</v>
      </c>
    </row>
    <row r="216" spans="1:58" ht="15.75" customHeight="1" x14ac:dyDescent="0.25">
      <c r="B216" s="1076" t="s">
        <v>67</v>
      </c>
      <c r="C216" s="1076" t="s">
        <v>225</v>
      </c>
      <c r="D216" s="1053" t="str">
        <f t="shared" si="43"/>
        <v>Нижегородская областьВыкса</v>
      </c>
      <c r="E216" s="1054">
        <v>212</v>
      </c>
      <c r="F216" s="1055">
        <v>-4</v>
      </c>
      <c r="G216" s="1055">
        <v>-30</v>
      </c>
      <c r="H216" s="1057">
        <f>H217</f>
        <v>5.0999999999999996</v>
      </c>
      <c r="I216" s="1058">
        <f>E216*('Ввод исходных данных'!$D$83-F216)</f>
        <v>5088</v>
      </c>
      <c r="J216" s="1059" t="str">
        <f t="shared" si="33"/>
        <v>5000-6000</v>
      </c>
      <c r="K216" s="1060">
        <v>18.899999999999999</v>
      </c>
      <c r="L216" s="1060"/>
      <c r="M216" s="1061">
        <f t="shared" si="35"/>
        <v>0.5</v>
      </c>
      <c r="N216" s="1062">
        <f>M216*('Ввод исходных данных'!$D$83-K216)</f>
        <v>0.55000000000000071</v>
      </c>
      <c r="O216" s="1063">
        <v>17</v>
      </c>
      <c r="P216" s="1063"/>
      <c r="Q216" s="1063">
        <f t="shared" si="36"/>
        <v>0</v>
      </c>
      <c r="R216" s="1063">
        <f>Q216*('Ввод исходных данных'!$D$83-O216)</f>
        <v>0</v>
      </c>
      <c r="S216" s="1064">
        <v>11.1</v>
      </c>
      <c r="T216" s="1064"/>
      <c r="U216" s="1064">
        <f t="shared" si="37"/>
        <v>0</v>
      </c>
      <c r="V216" s="1064">
        <f>U216*('Ввод исходных данных'!$D$83-S216)</f>
        <v>0</v>
      </c>
      <c r="W216" s="1065">
        <v>4</v>
      </c>
      <c r="X216" s="1065"/>
      <c r="Y216" s="1065">
        <f t="shared" si="38"/>
        <v>30.5</v>
      </c>
      <c r="Z216" s="1065">
        <f>Y216*('Ввод исходных данных'!$D$83-W216)</f>
        <v>488</v>
      </c>
      <c r="AA216" s="1066">
        <v>-2.8</v>
      </c>
      <c r="AB216" s="1066"/>
      <c r="AC216" s="1066">
        <f t="shared" si="39"/>
        <v>30</v>
      </c>
      <c r="AD216" s="1066">
        <f>AC216*('Ввод исходных данных'!$D$83-AA216)</f>
        <v>684</v>
      </c>
      <c r="AE216" s="1067">
        <v>-8.5</v>
      </c>
      <c r="AF216" s="1067"/>
      <c r="AG216" s="1067">
        <v>31</v>
      </c>
      <c r="AH216" s="1067">
        <f>AG216*('Ввод исходных данных'!$D$83-AE216)</f>
        <v>883.5</v>
      </c>
      <c r="AI216" s="1068">
        <v>-11.3</v>
      </c>
      <c r="AJ216" s="1068"/>
      <c r="AK216" s="1068">
        <v>31</v>
      </c>
      <c r="AL216" s="1068">
        <f>AK216*('Ввод исходных данных'!$D$83-AI216)</f>
        <v>970.30000000000007</v>
      </c>
      <c r="AM216" s="1069">
        <v>-10.8</v>
      </c>
      <c r="AN216" s="1069"/>
      <c r="AO216" s="1069">
        <v>28</v>
      </c>
      <c r="AP216" s="1069">
        <f>AO216*('Ввод исходных данных'!$D$83-AM216)</f>
        <v>862.4</v>
      </c>
      <c r="AQ216" s="1064">
        <v>-5.0999999999999996</v>
      </c>
      <c r="AR216" s="1064"/>
      <c r="AS216" s="1064">
        <f t="shared" si="40"/>
        <v>31</v>
      </c>
      <c r="AT216" s="1064">
        <f>AS216*('Ввод исходных данных'!$D$83-AQ216)</f>
        <v>778.1</v>
      </c>
      <c r="AU216" s="1070">
        <v>4.4000000000000004</v>
      </c>
      <c r="AV216" s="1070"/>
      <c r="AW216" s="1070">
        <f t="shared" si="41"/>
        <v>30</v>
      </c>
      <c r="AX216" s="1070">
        <f>AW216*('Ввод исходных данных'!$D$83-AU216)</f>
        <v>468</v>
      </c>
      <c r="AY216" s="1071">
        <v>12.5</v>
      </c>
      <c r="AZ216" s="1071"/>
      <c r="BA216" s="1071">
        <f t="shared" si="42"/>
        <v>0</v>
      </c>
      <c r="BB216" s="1071">
        <f>BA216*('Ввод исходных данных'!$D$83-AY216)</f>
        <v>0</v>
      </c>
      <c r="BC216" s="1072">
        <v>16.8</v>
      </c>
      <c r="BD216" s="1072"/>
      <c r="BE216" s="1072">
        <f t="shared" si="34"/>
        <v>0</v>
      </c>
      <c r="BF216" s="1073">
        <f>BE216*('Ввод исходных данных'!$D$83-BC216)</f>
        <v>0</v>
      </c>
    </row>
    <row r="217" spans="1:58" ht="15.75" customHeight="1" x14ac:dyDescent="0.25">
      <c r="B217" s="1052" t="s">
        <v>67</v>
      </c>
      <c r="C217" s="1052" t="s">
        <v>224</v>
      </c>
      <c r="D217" s="1053" t="str">
        <f t="shared" si="43"/>
        <v>Нижегородская областьНижний Новгород</v>
      </c>
      <c r="E217" s="1054">
        <v>215</v>
      </c>
      <c r="F217" s="1055">
        <v>-4.0999999999999996</v>
      </c>
      <c r="G217" s="1055">
        <v>-31</v>
      </c>
      <c r="H217" s="1057">
        <v>5.0999999999999996</v>
      </c>
      <c r="I217" s="1058">
        <f>E217*('Ввод исходных данных'!$D$83-F217)</f>
        <v>5181.5</v>
      </c>
      <c r="J217" s="1059" t="str">
        <f t="shared" si="33"/>
        <v>5000-6000</v>
      </c>
      <c r="K217" s="1060">
        <v>18.399999999999999</v>
      </c>
      <c r="L217" s="1060"/>
      <c r="M217" s="1061">
        <f t="shared" si="35"/>
        <v>0</v>
      </c>
      <c r="N217" s="1062">
        <f>M217*('Ввод исходных данных'!$D$83-K217)</f>
        <v>0</v>
      </c>
      <c r="O217" s="1063">
        <v>16.899999999999999</v>
      </c>
      <c r="P217" s="1063"/>
      <c r="Q217" s="1063">
        <f t="shared" si="36"/>
        <v>0</v>
      </c>
      <c r="R217" s="1063">
        <f>Q217*('Ввод исходных данных'!$D$83-O217)</f>
        <v>0</v>
      </c>
      <c r="S217" s="1064">
        <v>11</v>
      </c>
      <c r="T217" s="1064"/>
      <c r="U217" s="1064">
        <f t="shared" si="37"/>
        <v>1.5</v>
      </c>
      <c r="V217" s="1064">
        <f>U217*('Ввод исходных данных'!$D$83-S217)</f>
        <v>13.5</v>
      </c>
      <c r="W217" s="1065">
        <v>3.6</v>
      </c>
      <c r="X217" s="1065"/>
      <c r="Y217" s="1065">
        <f t="shared" si="38"/>
        <v>31</v>
      </c>
      <c r="Z217" s="1065">
        <f>Y217*('Ввод исходных данных'!$D$83-W217)</f>
        <v>508.4</v>
      </c>
      <c r="AA217" s="1066">
        <v>-2.8</v>
      </c>
      <c r="AB217" s="1066"/>
      <c r="AC217" s="1066">
        <f t="shared" si="39"/>
        <v>30</v>
      </c>
      <c r="AD217" s="1066">
        <f>AC217*('Ввод исходных данных'!$D$83-AA217)</f>
        <v>684</v>
      </c>
      <c r="AE217" s="1067">
        <v>-8.9</v>
      </c>
      <c r="AF217" s="1067"/>
      <c r="AG217" s="1067">
        <v>31</v>
      </c>
      <c r="AH217" s="1067">
        <f>AG217*('Ввод исходных данных'!$D$83-AE217)</f>
        <v>895.9</v>
      </c>
      <c r="AI217" s="1068">
        <v>-11.8</v>
      </c>
      <c r="AJ217" s="1068"/>
      <c r="AK217" s="1068">
        <v>31</v>
      </c>
      <c r="AL217" s="1068">
        <f>AK217*('Ввод исходных данных'!$D$83-AI217)</f>
        <v>985.80000000000007</v>
      </c>
      <c r="AM217" s="1069">
        <v>-11.1</v>
      </c>
      <c r="AN217" s="1069"/>
      <c r="AO217" s="1069">
        <v>28</v>
      </c>
      <c r="AP217" s="1069">
        <f>AO217*('Ввод исходных данных'!$D$83-AM217)</f>
        <v>870.80000000000007</v>
      </c>
      <c r="AQ217" s="1064">
        <v>-5</v>
      </c>
      <c r="AR217" s="1064"/>
      <c r="AS217" s="1064">
        <f t="shared" si="40"/>
        <v>31</v>
      </c>
      <c r="AT217" s="1064">
        <f>AS217*('Ввод исходных данных'!$D$83-AQ217)</f>
        <v>775</v>
      </c>
      <c r="AU217" s="1070">
        <v>4.2</v>
      </c>
      <c r="AV217" s="1070"/>
      <c r="AW217" s="1070">
        <f t="shared" si="41"/>
        <v>30</v>
      </c>
      <c r="AX217" s="1070">
        <f>AW217*('Ввод исходных данных'!$D$83-AU217)</f>
        <v>474</v>
      </c>
      <c r="AY217" s="1071">
        <v>12</v>
      </c>
      <c r="AZ217" s="1071"/>
      <c r="BA217" s="1071">
        <f t="shared" si="42"/>
        <v>1.5</v>
      </c>
      <c r="BB217" s="1071">
        <f>BA217*('Ввод исходных данных'!$D$83-AY217)</f>
        <v>12</v>
      </c>
      <c r="BC217" s="1072">
        <v>16.399999999999999</v>
      </c>
      <c r="BD217" s="1072"/>
      <c r="BE217" s="1072">
        <f t="shared" si="34"/>
        <v>0</v>
      </c>
      <c r="BF217" s="1073">
        <f>BE217*('Ввод исходных данных'!$D$83-BC217)</f>
        <v>0</v>
      </c>
    </row>
    <row r="218" spans="1:58" ht="15.75" customHeight="1" x14ac:dyDescent="0.25">
      <c r="B218" s="1076" t="s">
        <v>226</v>
      </c>
      <c r="C218" s="1076" t="s">
        <v>227</v>
      </c>
      <c r="D218" s="1053" t="str">
        <f t="shared" si="43"/>
        <v>Новгородская областьБоровичи</v>
      </c>
      <c r="E218" s="1054">
        <v>220</v>
      </c>
      <c r="F218" s="1055">
        <v>-2.8</v>
      </c>
      <c r="G218" s="1055">
        <v>-29</v>
      </c>
      <c r="H218" s="1057">
        <v>3.9</v>
      </c>
      <c r="I218" s="1058">
        <f>E218*('Ввод исходных данных'!$D$83-F218)</f>
        <v>5016</v>
      </c>
      <c r="J218" s="1059" t="str">
        <f t="shared" si="33"/>
        <v>5000-6000</v>
      </c>
      <c r="K218" s="1060">
        <v>17.399999999999999</v>
      </c>
      <c r="L218" s="1060"/>
      <c r="M218" s="1061">
        <f t="shared" si="35"/>
        <v>0</v>
      </c>
      <c r="N218" s="1062">
        <f>M218*('Ввод исходных данных'!$D$83-K218)</f>
        <v>0</v>
      </c>
      <c r="O218" s="1063">
        <v>15.4</v>
      </c>
      <c r="P218" s="1063"/>
      <c r="Q218" s="1063">
        <f t="shared" si="36"/>
        <v>0</v>
      </c>
      <c r="R218" s="1063">
        <f>Q218*('Ввод исходных данных'!$D$83-O218)</f>
        <v>0</v>
      </c>
      <c r="S218" s="1064">
        <v>10</v>
      </c>
      <c r="T218" s="1064"/>
      <c r="U218" s="1064">
        <f t="shared" si="37"/>
        <v>4</v>
      </c>
      <c r="V218" s="1064">
        <f>U218*('Ввод исходных данных'!$D$83-S218)</f>
        <v>40</v>
      </c>
      <c r="W218" s="1065">
        <v>4.2</v>
      </c>
      <c r="X218" s="1065"/>
      <c r="Y218" s="1065">
        <f t="shared" si="38"/>
        <v>31</v>
      </c>
      <c r="Z218" s="1065">
        <f>Y218*('Ввод исходных данных'!$D$83-W218)</f>
        <v>489.8</v>
      </c>
      <c r="AA218" s="1066">
        <v>-1.6</v>
      </c>
      <c r="AB218" s="1066"/>
      <c r="AC218" s="1066">
        <f t="shared" si="39"/>
        <v>30</v>
      </c>
      <c r="AD218" s="1066">
        <f>AC218*('Ввод исходных данных'!$D$83-AA218)</f>
        <v>648</v>
      </c>
      <c r="AE218" s="1067">
        <v>-6.7</v>
      </c>
      <c r="AF218" s="1067"/>
      <c r="AG218" s="1067">
        <v>31</v>
      </c>
      <c r="AH218" s="1067">
        <f>AG218*('Ввод исходных данных'!$D$83-AE218)</f>
        <v>827.69999999999993</v>
      </c>
      <c r="AI218" s="1068">
        <v>-9.8000000000000007</v>
      </c>
      <c r="AJ218" s="1068"/>
      <c r="AK218" s="1068">
        <v>31</v>
      </c>
      <c r="AL218" s="1068">
        <f>AK218*('Ввод исходных данных'!$D$83-AI218)</f>
        <v>923.80000000000007</v>
      </c>
      <c r="AM218" s="1069">
        <v>-8.8000000000000007</v>
      </c>
      <c r="AN218" s="1069"/>
      <c r="AO218" s="1069">
        <v>28</v>
      </c>
      <c r="AP218" s="1069">
        <f>AO218*('Ввод исходных данных'!$D$83-AM218)</f>
        <v>806.4</v>
      </c>
      <c r="AQ218" s="1064">
        <v>-3.8</v>
      </c>
      <c r="AR218" s="1064"/>
      <c r="AS218" s="1064">
        <f t="shared" si="40"/>
        <v>31</v>
      </c>
      <c r="AT218" s="1064">
        <f>AS218*('Ввод исходных данных'!$D$83-AQ218)</f>
        <v>737.80000000000007</v>
      </c>
      <c r="AU218" s="1070">
        <v>3.8</v>
      </c>
      <c r="AV218" s="1070"/>
      <c r="AW218" s="1070">
        <f t="shared" si="41"/>
        <v>30</v>
      </c>
      <c r="AX218" s="1070">
        <f>AW218*('Ввод исходных данных'!$D$83-AU218)</f>
        <v>486</v>
      </c>
      <c r="AY218" s="1071">
        <v>11</v>
      </c>
      <c r="AZ218" s="1071"/>
      <c r="BA218" s="1071">
        <f t="shared" si="42"/>
        <v>4</v>
      </c>
      <c r="BB218" s="1071">
        <f>BA218*('Ввод исходных данных'!$D$83-AY218)</f>
        <v>36</v>
      </c>
      <c r="BC218" s="1072">
        <v>15.4</v>
      </c>
      <c r="BD218" s="1072"/>
      <c r="BE218" s="1072">
        <f t="shared" si="34"/>
        <v>0</v>
      </c>
      <c r="BF218" s="1073">
        <f>BE218*('Ввод исходных данных'!$D$83-BC218)</f>
        <v>0</v>
      </c>
    </row>
    <row r="219" spans="1:58" ht="15.75" customHeight="1" x14ac:dyDescent="0.25">
      <c r="B219" s="1052" t="s">
        <v>226</v>
      </c>
      <c r="C219" s="1052" t="s">
        <v>228</v>
      </c>
      <c r="D219" s="1053" t="str">
        <f t="shared" si="43"/>
        <v>Новгородская областьНовгород</v>
      </c>
      <c r="E219" s="1054">
        <v>221</v>
      </c>
      <c r="F219" s="1055">
        <v>-2.2999999999999998</v>
      </c>
      <c r="G219" s="1055">
        <v>-27</v>
      </c>
      <c r="H219" s="1057">
        <v>6.6</v>
      </c>
      <c r="I219" s="1058">
        <f>E219*('Ввод исходных данных'!$D$83-F219)</f>
        <v>4928.3</v>
      </c>
      <c r="J219" s="1059" t="str">
        <f t="shared" si="33"/>
        <v>4000-5000</v>
      </c>
      <c r="K219" s="1060">
        <v>17.3</v>
      </c>
      <c r="L219" s="1060"/>
      <c r="M219" s="1061">
        <f t="shared" si="35"/>
        <v>0</v>
      </c>
      <c r="N219" s="1062">
        <f>M219*('Ввод исходных данных'!$D$83-K219)</f>
        <v>0</v>
      </c>
      <c r="O219" s="1063">
        <v>15.4</v>
      </c>
      <c r="P219" s="1063"/>
      <c r="Q219" s="1063">
        <f t="shared" si="36"/>
        <v>0</v>
      </c>
      <c r="R219" s="1063">
        <f>Q219*('Ввод исходных данных'!$D$83-O219)</f>
        <v>0</v>
      </c>
      <c r="S219" s="1064">
        <v>10.3</v>
      </c>
      <c r="T219" s="1064"/>
      <c r="U219" s="1064">
        <f t="shared" si="37"/>
        <v>4.5</v>
      </c>
      <c r="V219" s="1064">
        <f>U219*('Ввод исходных данных'!$D$83-S219)</f>
        <v>43.65</v>
      </c>
      <c r="W219" s="1065">
        <v>4.2</v>
      </c>
      <c r="X219" s="1065"/>
      <c r="Y219" s="1065">
        <f t="shared" si="38"/>
        <v>31</v>
      </c>
      <c r="Z219" s="1065">
        <f>Y219*('Ввод исходных данных'!$D$83-W219)</f>
        <v>489.8</v>
      </c>
      <c r="AA219" s="1066">
        <v>-0.9</v>
      </c>
      <c r="AB219" s="1066"/>
      <c r="AC219" s="1066">
        <f t="shared" si="39"/>
        <v>30</v>
      </c>
      <c r="AD219" s="1066">
        <f>AC219*('Ввод исходных данных'!$D$83-AA219)</f>
        <v>627</v>
      </c>
      <c r="AE219" s="1067">
        <v>-5.9</v>
      </c>
      <c r="AF219" s="1067"/>
      <c r="AG219" s="1067">
        <v>31</v>
      </c>
      <c r="AH219" s="1067">
        <f>AG219*('Ввод исходных данных'!$D$83-AE219)</f>
        <v>802.9</v>
      </c>
      <c r="AI219" s="1068">
        <v>-8.6999999999999993</v>
      </c>
      <c r="AJ219" s="1068"/>
      <c r="AK219" s="1068">
        <v>31</v>
      </c>
      <c r="AL219" s="1068">
        <f>AK219*('Ввод исходных данных'!$D$83-AI219)</f>
        <v>889.69999999999993</v>
      </c>
      <c r="AM219" s="1069">
        <v>-8.6999999999999993</v>
      </c>
      <c r="AN219" s="1069"/>
      <c r="AO219" s="1069">
        <v>28</v>
      </c>
      <c r="AP219" s="1069">
        <f>AO219*('Ввод исходных данных'!$D$83-AM219)</f>
        <v>803.6</v>
      </c>
      <c r="AQ219" s="1064">
        <v>-4.3</v>
      </c>
      <c r="AR219" s="1064"/>
      <c r="AS219" s="1064">
        <f t="shared" si="40"/>
        <v>31</v>
      </c>
      <c r="AT219" s="1064">
        <f>AS219*('Ввод исходных данных'!$D$83-AQ219)</f>
        <v>753.30000000000007</v>
      </c>
      <c r="AU219" s="1070">
        <v>3.3</v>
      </c>
      <c r="AV219" s="1070"/>
      <c r="AW219" s="1070">
        <f t="shared" si="41"/>
        <v>30</v>
      </c>
      <c r="AX219" s="1070">
        <f>AW219*('Ввод исходных данных'!$D$83-AU219)</f>
        <v>501</v>
      </c>
      <c r="AY219" s="1071">
        <v>10.4</v>
      </c>
      <c r="AZ219" s="1071"/>
      <c r="BA219" s="1071">
        <f t="shared" si="42"/>
        <v>4.5</v>
      </c>
      <c r="BB219" s="1071">
        <f>BA219*('Ввод исходных данных'!$D$83-AY219)</f>
        <v>43.199999999999996</v>
      </c>
      <c r="BC219" s="1072">
        <v>15.2</v>
      </c>
      <c r="BD219" s="1072"/>
      <c r="BE219" s="1072">
        <f t="shared" si="34"/>
        <v>0</v>
      </c>
      <c r="BF219" s="1073">
        <f>BE219*('Ввод исходных данных'!$D$83-BC219)</f>
        <v>0</v>
      </c>
    </row>
    <row r="220" spans="1:58" ht="15.75" customHeight="1" x14ac:dyDescent="0.25">
      <c r="B220" s="1076" t="s">
        <v>229</v>
      </c>
      <c r="C220" s="1076" t="s">
        <v>230</v>
      </c>
      <c r="D220" s="1053" t="str">
        <f t="shared" si="43"/>
        <v>Новосибирская областьБарабинск</v>
      </c>
      <c r="E220" s="1054">
        <v>230</v>
      </c>
      <c r="F220" s="1055">
        <v>-9</v>
      </c>
      <c r="G220" s="1055">
        <v>-39</v>
      </c>
      <c r="H220" s="1057">
        <v>6.5</v>
      </c>
      <c r="I220" s="1058">
        <f>E220*('Ввод исходных данных'!$D$83-F220)</f>
        <v>6670</v>
      </c>
      <c r="J220" s="1059" t="str">
        <f t="shared" si="33"/>
        <v>6000-7000</v>
      </c>
      <c r="K220" s="1060">
        <v>19.2</v>
      </c>
      <c r="L220" s="1060"/>
      <c r="M220" s="1061">
        <f t="shared" si="35"/>
        <v>0</v>
      </c>
      <c r="N220" s="1062">
        <f>M220*('Ввод исходных данных'!$D$83-K220)</f>
        <v>0</v>
      </c>
      <c r="O220" s="1063">
        <v>15.8</v>
      </c>
      <c r="P220" s="1063"/>
      <c r="Q220" s="1063">
        <f t="shared" si="36"/>
        <v>0</v>
      </c>
      <c r="R220" s="1063">
        <f>Q220*('Ввод исходных данных'!$D$83-O220)</f>
        <v>0</v>
      </c>
      <c r="S220" s="1064">
        <v>9.8000000000000007</v>
      </c>
      <c r="T220" s="1064"/>
      <c r="U220" s="1064">
        <f t="shared" si="37"/>
        <v>9</v>
      </c>
      <c r="V220" s="1064">
        <f>U220*('Ввод исходных данных'!$D$83-S220)</f>
        <v>91.8</v>
      </c>
      <c r="W220" s="1065">
        <v>2</v>
      </c>
      <c r="X220" s="1065"/>
      <c r="Y220" s="1065">
        <f t="shared" si="38"/>
        <v>31</v>
      </c>
      <c r="Z220" s="1065">
        <f>Y220*('Ввод исходных данных'!$D$83-W220)</f>
        <v>558</v>
      </c>
      <c r="AA220" s="1066">
        <v>-8.3000000000000007</v>
      </c>
      <c r="AB220" s="1066"/>
      <c r="AC220" s="1066">
        <f t="shared" si="39"/>
        <v>30</v>
      </c>
      <c r="AD220" s="1066">
        <f>AC220*('Ввод исходных данных'!$D$83-AA220)</f>
        <v>849</v>
      </c>
      <c r="AE220" s="1067">
        <v>-15.3</v>
      </c>
      <c r="AF220" s="1067"/>
      <c r="AG220" s="1067">
        <v>31</v>
      </c>
      <c r="AH220" s="1067">
        <f>AG220*('Ввод исходных данных'!$D$83-AE220)</f>
        <v>1094.3</v>
      </c>
      <c r="AI220" s="1068">
        <v>-18.3</v>
      </c>
      <c r="AJ220" s="1068"/>
      <c r="AK220" s="1068">
        <v>31</v>
      </c>
      <c r="AL220" s="1068">
        <f>AK220*('Ввод исходных данных'!$D$83-AI220)</f>
        <v>1187.3</v>
      </c>
      <c r="AM220" s="1069">
        <v>-17</v>
      </c>
      <c r="AN220" s="1069"/>
      <c r="AO220" s="1069">
        <v>28</v>
      </c>
      <c r="AP220" s="1069">
        <f>AO220*('Ввод исходных данных'!$D$83-AM220)</f>
        <v>1036</v>
      </c>
      <c r="AQ220" s="1064">
        <v>-9.1999999999999993</v>
      </c>
      <c r="AR220" s="1064"/>
      <c r="AS220" s="1064">
        <f t="shared" si="40"/>
        <v>31</v>
      </c>
      <c r="AT220" s="1064">
        <f>AS220*('Ввод исходных данных'!$D$83-AQ220)</f>
        <v>905.19999999999993</v>
      </c>
      <c r="AU220" s="1070">
        <v>2.1</v>
      </c>
      <c r="AV220" s="1070"/>
      <c r="AW220" s="1070">
        <f t="shared" si="41"/>
        <v>30</v>
      </c>
      <c r="AX220" s="1070">
        <f>AW220*('Ввод исходных данных'!$D$83-AU220)</f>
        <v>537</v>
      </c>
      <c r="AY220" s="1071">
        <v>11</v>
      </c>
      <c r="AZ220" s="1071"/>
      <c r="BA220" s="1071">
        <f t="shared" si="42"/>
        <v>9</v>
      </c>
      <c r="BB220" s="1071">
        <f>BA220*('Ввод исходных данных'!$D$83-AY220)</f>
        <v>81</v>
      </c>
      <c r="BC220" s="1072">
        <v>17</v>
      </c>
      <c r="BD220" s="1072"/>
      <c r="BE220" s="1072">
        <f t="shared" si="34"/>
        <v>0</v>
      </c>
      <c r="BF220" s="1073">
        <f>BE220*('Ввод исходных данных'!$D$83-BC220)</f>
        <v>0</v>
      </c>
    </row>
    <row r="221" spans="1:58" ht="15.75" customHeight="1" x14ac:dyDescent="0.25">
      <c r="B221" s="1052" t="s">
        <v>229</v>
      </c>
      <c r="C221" s="1052" t="s">
        <v>231</v>
      </c>
      <c r="D221" s="1053" t="str">
        <f t="shared" si="43"/>
        <v>Новосибирская областьБолотное</v>
      </c>
      <c r="E221" s="1054">
        <v>228</v>
      </c>
      <c r="F221" s="1055">
        <v>-7.9</v>
      </c>
      <c r="G221" s="1055">
        <v>-39</v>
      </c>
      <c r="H221" s="1057">
        <v>3.9</v>
      </c>
      <c r="I221" s="1058">
        <f>E221*('Ввод исходных данных'!$D$83-F221)</f>
        <v>6361.2</v>
      </c>
      <c r="J221" s="1059" t="str">
        <f t="shared" si="33"/>
        <v>6000-7000</v>
      </c>
      <c r="K221" s="1060">
        <v>18.899999999999999</v>
      </c>
      <c r="L221" s="1060"/>
      <c r="M221" s="1061">
        <f t="shared" si="35"/>
        <v>0</v>
      </c>
      <c r="N221" s="1062">
        <f>M221*('Ввод исходных данных'!$D$83-K221)</f>
        <v>0</v>
      </c>
      <c r="O221" s="1063">
        <v>15.5</v>
      </c>
      <c r="P221" s="1063"/>
      <c r="Q221" s="1063">
        <f t="shared" si="36"/>
        <v>0</v>
      </c>
      <c r="R221" s="1063">
        <f>Q221*('Ввод исходных данных'!$D$83-O221)</f>
        <v>0</v>
      </c>
      <c r="S221" s="1064">
        <v>9.3000000000000007</v>
      </c>
      <c r="T221" s="1064"/>
      <c r="U221" s="1064">
        <f t="shared" si="37"/>
        <v>8</v>
      </c>
      <c r="V221" s="1064">
        <f>U221*('Ввод исходных данных'!$D$83-S221)</f>
        <v>85.6</v>
      </c>
      <c r="W221" s="1065">
        <v>1.7</v>
      </c>
      <c r="X221" s="1065"/>
      <c r="Y221" s="1065">
        <f t="shared" si="38"/>
        <v>31</v>
      </c>
      <c r="Z221" s="1065">
        <f>Y221*('Ввод исходных данных'!$D$83-W221)</f>
        <v>567.30000000000007</v>
      </c>
      <c r="AA221" s="1066">
        <v>-8</v>
      </c>
      <c r="AB221" s="1066"/>
      <c r="AC221" s="1066">
        <f t="shared" si="39"/>
        <v>30</v>
      </c>
      <c r="AD221" s="1066">
        <f>AC221*('Ввод исходных данных'!$D$83-AA221)</f>
        <v>840</v>
      </c>
      <c r="AE221" s="1067">
        <v>-15</v>
      </c>
      <c r="AF221" s="1067"/>
      <c r="AG221" s="1067">
        <v>31</v>
      </c>
      <c r="AH221" s="1067">
        <f>AG221*('Ввод исходных данных'!$D$83-AE221)</f>
        <v>1085</v>
      </c>
      <c r="AI221" s="1068">
        <v>-17.600000000000001</v>
      </c>
      <c r="AJ221" s="1068"/>
      <c r="AK221" s="1068">
        <v>31</v>
      </c>
      <c r="AL221" s="1068">
        <f>AK221*('Ввод исходных данных'!$D$83-AI221)</f>
        <v>1165.6000000000001</v>
      </c>
      <c r="AM221" s="1069">
        <v>-15.5</v>
      </c>
      <c r="AN221" s="1069"/>
      <c r="AO221" s="1069">
        <v>28</v>
      </c>
      <c r="AP221" s="1069">
        <f>AO221*('Ввод исходных данных'!$D$83-AM221)</f>
        <v>994</v>
      </c>
      <c r="AQ221" s="1064">
        <v>-7.5</v>
      </c>
      <c r="AR221" s="1064"/>
      <c r="AS221" s="1064">
        <f t="shared" si="40"/>
        <v>31</v>
      </c>
      <c r="AT221" s="1064">
        <f>AS221*('Ввод исходных данных'!$D$83-AQ221)</f>
        <v>852.5</v>
      </c>
      <c r="AU221" s="1070">
        <v>1.7</v>
      </c>
      <c r="AV221" s="1070"/>
      <c r="AW221" s="1070">
        <f t="shared" si="41"/>
        <v>30</v>
      </c>
      <c r="AX221" s="1070">
        <f>AW221*('Ввод исходных данных'!$D$83-AU221)</f>
        <v>549</v>
      </c>
      <c r="AY221" s="1071">
        <v>10.3</v>
      </c>
      <c r="AZ221" s="1071"/>
      <c r="BA221" s="1071">
        <f t="shared" si="42"/>
        <v>8</v>
      </c>
      <c r="BB221" s="1071">
        <f>BA221*('Ввод исходных данных'!$D$83-AY221)</f>
        <v>77.599999999999994</v>
      </c>
      <c r="BC221" s="1072">
        <v>16.3</v>
      </c>
      <c r="BD221" s="1072"/>
      <c r="BE221" s="1072">
        <f t="shared" si="34"/>
        <v>0</v>
      </c>
      <c r="BF221" s="1073">
        <f>BE221*('Ввод исходных данных'!$D$83-BC221)</f>
        <v>0</v>
      </c>
    </row>
    <row r="222" spans="1:58" ht="15.75" customHeight="1" x14ac:dyDescent="0.25">
      <c r="B222" s="1076" t="s">
        <v>229</v>
      </c>
      <c r="C222" s="1076" t="s">
        <v>668</v>
      </c>
      <c r="D222" s="1053" t="str">
        <f t="shared" si="43"/>
        <v>Новосибирская областьКарасук</v>
      </c>
      <c r="E222" s="1054">
        <v>218</v>
      </c>
      <c r="F222" s="1055">
        <v>-8.9</v>
      </c>
      <c r="G222" s="1055">
        <v>-37</v>
      </c>
      <c r="H222" s="1057">
        <f>H221</f>
        <v>3.9</v>
      </c>
      <c r="I222" s="1058">
        <f>E222*('Ввод исходных данных'!$D$83-F222)</f>
        <v>6300.2</v>
      </c>
      <c r="J222" s="1059" t="str">
        <f t="shared" si="33"/>
        <v>6000-7000</v>
      </c>
      <c r="K222" s="1060">
        <v>20.2</v>
      </c>
      <c r="L222" s="1060"/>
      <c r="M222" s="1061">
        <f t="shared" si="35"/>
        <v>0</v>
      </c>
      <c r="N222" s="1062">
        <f>M222*('Ввод исходных данных'!$D$83-K222)</f>
        <v>0</v>
      </c>
      <c r="O222" s="1063">
        <v>16.899999999999999</v>
      </c>
      <c r="P222" s="1063"/>
      <c r="Q222" s="1063">
        <f t="shared" si="36"/>
        <v>0</v>
      </c>
      <c r="R222" s="1063">
        <f>Q222*('Ввод исходных данных'!$D$83-O222)</f>
        <v>0</v>
      </c>
      <c r="S222" s="1064">
        <v>11.2</v>
      </c>
      <c r="T222" s="1064"/>
      <c r="U222" s="1064">
        <f t="shared" si="37"/>
        <v>3</v>
      </c>
      <c r="V222" s="1064">
        <f>U222*('Ввод исходных данных'!$D$83-S222)</f>
        <v>26.400000000000002</v>
      </c>
      <c r="W222" s="1065">
        <v>2.2000000000000002</v>
      </c>
      <c r="X222" s="1065"/>
      <c r="Y222" s="1065">
        <f t="shared" si="38"/>
        <v>31</v>
      </c>
      <c r="Z222" s="1065">
        <f>Y222*('Ввод исходных данных'!$D$83-W222)</f>
        <v>551.80000000000007</v>
      </c>
      <c r="AA222" s="1066">
        <v>-8.5</v>
      </c>
      <c r="AB222" s="1066"/>
      <c r="AC222" s="1066">
        <f t="shared" si="39"/>
        <v>30</v>
      </c>
      <c r="AD222" s="1066">
        <f>AC222*('Ввод исходных данных'!$D$83-AA222)</f>
        <v>855</v>
      </c>
      <c r="AE222" s="1067">
        <v>-16.2</v>
      </c>
      <c r="AF222" s="1067"/>
      <c r="AG222" s="1067">
        <v>31</v>
      </c>
      <c r="AH222" s="1067">
        <f>AG222*('Ввод исходных данных'!$D$83-AE222)</f>
        <v>1122.2</v>
      </c>
      <c r="AI222" s="1068">
        <v>-19.399999999999999</v>
      </c>
      <c r="AJ222" s="1068"/>
      <c r="AK222" s="1068">
        <v>31</v>
      </c>
      <c r="AL222" s="1068">
        <f>AK222*('Ввод исходных данных'!$D$83-AI222)</f>
        <v>1221.3999999999999</v>
      </c>
      <c r="AM222" s="1069">
        <v>-18.399999999999999</v>
      </c>
      <c r="AN222" s="1069"/>
      <c r="AO222" s="1069">
        <v>28</v>
      </c>
      <c r="AP222" s="1069">
        <f>AO222*('Ввод исходных данных'!$D$83-AM222)</f>
        <v>1075.2</v>
      </c>
      <c r="AQ222" s="1064">
        <v>-10.6</v>
      </c>
      <c r="AR222" s="1064"/>
      <c r="AS222" s="1064">
        <f t="shared" si="40"/>
        <v>31</v>
      </c>
      <c r="AT222" s="1064">
        <f>AS222*('Ввод исходных данных'!$D$83-AQ222)</f>
        <v>948.6</v>
      </c>
      <c r="AU222" s="1070">
        <v>2.9</v>
      </c>
      <c r="AV222" s="1070"/>
      <c r="AW222" s="1070">
        <f t="shared" si="41"/>
        <v>30</v>
      </c>
      <c r="AX222" s="1070">
        <f>AW222*('Ввод исходных данных'!$D$83-AU222)</f>
        <v>513</v>
      </c>
      <c r="AY222" s="1071">
        <v>12.1</v>
      </c>
      <c r="AZ222" s="1071"/>
      <c r="BA222" s="1071">
        <f t="shared" si="42"/>
        <v>3</v>
      </c>
      <c r="BB222" s="1071">
        <f>BA222*('Ввод исходных данных'!$D$83-AY222)</f>
        <v>23.700000000000003</v>
      </c>
      <c r="BC222" s="1072">
        <v>18.2</v>
      </c>
      <c r="BD222" s="1072"/>
      <c r="BE222" s="1072">
        <f t="shared" si="34"/>
        <v>0</v>
      </c>
      <c r="BF222" s="1073">
        <f>BE222*('Ввод исходных данных'!$D$83-BC222)</f>
        <v>0</v>
      </c>
    </row>
    <row r="223" spans="1:58" ht="15.75" customHeight="1" x14ac:dyDescent="0.25">
      <c r="A223" s="1087"/>
      <c r="B223" s="1052" t="s">
        <v>229</v>
      </c>
      <c r="C223" s="1052" t="s">
        <v>233</v>
      </c>
      <c r="D223" s="1053" t="str">
        <f t="shared" si="43"/>
        <v>Новосибирская областьКочки</v>
      </c>
      <c r="E223" s="1054">
        <v>228</v>
      </c>
      <c r="F223" s="1055">
        <v>-8.9</v>
      </c>
      <c r="G223" s="1055">
        <v>-39</v>
      </c>
      <c r="H223" s="1057">
        <f>H222</f>
        <v>3.9</v>
      </c>
      <c r="I223" s="1058">
        <f>E223*('Ввод исходных данных'!$D$83-F223)</f>
        <v>6589.2</v>
      </c>
      <c r="J223" s="1059" t="str">
        <f t="shared" si="33"/>
        <v>6000-7000</v>
      </c>
      <c r="K223" s="1060">
        <v>18.600000000000001</v>
      </c>
      <c r="L223" s="1060"/>
      <c r="M223" s="1061">
        <f t="shared" si="35"/>
        <v>0</v>
      </c>
      <c r="N223" s="1062">
        <f>M223*('Ввод исходных данных'!$D$83-K223)</f>
        <v>0</v>
      </c>
      <c r="O223" s="1063">
        <v>15.4</v>
      </c>
      <c r="P223" s="1063"/>
      <c r="Q223" s="1063">
        <f t="shared" si="36"/>
        <v>0</v>
      </c>
      <c r="R223" s="1063">
        <f>Q223*('Ввод исходных данных'!$D$83-O223)</f>
        <v>0</v>
      </c>
      <c r="S223" s="1064">
        <v>9.6999999999999993</v>
      </c>
      <c r="T223" s="1064"/>
      <c r="U223" s="1064">
        <f t="shared" si="37"/>
        <v>8</v>
      </c>
      <c r="V223" s="1064">
        <f>U223*('Ввод исходных данных'!$D$83-S223)</f>
        <v>82.4</v>
      </c>
      <c r="W223" s="1065">
        <v>1.4</v>
      </c>
      <c r="X223" s="1065"/>
      <c r="Y223" s="1065">
        <f t="shared" si="38"/>
        <v>31</v>
      </c>
      <c r="Z223" s="1065">
        <f>Y223*('Ввод исходных данных'!$D$83-W223)</f>
        <v>576.6</v>
      </c>
      <c r="AA223" s="1066">
        <v>-9.5</v>
      </c>
      <c r="AB223" s="1066"/>
      <c r="AC223" s="1066">
        <f t="shared" si="39"/>
        <v>30</v>
      </c>
      <c r="AD223" s="1066">
        <f>AC223*('Ввод исходных данных'!$D$83-AA223)</f>
        <v>885</v>
      </c>
      <c r="AE223" s="1067">
        <v>-16.899999999999999</v>
      </c>
      <c r="AF223" s="1067"/>
      <c r="AG223" s="1067">
        <v>31</v>
      </c>
      <c r="AH223" s="1067">
        <f>AG223*('Ввод исходных данных'!$D$83-AE223)</f>
        <v>1143.8999999999999</v>
      </c>
      <c r="AI223" s="1068">
        <v>-19.600000000000001</v>
      </c>
      <c r="AJ223" s="1068"/>
      <c r="AK223" s="1068">
        <v>31</v>
      </c>
      <c r="AL223" s="1068">
        <f>AK223*('Ввод исходных данных'!$D$83-AI223)</f>
        <v>1227.6000000000001</v>
      </c>
      <c r="AM223" s="1069">
        <v>-18.2</v>
      </c>
      <c r="AN223" s="1069"/>
      <c r="AO223" s="1069">
        <v>28</v>
      </c>
      <c r="AP223" s="1069">
        <f>AO223*('Ввод исходных данных'!$D$83-AM223)</f>
        <v>1069.6000000000001</v>
      </c>
      <c r="AQ223" s="1064">
        <v>-11.5</v>
      </c>
      <c r="AR223" s="1064"/>
      <c r="AS223" s="1064">
        <f t="shared" si="40"/>
        <v>31</v>
      </c>
      <c r="AT223" s="1064">
        <f>AS223*('Ввод исходных данных'!$D$83-AQ223)</f>
        <v>976.5</v>
      </c>
      <c r="AU223" s="1070">
        <v>1.2</v>
      </c>
      <c r="AV223" s="1070"/>
      <c r="AW223" s="1070">
        <f t="shared" si="41"/>
        <v>30</v>
      </c>
      <c r="AX223" s="1070">
        <f>AW223*('Ввод исходных данных'!$D$83-AU223)</f>
        <v>564</v>
      </c>
      <c r="AY223" s="1071">
        <v>10.7</v>
      </c>
      <c r="AZ223" s="1071"/>
      <c r="BA223" s="1071">
        <f t="shared" si="42"/>
        <v>8</v>
      </c>
      <c r="BB223" s="1071">
        <f>BA223*('Ввод исходных данных'!$D$83-AY223)</f>
        <v>74.400000000000006</v>
      </c>
      <c r="BC223" s="1072">
        <v>16.7</v>
      </c>
      <c r="BD223" s="1072"/>
      <c r="BE223" s="1072">
        <f t="shared" si="34"/>
        <v>0</v>
      </c>
      <c r="BF223" s="1073">
        <f>BE223*('Ввод исходных данных'!$D$83-BC223)</f>
        <v>0</v>
      </c>
    </row>
    <row r="224" spans="1:58" ht="15.75" customHeight="1" x14ac:dyDescent="0.25">
      <c r="B224" s="1076" t="s">
        <v>229</v>
      </c>
      <c r="C224" s="1076" t="s">
        <v>234</v>
      </c>
      <c r="D224" s="1053" t="str">
        <f t="shared" si="43"/>
        <v>Новосибирская областьКупино</v>
      </c>
      <c r="E224" s="1054">
        <v>215</v>
      </c>
      <c r="F224" s="1055">
        <v>-8.9</v>
      </c>
      <c r="G224" s="1055">
        <v>-38</v>
      </c>
      <c r="H224" s="1057">
        <v>5.7</v>
      </c>
      <c r="I224" s="1058">
        <f>E224*('Ввод исходных данных'!$D$83-F224)</f>
        <v>6213.5</v>
      </c>
      <c r="J224" s="1059" t="str">
        <f t="shared" si="33"/>
        <v>6000-7000</v>
      </c>
      <c r="K224" s="1060">
        <v>19.899999999999999</v>
      </c>
      <c r="L224" s="1060"/>
      <c r="M224" s="1061">
        <f t="shared" si="35"/>
        <v>0</v>
      </c>
      <c r="N224" s="1062">
        <f>M224*('Ввод исходных данных'!$D$83-K224)</f>
        <v>0</v>
      </c>
      <c r="O224" s="1063">
        <v>16.7</v>
      </c>
      <c r="P224" s="1063"/>
      <c r="Q224" s="1063">
        <f t="shared" si="36"/>
        <v>0</v>
      </c>
      <c r="R224" s="1063">
        <f>Q224*('Ввод исходных данных'!$D$83-O224)</f>
        <v>0</v>
      </c>
      <c r="S224" s="1064">
        <v>10.7</v>
      </c>
      <c r="T224" s="1064"/>
      <c r="U224" s="1064">
        <f t="shared" si="37"/>
        <v>1.5</v>
      </c>
      <c r="V224" s="1064">
        <f>U224*('Ввод исходных данных'!$D$83-S224)</f>
        <v>13.950000000000001</v>
      </c>
      <c r="W224" s="1065">
        <v>2.8</v>
      </c>
      <c r="X224" s="1065"/>
      <c r="Y224" s="1065">
        <f t="shared" si="38"/>
        <v>31</v>
      </c>
      <c r="Z224" s="1065">
        <f>Y224*('Ввод исходных данных'!$D$83-W224)</f>
        <v>533.19999999999993</v>
      </c>
      <c r="AA224" s="1066">
        <v>-7.4</v>
      </c>
      <c r="AB224" s="1066"/>
      <c r="AC224" s="1066">
        <f t="shared" si="39"/>
        <v>30</v>
      </c>
      <c r="AD224" s="1066">
        <f>AC224*('Ввод исходных данных'!$D$83-AA224)</f>
        <v>822</v>
      </c>
      <c r="AE224" s="1067">
        <v>-15</v>
      </c>
      <c r="AF224" s="1067"/>
      <c r="AG224" s="1067">
        <v>31</v>
      </c>
      <c r="AH224" s="1067">
        <f>AG224*('Ввод исходных данных'!$D$83-AE224)</f>
        <v>1085</v>
      </c>
      <c r="AI224" s="1068">
        <v>-18.5</v>
      </c>
      <c r="AJ224" s="1068"/>
      <c r="AK224" s="1068">
        <v>31</v>
      </c>
      <c r="AL224" s="1068">
        <f>AK224*('Ввод исходных данных'!$D$83-AI224)</f>
        <v>1193.5</v>
      </c>
      <c r="AM224" s="1069">
        <v>-16.899999999999999</v>
      </c>
      <c r="AN224" s="1069"/>
      <c r="AO224" s="1069">
        <v>28</v>
      </c>
      <c r="AP224" s="1069">
        <f>AO224*('Ввод исходных данных'!$D$83-AM224)</f>
        <v>1033.2</v>
      </c>
      <c r="AQ224" s="1064">
        <v>-9.1</v>
      </c>
      <c r="AR224" s="1064"/>
      <c r="AS224" s="1064">
        <f t="shared" si="40"/>
        <v>31</v>
      </c>
      <c r="AT224" s="1064">
        <f>AS224*('Ввод исходных данных'!$D$83-AQ224)</f>
        <v>902.1</v>
      </c>
      <c r="AU224" s="1070">
        <v>3.2</v>
      </c>
      <c r="AV224" s="1070"/>
      <c r="AW224" s="1070">
        <f t="shared" si="41"/>
        <v>30</v>
      </c>
      <c r="AX224" s="1070">
        <f>AW224*('Ввод исходных данных'!$D$83-AU224)</f>
        <v>504</v>
      </c>
      <c r="AY224" s="1071">
        <v>12</v>
      </c>
      <c r="AZ224" s="1071"/>
      <c r="BA224" s="1071">
        <f t="shared" si="42"/>
        <v>1.5</v>
      </c>
      <c r="BB224" s="1071">
        <f>BA224*('Ввод исходных данных'!$D$83-AY224)</f>
        <v>12</v>
      </c>
      <c r="BC224" s="1072">
        <v>17.899999999999999</v>
      </c>
      <c r="BD224" s="1072"/>
      <c r="BE224" s="1072">
        <f t="shared" si="34"/>
        <v>0</v>
      </c>
      <c r="BF224" s="1073">
        <f>BE224*('Ввод исходных данных'!$D$83-BC224)</f>
        <v>0</v>
      </c>
    </row>
    <row r="225" spans="2:58" ht="15.75" customHeight="1" x14ac:dyDescent="0.25">
      <c r="B225" s="1052" t="s">
        <v>229</v>
      </c>
      <c r="C225" s="1052" t="s">
        <v>235</v>
      </c>
      <c r="D225" s="1053" t="str">
        <f t="shared" si="43"/>
        <v>Новосибирская областьКыштовка</v>
      </c>
      <c r="E225" s="1054">
        <v>231</v>
      </c>
      <c r="F225" s="1055">
        <v>-8.9</v>
      </c>
      <c r="G225" s="1055">
        <v>-40</v>
      </c>
      <c r="H225" s="1057">
        <f>H224</f>
        <v>5.7</v>
      </c>
      <c r="I225" s="1058">
        <f>E225*('Ввод исходных данных'!$D$83-F225)</f>
        <v>6675.9</v>
      </c>
      <c r="J225" s="1059" t="str">
        <f t="shared" si="33"/>
        <v>6000-7000</v>
      </c>
      <c r="K225" s="1060">
        <v>18</v>
      </c>
      <c r="L225" s="1060"/>
      <c r="M225" s="1061">
        <f t="shared" si="35"/>
        <v>0</v>
      </c>
      <c r="N225" s="1062">
        <f>M225*('Ввод исходных данных'!$D$83-K225)</f>
        <v>0</v>
      </c>
      <c r="O225" s="1063">
        <v>14.6</v>
      </c>
      <c r="P225" s="1063"/>
      <c r="Q225" s="1063">
        <f t="shared" si="36"/>
        <v>0</v>
      </c>
      <c r="R225" s="1063">
        <f>Q225*('Ввод исходных данных'!$D$83-O225)</f>
        <v>0</v>
      </c>
      <c r="S225" s="1064">
        <v>9.3000000000000007</v>
      </c>
      <c r="T225" s="1064"/>
      <c r="U225" s="1064">
        <f t="shared" si="37"/>
        <v>9.5</v>
      </c>
      <c r="V225" s="1064">
        <f>U225*('Ввод исходных данных'!$D$83-S225)</f>
        <v>101.64999999999999</v>
      </c>
      <c r="W225" s="1065">
        <v>0.8</v>
      </c>
      <c r="X225" s="1065"/>
      <c r="Y225" s="1065">
        <f t="shared" si="38"/>
        <v>31</v>
      </c>
      <c r="Z225" s="1065">
        <f>Y225*('Ввод исходных данных'!$D$83-W225)</f>
        <v>595.19999999999993</v>
      </c>
      <c r="AA225" s="1066">
        <v>-9.8000000000000007</v>
      </c>
      <c r="AB225" s="1066"/>
      <c r="AC225" s="1066">
        <f t="shared" si="39"/>
        <v>30</v>
      </c>
      <c r="AD225" s="1066">
        <f>AC225*('Ввод исходных данных'!$D$83-AA225)</f>
        <v>894</v>
      </c>
      <c r="AE225" s="1067">
        <v>-17.399999999999999</v>
      </c>
      <c r="AF225" s="1067"/>
      <c r="AG225" s="1067">
        <v>31</v>
      </c>
      <c r="AH225" s="1067">
        <f>AG225*('Ввод исходных данных'!$D$83-AE225)</f>
        <v>1159.3999999999999</v>
      </c>
      <c r="AI225" s="1068">
        <v>-20.3</v>
      </c>
      <c r="AJ225" s="1068"/>
      <c r="AK225" s="1068">
        <v>31</v>
      </c>
      <c r="AL225" s="1068">
        <f>AK225*('Ввод исходных данных'!$D$83-AI225)</f>
        <v>1249.3</v>
      </c>
      <c r="AM225" s="1069">
        <v>-18.3</v>
      </c>
      <c r="AN225" s="1069"/>
      <c r="AO225" s="1069">
        <v>28</v>
      </c>
      <c r="AP225" s="1069">
        <f>AO225*('Ввод исходных данных'!$D$83-AM225)</f>
        <v>1072.3999999999999</v>
      </c>
      <c r="AQ225" s="1064">
        <v>-10.7</v>
      </c>
      <c r="AR225" s="1064"/>
      <c r="AS225" s="1064">
        <f t="shared" si="40"/>
        <v>31</v>
      </c>
      <c r="AT225" s="1064">
        <f>AS225*('Ввод исходных данных'!$D$83-AQ225)</f>
        <v>951.69999999999993</v>
      </c>
      <c r="AU225" s="1070">
        <v>1.3</v>
      </c>
      <c r="AV225" s="1070"/>
      <c r="AW225" s="1070">
        <f t="shared" si="41"/>
        <v>30</v>
      </c>
      <c r="AX225" s="1070">
        <f>AW225*('Ввод исходных данных'!$D$83-AU225)</f>
        <v>561</v>
      </c>
      <c r="AY225" s="1071">
        <v>9.8000000000000007</v>
      </c>
      <c r="AZ225" s="1071"/>
      <c r="BA225" s="1071">
        <f t="shared" si="42"/>
        <v>9.5</v>
      </c>
      <c r="BB225" s="1071">
        <f>BA225*('Ввод исходных данных'!$D$83-AY225)</f>
        <v>96.899999999999991</v>
      </c>
      <c r="BC225" s="1072">
        <v>15.7</v>
      </c>
      <c r="BD225" s="1072"/>
      <c r="BE225" s="1072">
        <f t="shared" si="34"/>
        <v>0</v>
      </c>
      <c r="BF225" s="1073">
        <f>BE225*('Ввод исходных данных'!$D$83-BC225)</f>
        <v>0</v>
      </c>
    </row>
    <row r="226" spans="2:58" ht="15.75" customHeight="1" x14ac:dyDescent="0.25">
      <c r="B226" s="1076" t="s">
        <v>229</v>
      </c>
      <c r="C226" s="1076" t="s">
        <v>236</v>
      </c>
      <c r="D226" s="1053" t="str">
        <f t="shared" si="43"/>
        <v>Новосибирская областьНовосибирск</v>
      </c>
      <c r="E226" s="1054">
        <v>221</v>
      </c>
      <c r="F226" s="1055">
        <v>-8.1</v>
      </c>
      <c r="G226" s="1055">
        <v>-37</v>
      </c>
      <c r="H226" s="1057">
        <v>4.7</v>
      </c>
      <c r="I226" s="1058">
        <f>E226*('Ввод исходных данных'!$D$83-F226)</f>
        <v>6210.1</v>
      </c>
      <c r="J226" s="1059" t="str">
        <f t="shared" si="33"/>
        <v>6000-7000</v>
      </c>
      <c r="K226" s="1060">
        <v>19.399999999999999</v>
      </c>
      <c r="L226" s="1060"/>
      <c r="M226" s="1061">
        <f t="shared" si="35"/>
        <v>0</v>
      </c>
      <c r="N226" s="1062">
        <f>M226*('Ввод исходных данных'!$D$83-K226)</f>
        <v>0</v>
      </c>
      <c r="O226" s="1063">
        <v>16.2</v>
      </c>
      <c r="P226" s="1063"/>
      <c r="Q226" s="1063">
        <f t="shared" si="36"/>
        <v>0</v>
      </c>
      <c r="R226" s="1063">
        <f>Q226*('Ввод исходных данных'!$D$83-O226)</f>
        <v>0</v>
      </c>
      <c r="S226" s="1064">
        <v>10.199999999999999</v>
      </c>
      <c r="T226" s="1064"/>
      <c r="U226" s="1064">
        <f t="shared" si="37"/>
        <v>4.5</v>
      </c>
      <c r="V226" s="1064">
        <f>U226*('Ввод исходных данных'!$D$83-S226)</f>
        <v>44.1</v>
      </c>
      <c r="W226" s="1065">
        <v>2.5</v>
      </c>
      <c r="X226" s="1065"/>
      <c r="Y226" s="1065">
        <f t="shared" si="38"/>
        <v>31</v>
      </c>
      <c r="Z226" s="1065">
        <f>Y226*('Ввод исходных данных'!$D$83-W226)</f>
        <v>542.5</v>
      </c>
      <c r="AA226" s="1066">
        <v>-7.4</v>
      </c>
      <c r="AB226" s="1066"/>
      <c r="AC226" s="1066">
        <f t="shared" si="39"/>
        <v>30</v>
      </c>
      <c r="AD226" s="1066">
        <f>AC226*('Ввод исходных данных'!$D$83-AA226)</f>
        <v>822</v>
      </c>
      <c r="AE226" s="1067">
        <v>-14.5</v>
      </c>
      <c r="AF226" s="1067"/>
      <c r="AG226" s="1067">
        <v>31</v>
      </c>
      <c r="AH226" s="1067">
        <f>AG226*('Ввод исходных данных'!$D$83-AE226)</f>
        <v>1069.5</v>
      </c>
      <c r="AI226" s="1068">
        <v>-17.3</v>
      </c>
      <c r="AJ226" s="1068"/>
      <c r="AK226" s="1068">
        <v>31</v>
      </c>
      <c r="AL226" s="1068">
        <f>AK226*('Ввод исходных данных'!$D$83-AI226)</f>
        <v>1156.3</v>
      </c>
      <c r="AM226" s="1069">
        <v>-15.7</v>
      </c>
      <c r="AN226" s="1069"/>
      <c r="AO226" s="1069">
        <v>28</v>
      </c>
      <c r="AP226" s="1069">
        <f>AO226*('Ввод исходных данных'!$D$83-AM226)</f>
        <v>999.60000000000014</v>
      </c>
      <c r="AQ226" s="1064">
        <v>-8.4</v>
      </c>
      <c r="AR226" s="1064"/>
      <c r="AS226" s="1064">
        <f t="shared" si="40"/>
        <v>31</v>
      </c>
      <c r="AT226" s="1064">
        <f>AS226*('Ввод исходных данных'!$D$83-AQ226)</f>
        <v>880.4</v>
      </c>
      <c r="AU226" s="1070">
        <v>2.2000000000000002</v>
      </c>
      <c r="AV226" s="1070"/>
      <c r="AW226" s="1070">
        <f t="shared" si="41"/>
        <v>30</v>
      </c>
      <c r="AX226" s="1070">
        <f>AW226*('Ввод исходных данных'!$D$83-AU226)</f>
        <v>534</v>
      </c>
      <c r="AY226" s="1071">
        <v>11.1</v>
      </c>
      <c r="AZ226" s="1071"/>
      <c r="BA226" s="1071">
        <f t="shared" si="42"/>
        <v>4.5</v>
      </c>
      <c r="BB226" s="1071">
        <f>BA226*('Ввод исходных данных'!$D$83-AY226)</f>
        <v>40.050000000000004</v>
      </c>
      <c r="BC226" s="1072">
        <v>17</v>
      </c>
      <c r="BD226" s="1072"/>
      <c r="BE226" s="1072">
        <f t="shared" si="34"/>
        <v>0</v>
      </c>
      <c r="BF226" s="1073">
        <f>BE226*('Ввод исходных данных'!$D$83-BC226)</f>
        <v>0</v>
      </c>
    </row>
    <row r="227" spans="2:58" ht="15.75" customHeight="1" x14ac:dyDescent="0.25">
      <c r="B227" s="1052" t="s">
        <v>229</v>
      </c>
      <c r="C227" s="1052" t="s">
        <v>237</v>
      </c>
      <c r="D227" s="1053" t="str">
        <f t="shared" si="43"/>
        <v>Новосибирская областьТатарск</v>
      </c>
      <c r="E227" s="1054">
        <v>220</v>
      </c>
      <c r="F227" s="1055">
        <v>-8.3000000000000007</v>
      </c>
      <c r="G227" s="1055">
        <v>-38</v>
      </c>
      <c r="H227" s="1057">
        <v>3.7</v>
      </c>
      <c r="I227" s="1058">
        <f>E227*('Ввод исходных данных'!$D$83-F227)</f>
        <v>6226</v>
      </c>
      <c r="J227" s="1059" t="str">
        <f t="shared" si="33"/>
        <v>6000-7000</v>
      </c>
      <c r="K227" s="1060">
        <v>19.5</v>
      </c>
      <c r="L227" s="1060"/>
      <c r="M227" s="1061">
        <f t="shared" si="35"/>
        <v>0</v>
      </c>
      <c r="N227" s="1062">
        <f>M227*('Ввод исходных данных'!$D$83-K227)</f>
        <v>0</v>
      </c>
      <c r="O227" s="1063">
        <v>16.100000000000001</v>
      </c>
      <c r="P227" s="1063"/>
      <c r="Q227" s="1063">
        <f t="shared" si="36"/>
        <v>0</v>
      </c>
      <c r="R227" s="1063">
        <f>Q227*('Ввод исходных данных'!$D$83-O227)</f>
        <v>0</v>
      </c>
      <c r="S227" s="1064">
        <v>10.1</v>
      </c>
      <c r="T227" s="1064"/>
      <c r="U227" s="1064">
        <f t="shared" si="37"/>
        <v>4</v>
      </c>
      <c r="V227" s="1064">
        <f>U227*('Ввод исходных данных'!$D$83-S227)</f>
        <v>39.6</v>
      </c>
      <c r="W227" s="1065">
        <v>2.4</v>
      </c>
      <c r="X227" s="1065"/>
      <c r="Y227" s="1065">
        <f t="shared" si="38"/>
        <v>31</v>
      </c>
      <c r="Z227" s="1065">
        <f>Y227*('Ввод исходных данных'!$D$83-W227)</f>
        <v>545.6</v>
      </c>
      <c r="AA227" s="1066">
        <v>-7.7</v>
      </c>
      <c r="AB227" s="1066"/>
      <c r="AC227" s="1066">
        <f t="shared" si="39"/>
        <v>30</v>
      </c>
      <c r="AD227" s="1066">
        <f>AC227*('Ввод исходных данных'!$D$83-AA227)</f>
        <v>831</v>
      </c>
      <c r="AE227" s="1067">
        <v>-14.9</v>
      </c>
      <c r="AF227" s="1067"/>
      <c r="AG227" s="1067">
        <v>31</v>
      </c>
      <c r="AH227" s="1067">
        <f>AG227*('Ввод исходных данных'!$D$83-AE227)</f>
        <v>1081.8999999999999</v>
      </c>
      <c r="AI227" s="1068">
        <v>-17.8</v>
      </c>
      <c r="AJ227" s="1068"/>
      <c r="AK227" s="1068">
        <v>31</v>
      </c>
      <c r="AL227" s="1068">
        <f>AK227*('Ввод исходных данных'!$D$83-AI227)</f>
        <v>1171.8</v>
      </c>
      <c r="AM227" s="1069">
        <v>-16.5</v>
      </c>
      <c r="AN227" s="1069"/>
      <c r="AO227" s="1069">
        <v>28</v>
      </c>
      <c r="AP227" s="1069">
        <f>AO227*('Ввод исходных данных'!$D$83-AM227)</f>
        <v>1022</v>
      </c>
      <c r="AQ227" s="1064">
        <v>-8.3000000000000007</v>
      </c>
      <c r="AR227" s="1064"/>
      <c r="AS227" s="1064">
        <f t="shared" si="40"/>
        <v>31</v>
      </c>
      <c r="AT227" s="1064">
        <f>AS227*('Ввод исходных данных'!$D$83-AQ227)</f>
        <v>877.30000000000007</v>
      </c>
      <c r="AU227" s="1070">
        <v>3.1</v>
      </c>
      <c r="AV227" s="1070"/>
      <c r="AW227" s="1070">
        <f t="shared" si="41"/>
        <v>30</v>
      </c>
      <c r="AX227" s="1070">
        <f>AW227*('Ввод исходных данных'!$D$83-AU227)</f>
        <v>506.99999999999994</v>
      </c>
      <c r="AY227" s="1071">
        <v>11.6</v>
      </c>
      <c r="AZ227" s="1071"/>
      <c r="BA227" s="1071">
        <f t="shared" si="42"/>
        <v>4</v>
      </c>
      <c r="BB227" s="1071">
        <f>BA227*('Ввод исходных данных'!$D$83-AY227)</f>
        <v>33.6</v>
      </c>
      <c r="BC227" s="1072">
        <v>17.3</v>
      </c>
      <c r="BD227" s="1072"/>
      <c r="BE227" s="1072">
        <f t="shared" si="34"/>
        <v>0</v>
      </c>
      <c r="BF227" s="1073">
        <f>BE227*('Ввод исходных данных'!$D$83-BC227)</f>
        <v>0</v>
      </c>
    </row>
    <row r="228" spans="2:58" ht="15.75" customHeight="1" x14ac:dyDescent="0.25">
      <c r="B228" s="1076" t="s">
        <v>229</v>
      </c>
      <c r="C228" s="1076" t="s">
        <v>232</v>
      </c>
      <c r="D228" s="1053" t="str">
        <f t="shared" si="43"/>
        <v>Новосибирская областьЧулым</v>
      </c>
      <c r="E228" s="1054">
        <v>230</v>
      </c>
      <c r="F228" s="1055">
        <v>-8.8000000000000007</v>
      </c>
      <c r="G228" s="1055">
        <v>-39</v>
      </c>
      <c r="H228" s="1057">
        <v>6.2</v>
      </c>
      <c r="I228" s="1058">
        <f>E228*('Ввод исходных данных'!$D$83-F228)</f>
        <v>6624</v>
      </c>
      <c r="J228" s="1059" t="str">
        <f t="shared" si="33"/>
        <v>6000-7000</v>
      </c>
      <c r="K228" s="1060">
        <v>18.5</v>
      </c>
      <c r="L228" s="1060"/>
      <c r="M228" s="1061">
        <f t="shared" si="35"/>
        <v>0</v>
      </c>
      <c r="N228" s="1062">
        <f>M228*('Ввод исходных данных'!$D$83-K228)</f>
        <v>0</v>
      </c>
      <c r="O228" s="1063">
        <v>15.5</v>
      </c>
      <c r="P228" s="1063"/>
      <c r="Q228" s="1063">
        <f t="shared" si="36"/>
        <v>0</v>
      </c>
      <c r="R228" s="1063">
        <f>Q228*('Ввод исходных данных'!$D$83-O228)</f>
        <v>0</v>
      </c>
      <c r="S228" s="1064">
        <v>9.6999999999999993</v>
      </c>
      <c r="T228" s="1064"/>
      <c r="U228" s="1064">
        <f t="shared" si="37"/>
        <v>9</v>
      </c>
      <c r="V228" s="1064">
        <f>U228*('Ввод исходных данных'!$D$83-S228)</f>
        <v>92.7</v>
      </c>
      <c r="W228" s="1065">
        <v>1.3</v>
      </c>
      <c r="X228" s="1065"/>
      <c r="Y228" s="1065">
        <f t="shared" si="38"/>
        <v>31</v>
      </c>
      <c r="Z228" s="1065">
        <f>Y228*('Ввод исходных данных'!$D$83-W228)</f>
        <v>579.69999999999993</v>
      </c>
      <c r="AA228" s="1066">
        <v>-9.3000000000000007</v>
      </c>
      <c r="AB228" s="1066"/>
      <c r="AC228" s="1066">
        <f t="shared" si="39"/>
        <v>30</v>
      </c>
      <c r="AD228" s="1066">
        <f>AC228*('Ввод исходных данных'!$D$83-AA228)</f>
        <v>879</v>
      </c>
      <c r="AE228" s="1067">
        <v>-17</v>
      </c>
      <c r="AF228" s="1067"/>
      <c r="AG228" s="1067">
        <v>31</v>
      </c>
      <c r="AH228" s="1067">
        <f>AG228*('Ввод исходных данных'!$D$83-AE228)</f>
        <v>1147</v>
      </c>
      <c r="AI228" s="1068">
        <v>-19.5</v>
      </c>
      <c r="AJ228" s="1068"/>
      <c r="AK228" s="1068">
        <v>31</v>
      </c>
      <c r="AL228" s="1068">
        <f>AK228*('Ввод исходных данных'!$D$83-AI228)</f>
        <v>1224.5</v>
      </c>
      <c r="AM228" s="1069">
        <v>-17.899999999999999</v>
      </c>
      <c r="AN228" s="1069"/>
      <c r="AO228" s="1069">
        <v>28</v>
      </c>
      <c r="AP228" s="1069">
        <f>AO228*('Ввод исходных данных'!$D$83-AM228)</f>
        <v>1061.2</v>
      </c>
      <c r="AQ228" s="1064">
        <v>-11.3</v>
      </c>
      <c r="AR228" s="1064"/>
      <c r="AS228" s="1064">
        <f t="shared" si="40"/>
        <v>31</v>
      </c>
      <c r="AT228" s="1064">
        <f>AS228*('Ввод исходных данных'!$D$83-AQ228)</f>
        <v>970.30000000000007</v>
      </c>
      <c r="AU228" s="1070">
        <v>0.3</v>
      </c>
      <c r="AV228" s="1070"/>
      <c r="AW228" s="1070">
        <f t="shared" si="41"/>
        <v>30</v>
      </c>
      <c r="AX228" s="1070">
        <f>AW228*('Ввод исходных данных'!$D$83-AU228)</f>
        <v>591</v>
      </c>
      <c r="AY228" s="1071">
        <v>10.1</v>
      </c>
      <c r="AZ228" s="1071"/>
      <c r="BA228" s="1071">
        <f t="shared" si="42"/>
        <v>9</v>
      </c>
      <c r="BB228" s="1071">
        <f>BA228*('Ввод исходных данных'!$D$83-AY228)</f>
        <v>89.100000000000009</v>
      </c>
      <c r="BC228" s="1072">
        <v>16.399999999999999</v>
      </c>
      <c r="BD228" s="1072"/>
      <c r="BE228" s="1072">
        <f t="shared" si="34"/>
        <v>0</v>
      </c>
      <c r="BF228" s="1073">
        <f>BE228*('Ввод исходных данных'!$D$83-BC228)</f>
        <v>0</v>
      </c>
    </row>
    <row r="229" spans="2:58" ht="15.75" customHeight="1" x14ac:dyDescent="0.25">
      <c r="B229" s="1052" t="s">
        <v>238</v>
      </c>
      <c r="C229" s="1052" t="s">
        <v>669</v>
      </c>
      <c r="D229" s="1053" t="str">
        <f t="shared" si="43"/>
        <v>Омская областьИссык-Куль</v>
      </c>
      <c r="E229" s="1054">
        <v>225</v>
      </c>
      <c r="F229" s="1055">
        <v>-8.6</v>
      </c>
      <c r="G229" s="1055">
        <v>-36</v>
      </c>
      <c r="H229" s="1057">
        <v>5.2</v>
      </c>
      <c r="I229" s="1058">
        <f>E229*('Ввод исходных данных'!$D$83-F229)</f>
        <v>6435</v>
      </c>
      <c r="J229" s="1059" t="str">
        <f t="shared" si="33"/>
        <v>6000-7000</v>
      </c>
      <c r="K229" s="1060"/>
      <c r="L229" s="1060"/>
      <c r="M229" s="1061">
        <f t="shared" si="35"/>
        <v>0</v>
      </c>
      <c r="N229" s="1062">
        <f>M229*('Ввод исходных данных'!$D$83-K229)</f>
        <v>0</v>
      </c>
      <c r="O229" s="1063"/>
      <c r="P229" s="1063"/>
      <c r="Q229" s="1063">
        <f t="shared" si="36"/>
        <v>0</v>
      </c>
      <c r="R229" s="1063">
        <f>Q229*('Ввод исходных данных'!$D$83-O229)</f>
        <v>0</v>
      </c>
      <c r="S229" s="1064"/>
      <c r="T229" s="1064"/>
      <c r="U229" s="1064">
        <f t="shared" si="37"/>
        <v>6.5</v>
      </c>
      <c r="V229" s="1064">
        <f>U229*('Ввод исходных данных'!$D$83-S229)</f>
        <v>130</v>
      </c>
      <c r="W229" s="1065"/>
      <c r="X229" s="1065"/>
      <c r="Y229" s="1065">
        <f t="shared" si="38"/>
        <v>31</v>
      </c>
      <c r="Z229" s="1065">
        <f>Y229*('Ввод исходных данных'!$D$83-W229)</f>
        <v>620</v>
      </c>
      <c r="AA229" s="1066"/>
      <c r="AB229" s="1066"/>
      <c r="AC229" s="1066">
        <f t="shared" si="39"/>
        <v>30</v>
      </c>
      <c r="AD229" s="1066">
        <f>AC229*('Ввод исходных данных'!$D$83-AA229)</f>
        <v>600</v>
      </c>
      <c r="AE229" s="1067"/>
      <c r="AF229" s="1067"/>
      <c r="AG229" s="1067">
        <v>31</v>
      </c>
      <c r="AH229" s="1067">
        <f>AG229*('Ввод исходных данных'!$D$83-AE229)</f>
        <v>620</v>
      </c>
      <c r="AI229" s="1068"/>
      <c r="AJ229" s="1068"/>
      <c r="AK229" s="1068">
        <v>31</v>
      </c>
      <c r="AL229" s="1068">
        <f>AK229*('Ввод исходных данных'!$D$83-AI229)</f>
        <v>620</v>
      </c>
      <c r="AM229" s="1069"/>
      <c r="AN229" s="1069"/>
      <c r="AO229" s="1069">
        <v>28</v>
      </c>
      <c r="AP229" s="1069">
        <f>AO229*('Ввод исходных данных'!$D$83-AM229)</f>
        <v>560</v>
      </c>
      <c r="AQ229" s="1064"/>
      <c r="AR229" s="1064"/>
      <c r="AS229" s="1064">
        <f t="shared" si="40"/>
        <v>31</v>
      </c>
      <c r="AT229" s="1064">
        <f>AS229*('Ввод исходных данных'!$D$83-AQ229)</f>
        <v>620</v>
      </c>
      <c r="AU229" s="1070"/>
      <c r="AV229" s="1070"/>
      <c r="AW229" s="1070">
        <f t="shared" si="41"/>
        <v>30</v>
      </c>
      <c r="AX229" s="1070">
        <f>AW229*('Ввод исходных данных'!$D$83-AU229)</f>
        <v>600</v>
      </c>
      <c r="AY229" s="1071"/>
      <c r="AZ229" s="1071"/>
      <c r="BA229" s="1071">
        <f t="shared" si="42"/>
        <v>6.5</v>
      </c>
      <c r="BB229" s="1071">
        <f>BA229*('Ввод исходных данных'!$D$83-AY229)</f>
        <v>130</v>
      </c>
      <c r="BC229" s="1072"/>
      <c r="BD229" s="1072"/>
      <c r="BE229" s="1072">
        <f t="shared" si="34"/>
        <v>0</v>
      </c>
      <c r="BF229" s="1073">
        <f>BE229*('Ввод исходных данных'!$D$83-BC229)</f>
        <v>0</v>
      </c>
    </row>
    <row r="230" spans="2:58" ht="15.75" customHeight="1" x14ac:dyDescent="0.25">
      <c r="B230" s="1076" t="s">
        <v>238</v>
      </c>
      <c r="C230" s="1076" t="s">
        <v>240</v>
      </c>
      <c r="D230" s="1053" t="str">
        <f t="shared" si="43"/>
        <v>Омская областьОмск</v>
      </c>
      <c r="E230" s="1054">
        <v>216</v>
      </c>
      <c r="F230" s="1055">
        <v>-8.1</v>
      </c>
      <c r="G230" s="1055">
        <v>-37</v>
      </c>
      <c r="H230" s="1057">
        <v>2.8</v>
      </c>
      <c r="I230" s="1058">
        <f>E230*('Ввод исходных данных'!$D$83-F230)</f>
        <v>6069.6</v>
      </c>
      <c r="J230" s="1059" t="str">
        <f t="shared" si="33"/>
        <v>6000-7000</v>
      </c>
      <c r="K230" s="1060">
        <v>19.5</v>
      </c>
      <c r="L230" s="1060"/>
      <c r="M230" s="1061">
        <f t="shared" si="35"/>
        <v>0</v>
      </c>
      <c r="N230" s="1062">
        <f>M230*('Ввод исходных данных'!$D$83-K230)</f>
        <v>0</v>
      </c>
      <c r="O230" s="1063">
        <v>16.3</v>
      </c>
      <c r="P230" s="1063"/>
      <c r="Q230" s="1063">
        <f t="shared" si="36"/>
        <v>0</v>
      </c>
      <c r="R230" s="1063">
        <f>Q230*('Ввод исходных данных'!$D$83-O230)</f>
        <v>0</v>
      </c>
      <c r="S230" s="1064">
        <v>10.5</v>
      </c>
      <c r="T230" s="1064"/>
      <c r="U230" s="1064">
        <f t="shared" si="37"/>
        <v>2</v>
      </c>
      <c r="V230" s="1064">
        <f>U230*('Ввод исходных данных'!$D$83-S230)</f>
        <v>19</v>
      </c>
      <c r="W230" s="1065">
        <v>2.8</v>
      </c>
      <c r="X230" s="1065"/>
      <c r="Y230" s="1065">
        <f t="shared" si="38"/>
        <v>31</v>
      </c>
      <c r="Z230" s="1065">
        <f>Y230*('Ввод исходных данных'!$D$83-W230)</f>
        <v>533.19999999999993</v>
      </c>
      <c r="AA230" s="1066">
        <v>-7.3</v>
      </c>
      <c r="AB230" s="1066"/>
      <c r="AC230" s="1066">
        <f t="shared" si="39"/>
        <v>30</v>
      </c>
      <c r="AD230" s="1066">
        <f>AC230*('Ввод исходных данных'!$D$83-AA230)</f>
        <v>819</v>
      </c>
      <c r="AE230" s="1067">
        <v>-14.3</v>
      </c>
      <c r="AF230" s="1067"/>
      <c r="AG230" s="1067">
        <v>31</v>
      </c>
      <c r="AH230" s="1067">
        <f>AG230*('Ввод исходных данных'!$D$83-AE230)</f>
        <v>1063.3</v>
      </c>
      <c r="AI230" s="1068">
        <v>-17.2</v>
      </c>
      <c r="AJ230" s="1068"/>
      <c r="AK230" s="1068">
        <v>31</v>
      </c>
      <c r="AL230" s="1068">
        <f>AK230*('Ввод исходных данных'!$D$83-AI230)</f>
        <v>1153.2</v>
      </c>
      <c r="AM230" s="1069">
        <v>-15.9</v>
      </c>
      <c r="AN230" s="1069"/>
      <c r="AO230" s="1069">
        <v>28</v>
      </c>
      <c r="AP230" s="1069">
        <f>AO230*('Ввод исходных данных'!$D$83-AM230)</f>
        <v>1005.1999999999999</v>
      </c>
      <c r="AQ230" s="1064">
        <v>-7.8</v>
      </c>
      <c r="AR230" s="1064"/>
      <c r="AS230" s="1064">
        <f t="shared" si="40"/>
        <v>31</v>
      </c>
      <c r="AT230" s="1064">
        <f>AS230*('Ввод исходных данных'!$D$83-AQ230)</f>
        <v>861.80000000000007</v>
      </c>
      <c r="AU230" s="1070">
        <v>3.7</v>
      </c>
      <c r="AV230" s="1070"/>
      <c r="AW230" s="1070">
        <f t="shared" si="41"/>
        <v>30</v>
      </c>
      <c r="AX230" s="1070">
        <f>AW230*('Ввод исходных данных'!$D$83-AU230)</f>
        <v>489</v>
      </c>
      <c r="AY230" s="1071">
        <v>12.1</v>
      </c>
      <c r="AZ230" s="1071"/>
      <c r="BA230" s="1071">
        <f t="shared" si="42"/>
        <v>2</v>
      </c>
      <c r="BB230" s="1071">
        <f>BA230*('Ввод исходных данных'!$D$83-AY230)</f>
        <v>15.8</v>
      </c>
      <c r="BC230" s="1072">
        <v>17.7</v>
      </c>
      <c r="BD230" s="1072"/>
      <c r="BE230" s="1072">
        <f t="shared" si="34"/>
        <v>0</v>
      </c>
      <c r="BF230" s="1073">
        <f>BE230*('Ввод исходных данных'!$D$83-BC230)</f>
        <v>0</v>
      </c>
    </row>
    <row r="231" spans="2:58" ht="15.75" customHeight="1" x14ac:dyDescent="0.25">
      <c r="B231" s="1052" t="s">
        <v>238</v>
      </c>
      <c r="C231" s="1052" t="s">
        <v>241</v>
      </c>
      <c r="D231" s="1053" t="str">
        <f t="shared" si="43"/>
        <v>Омская областьТара</v>
      </c>
      <c r="E231" s="1054">
        <v>229</v>
      </c>
      <c r="F231" s="1055">
        <v>-8.1999999999999993</v>
      </c>
      <c r="G231" s="1055">
        <v>-38</v>
      </c>
      <c r="H231" s="1057">
        <v>3</v>
      </c>
      <c r="I231" s="1058">
        <f>E231*('Ввод исходных данных'!$D$83-F231)</f>
        <v>6457.8</v>
      </c>
      <c r="J231" s="1059" t="str">
        <f t="shared" si="33"/>
        <v>6000-7000</v>
      </c>
      <c r="K231" s="1060">
        <v>18.7</v>
      </c>
      <c r="L231" s="1060"/>
      <c r="M231" s="1061">
        <f t="shared" si="35"/>
        <v>0</v>
      </c>
      <c r="N231" s="1062">
        <f>M231*('Ввод исходных данных'!$D$83-K231)</f>
        <v>0</v>
      </c>
      <c r="O231" s="1063">
        <v>15.2</v>
      </c>
      <c r="P231" s="1063"/>
      <c r="Q231" s="1063">
        <f t="shared" si="36"/>
        <v>0</v>
      </c>
      <c r="R231" s="1063">
        <f>Q231*('Ввод исходных данных'!$D$83-O231)</f>
        <v>0</v>
      </c>
      <c r="S231" s="1064">
        <v>9.1999999999999993</v>
      </c>
      <c r="T231" s="1064"/>
      <c r="U231" s="1064">
        <f t="shared" si="37"/>
        <v>8.5</v>
      </c>
      <c r="V231" s="1064">
        <f>U231*('Ввод исходных данных'!$D$83-S231)</f>
        <v>91.800000000000011</v>
      </c>
      <c r="W231" s="1065">
        <v>1.7</v>
      </c>
      <c r="X231" s="1065"/>
      <c r="Y231" s="1065">
        <f t="shared" si="38"/>
        <v>31</v>
      </c>
      <c r="Z231" s="1065">
        <f>Y231*('Ввод исходных данных'!$D$83-W231)</f>
        <v>567.30000000000007</v>
      </c>
      <c r="AA231" s="1066">
        <v>-8.3000000000000007</v>
      </c>
      <c r="AB231" s="1066"/>
      <c r="AC231" s="1066">
        <f t="shared" si="39"/>
        <v>30</v>
      </c>
      <c r="AD231" s="1066">
        <f>AC231*('Ввод исходных данных'!$D$83-AA231)</f>
        <v>849</v>
      </c>
      <c r="AE231" s="1067">
        <v>-15.5</v>
      </c>
      <c r="AF231" s="1067"/>
      <c r="AG231" s="1067">
        <v>31</v>
      </c>
      <c r="AH231" s="1067">
        <f>AG231*('Ввод исходных данных'!$D$83-AE231)</f>
        <v>1100.5</v>
      </c>
      <c r="AI231" s="1068">
        <v>-18.3</v>
      </c>
      <c r="AJ231" s="1068"/>
      <c r="AK231" s="1068">
        <v>31</v>
      </c>
      <c r="AL231" s="1068">
        <f>AK231*('Ввод исходных данных'!$D$83-AI231)</f>
        <v>1187.3</v>
      </c>
      <c r="AM231" s="1069">
        <v>-16.8</v>
      </c>
      <c r="AN231" s="1069"/>
      <c r="AO231" s="1069">
        <v>28</v>
      </c>
      <c r="AP231" s="1069">
        <f>AO231*('Ввод исходных данных'!$D$83-AM231)</f>
        <v>1030.3999999999999</v>
      </c>
      <c r="AQ231" s="1064">
        <v>-8</v>
      </c>
      <c r="AR231" s="1064"/>
      <c r="AS231" s="1064">
        <f t="shared" si="40"/>
        <v>31</v>
      </c>
      <c r="AT231" s="1064">
        <f>AS231*('Ввод исходных данных'!$D$83-AQ231)</f>
        <v>868</v>
      </c>
      <c r="AU231" s="1070">
        <v>2.2000000000000002</v>
      </c>
      <c r="AV231" s="1070"/>
      <c r="AW231" s="1070">
        <f t="shared" si="41"/>
        <v>30</v>
      </c>
      <c r="AX231" s="1070">
        <f>AW231*('Ввод исходных данных'!$D$83-AU231)</f>
        <v>534</v>
      </c>
      <c r="AY231" s="1071">
        <v>10.4</v>
      </c>
      <c r="AZ231" s="1071"/>
      <c r="BA231" s="1071">
        <f t="shared" si="42"/>
        <v>8.5</v>
      </c>
      <c r="BB231" s="1071">
        <f>BA231*('Ввод исходных данных'!$D$83-AY231)</f>
        <v>81.599999999999994</v>
      </c>
      <c r="BC231" s="1072">
        <v>16.399999999999999</v>
      </c>
      <c r="BD231" s="1072"/>
      <c r="BE231" s="1072">
        <f t="shared" si="34"/>
        <v>0</v>
      </c>
      <c r="BF231" s="1073">
        <f>BE231*('Ввод исходных данных'!$D$83-BC231)</f>
        <v>0</v>
      </c>
    </row>
    <row r="232" spans="2:58" ht="15.75" customHeight="1" x14ac:dyDescent="0.25">
      <c r="B232" s="1076" t="s">
        <v>238</v>
      </c>
      <c r="C232" s="1076" t="s">
        <v>239</v>
      </c>
      <c r="D232" s="1053" t="str">
        <f t="shared" si="43"/>
        <v>Омская областьЧерлак</v>
      </c>
      <c r="E232" s="1054">
        <v>211</v>
      </c>
      <c r="F232" s="1055">
        <v>-8.6999999999999993</v>
      </c>
      <c r="G232" s="1055">
        <v>-37</v>
      </c>
      <c r="H232" s="1057">
        <v>3.4</v>
      </c>
      <c r="I232" s="1058">
        <f>E232*('Ввод исходных данных'!$D$83-F232)</f>
        <v>6055.7</v>
      </c>
      <c r="J232" s="1059" t="str">
        <f t="shared" si="33"/>
        <v>6000-7000</v>
      </c>
      <c r="K232" s="1060">
        <v>20.2</v>
      </c>
      <c r="L232" s="1060"/>
      <c r="M232" s="1061">
        <f t="shared" si="35"/>
        <v>0</v>
      </c>
      <c r="N232" s="1062">
        <f>M232*('Ввод исходных данных'!$D$83-K232)</f>
        <v>0</v>
      </c>
      <c r="O232" s="1063">
        <v>17.100000000000001</v>
      </c>
      <c r="P232" s="1063"/>
      <c r="Q232" s="1063">
        <f t="shared" si="36"/>
        <v>0</v>
      </c>
      <c r="R232" s="1063">
        <f>Q232*('Ввод исходных данных'!$D$83-O232)</f>
        <v>0</v>
      </c>
      <c r="S232" s="1064">
        <v>11.1</v>
      </c>
      <c r="T232" s="1064"/>
      <c r="U232" s="1064">
        <f t="shared" si="37"/>
        <v>0</v>
      </c>
      <c r="V232" s="1064">
        <f>U232*('Ввод исходных данных'!$D$83-S232)</f>
        <v>0</v>
      </c>
      <c r="W232" s="1065">
        <v>3.1</v>
      </c>
      <c r="X232" s="1065"/>
      <c r="Y232" s="1065">
        <f t="shared" si="38"/>
        <v>30</v>
      </c>
      <c r="Z232" s="1065">
        <f>Y232*('Ввод исходных данных'!$D$83-W232)</f>
        <v>506.99999999999994</v>
      </c>
      <c r="AA232" s="1066">
        <v>-7.2</v>
      </c>
      <c r="AB232" s="1066"/>
      <c r="AC232" s="1066">
        <f t="shared" si="39"/>
        <v>30</v>
      </c>
      <c r="AD232" s="1066">
        <f>AC232*('Ввод исходных данных'!$D$83-AA232)</f>
        <v>816</v>
      </c>
      <c r="AE232" s="1067">
        <v>-14.3</v>
      </c>
      <c r="AF232" s="1067"/>
      <c r="AG232" s="1067">
        <v>31</v>
      </c>
      <c r="AH232" s="1067">
        <f>AG232*('Ввод исходных данных'!$D$83-AE232)</f>
        <v>1063.3</v>
      </c>
      <c r="AI232" s="1068">
        <v>-17.7</v>
      </c>
      <c r="AJ232" s="1068"/>
      <c r="AK232" s="1068">
        <v>31</v>
      </c>
      <c r="AL232" s="1068">
        <f>AK232*('Ввод исходных данных'!$D$83-AI232)</f>
        <v>1168.7</v>
      </c>
      <c r="AM232" s="1069">
        <v>-16.600000000000001</v>
      </c>
      <c r="AN232" s="1069"/>
      <c r="AO232" s="1069">
        <v>28</v>
      </c>
      <c r="AP232" s="1069">
        <f>AO232*('Ввод исходных данных'!$D$83-AM232)</f>
        <v>1024.8</v>
      </c>
      <c r="AQ232" s="1064">
        <v>-8.6</v>
      </c>
      <c r="AR232" s="1064"/>
      <c r="AS232" s="1064">
        <f t="shared" si="40"/>
        <v>31</v>
      </c>
      <c r="AT232" s="1064">
        <f>AS232*('Ввод исходных данных'!$D$83-AQ232)</f>
        <v>886.6</v>
      </c>
      <c r="AU232" s="1070">
        <v>4</v>
      </c>
      <c r="AV232" s="1070"/>
      <c r="AW232" s="1070">
        <f t="shared" si="41"/>
        <v>30</v>
      </c>
      <c r="AX232" s="1070">
        <f>AW232*('Ввод исходных данных'!$D$83-AU232)</f>
        <v>480</v>
      </c>
      <c r="AY232" s="1071">
        <v>12.7</v>
      </c>
      <c r="AZ232" s="1071"/>
      <c r="BA232" s="1071">
        <f t="shared" si="42"/>
        <v>0</v>
      </c>
      <c r="BB232" s="1071">
        <f>BA232*('Ввод исходных данных'!$D$83-AY232)</f>
        <v>0</v>
      </c>
      <c r="BC232" s="1072">
        <v>18.5</v>
      </c>
      <c r="BD232" s="1072"/>
      <c r="BE232" s="1072">
        <f t="shared" si="34"/>
        <v>0</v>
      </c>
      <c r="BF232" s="1073">
        <f>BE232*('Ввод исходных данных'!$D$83-BC232)</f>
        <v>0</v>
      </c>
    </row>
    <row r="233" spans="2:58" ht="15.75" customHeight="1" x14ac:dyDescent="0.25">
      <c r="B233" s="1052" t="s">
        <v>242</v>
      </c>
      <c r="C233" s="1052" t="s">
        <v>243</v>
      </c>
      <c r="D233" s="1053" t="str">
        <f t="shared" si="43"/>
        <v>Оренбургская областьКувандык</v>
      </c>
      <c r="E233" s="1054">
        <v>204</v>
      </c>
      <c r="F233" s="1055">
        <v>-6.9</v>
      </c>
      <c r="G233" s="1055">
        <v>-30</v>
      </c>
      <c r="H233" s="1057">
        <v>5.7</v>
      </c>
      <c r="I233" s="1058">
        <f>E233*('Ввод исходных данных'!$D$83-F233)</f>
        <v>5487.5999999999995</v>
      </c>
      <c r="J233" s="1059" t="str">
        <f t="shared" si="33"/>
        <v>5000-6000</v>
      </c>
      <c r="K233" s="1060">
        <v>20.6</v>
      </c>
      <c r="L233" s="1060"/>
      <c r="M233" s="1061">
        <f t="shared" si="35"/>
        <v>0</v>
      </c>
      <c r="N233" s="1062">
        <f>M233*('Ввод исходных данных'!$D$83-K233)</f>
        <v>0</v>
      </c>
      <c r="O233" s="1063">
        <v>18.8</v>
      </c>
      <c r="P233" s="1063"/>
      <c r="Q233" s="1063">
        <f t="shared" si="36"/>
        <v>0</v>
      </c>
      <c r="R233" s="1063">
        <f>Q233*('Ввод исходных данных'!$D$83-O233)</f>
        <v>0</v>
      </c>
      <c r="S233" s="1064">
        <v>12.7</v>
      </c>
      <c r="T233" s="1064"/>
      <c r="U233" s="1064">
        <f t="shared" si="37"/>
        <v>0</v>
      </c>
      <c r="V233" s="1064">
        <f>U233*('Ввод исходных данных'!$D$83-S233)</f>
        <v>0</v>
      </c>
      <c r="W233" s="1065">
        <v>3.9</v>
      </c>
      <c r="X233" s="1065"/>
      <c r="Y233" s="1065">
        <f t="shared" si="38"/>
        <v>26.5</v>
      </c>
      <c r="Z233" s="1065">
        <f>Y233*('Ввод исходных данных'!$D$83-W233)</f>
        <v>426.65000000000003</v>
      </c>
      <c r="AA233" s="1066">
        <v>-4.7</v>
      </c>
      <c r="AB233" s="1066"/>
      <c r="AC233" s="1066">
        <f t="shared" si="39"/>
        <v>30</v>
      </c>
      <c r="AD233" s="1066">
        <f>AC233*('Ввод исходных данных'!$D$83-AA233)</f>
        <v>741</v>
      </c>
      <c r="AE233" s="1067">
        <v>-11.9</v>
      </c>
      <c r="AF233" s="1067"/>
      <c r="AG233" s="1067">
        <v>31</v>
      </c>
      <c r="AH233" s="1067">
        <f>AG233*('Ввод исходных данных'!$D$83-AE233)</f>
        <v>988.9</v>
      </c>
      <c r="AI233" s="1068">
        <v>-15.4</v>
      </c>
      <c r="AJ233" s="1068"/>
      <c r="AK233" s="1068">
        <v>31</v>
      </c>
      <c r="AL233" s="1068">
        <f>AK233*('Ввод исходных данных'!$D$83-AI233)</f>
        <v>1097.3999999999999</v>
      </c>
      <c r="AM233" s="1069">
        <v>-14.5</v>
      </c>
      <c r="AN233" s="1069"/>
      <c r="AO233" s="1069">
        <v>28</v>
      </c>
      <c r="AP233" s="1069">
        <f>AO233*('Ввод исходных данных'!$D$83-AM233)</f>
        <v>966</v>
      </c>
      <c r="AQ233" s="1064">
        <v>-7.3</v>
      </c>
      <c r="AR233" s="1064"/>
      <c r="AS233" s="1064">
        <f t="shared" si="40"/>
        <v>31</v>
      </c>
      <c r="AT233" s="1064">
        <f>AS233*('Ввод исходных данных'!$D$83-AQ233)</f>
        <v>846.30000000000007</v>
      </c>
      <c r="AU233" s="1070">
        <v>4.9000000000000004</v>
      </c>
      <c r="AV233" s="1070"/>
      <c r="AW233" s="1070">
        <f t="shared" si="41"/>
        <v>26.5</v>
      </c>
      <c r="AX233" s="1070">
        <f>AW233*('Ввод исходных данных'!$D$83-AU233)</f>
        <v>400.15</v>
      </c>
      <c r="AY233" s="1071">
        <v>14.2</v>
      </c>
      <c r="AZ233" s="1071"/>
      <c r="BA233" s="1071">
        <f t="shared" si="42"/>
        <v>0</v>
      </c>
      <c r="BB233" s="1071">
        <f>BA233*('Ввод исходных данных'!$D$83-AY233)</f>
        <v>0</v>
      </c>
      <c r="BC233" s="1072">
        <v>18.600000000000001</v>
      </c>
      <c r="BD233" s="1072"/>
      <c r="BE233" s="1072">
        <f t="shared" si="34"/>
        <v>0</v>
      </c>
      <c r="BF233" s="1073">
        <f>BE233*('Ввод исходных данных'!$D$83-BC233)</f>
        <v>0</v>
      </c>
    </row>
    <row r="234" spans="2:58" ht="15.75" customHeight="1" x14ac:dyDescent="0.25">
      <c r="B234" s="1076" t="s">
        <v>242</v>
      </c>
      <c r="C234" s="1076" t="s">
        <v>244</v>
      </c>
      <c r="D234" s="1053" t="str">
        <f t="shared" si="43"/>
        <v>Оренбургская областьОренбург</v>
      </c>
      <c r="E234" s="1054">
        <v>195</v>
      </c>
      <c r="F234" s="1055">
        <v>-6.1</v>
      </c>
      <c r="G234" s="1055">
        <v>-32</v>
      </c>
      <c r="H234" s="1057">
        <v>5.9</v>
      </c>
      <c r="I234" s="1058">
        <f>E234*('Ввод исходных данных'!$D$83-F234)</f>
        <v>5089.5</v>
      </c>
      <c r="J234" s="1059" t="str">
        <f t="shared" si="33"/>
        <v>5000-6000</v>
      </c>
      <c r="K234" s="1060"/>
      <c r="L234" s="1060"/>
      <c r="M234" s="1061">
        <f t="shared" si="35"/>
        <v>0</v>
      </c>
      <c r="N234" s="1062">
        <f>M234*('Ввод исходных данных'!$D$83-K234)</f>
        <v>0</v>
      </c>
      <c r="O234" s="1063"/>
      <c r="P234" s="1063"/>
      <c r="Q234" s="1063">
        <f t="shared" si="36"/>
        <v>0</v>
      </c>
      <c r="R234" s="1063">
        <f>Q234*('Ввод исходных данных'!$D$83-O234)</f>
        <v>0</v>
      </c>
      <c r="S234" s="1064"/>
      <c r="T234" s="1064"/>
      <c r="U234" s="1064">
        <f t="shared" si="37"/>
        <v>0</v>
      </c>
      <c r="V234" s="1064">
        <f>U234*('Ввод исходных данных'!$D$83-S234)</f>
        <v>0</v>
      </c>
      <c r="W234" s="1065">
        <v>5.3</v>
      </c>
      <c r="X234" s="1065"/>
      <c r="Y234" s="1065">
        <f t="shared" si="38"/>
        <v>22</v>
      </c>
      <c r="Z234" s="1065">
        <f>Y234*('Ввод исходных данных'!$D$83-W234)</f>
        <v>323.39999999999998</v>
      </c>
      <c r="AA234" s="1066">
        <v>-3.1</v>
      </c>
      <c r="AB234" s="1066"/>
      <c r="AC234" s="1066">
        <f t="shared" si="39"/>
        <v>30</v>
      </c>
      <c r="AD234" s="1066">
        <f>AC234*('Ввод исходных данных'!$D$83-AA234)</f>
        <v>693</v>
      </c>
      <c r="AE234" s="1067">
        <v>-9.9</v>
      </c>
      <c r="AF234" s="1067"/>
      <c r="AG234" s="1067">
        <v>31</v>
      </c>
      <c r="AH234" s="1067">
        <f>AG234*('Ввод исходных данных'!$D$83-AE234)</f>
        <v>926.9</v>
      </c>
      <c r="AI234" s="1068">
        <v>-12.9</v>
      </c>
      <c r="AJ234" s="1068"/>
      <c r="AK234" s="1068">
        <v>31</v>
      </c>
      <c r="AL234" s="1068">
        <f>AK234*('Ввод исходных данных'!$D$83-AI234)</f>
        <v>1019.9</v>
      </c>
      <c r="AM234" s="1069">
        <v>-12.4</v>
      </c>
      <c r="AN234" s="1069"/>
      <c r="AO234" s="1069">
        <v>28</v>
      </c>
      <c r="AP234" s="1069">
        <f>AO234*('Ввод исходных данных'!$D$83-AM234)</f>
        <v>907.19999999999993</v>
      </c>
      <c r="AQ234" s="1064">
        <v>-5.4</v>
      </c>
      <c r="AR234" s="1064"/>
      <c r="AS234" s="1064">
        <f t="shared" si="40"/>
        <v>31</v>
      </c>
      <c r="AT234" s="1064">
        <f>AS234*('Ввод исходных данных'!$D$83-AQ234)</f>
        <v>787.4</v>
      </c>
      <c r="AU234" s="1070">
        <v>7.1</v>
      </c>
      <c r="AV234" s="1070"/>
      <c r="AW234" s="1070">
        <f t="shared" si="41"/>
        <v>22</v>
      </c>
      <c r="AX234" s="1070">
        <f>AW234*('Ввод исходных данных'!$D$83-AU234)</f>
        <v>283.8</v>
      </c>
      <c r="AY234" s="1071"/>
      <c r="AZ234" s="1071"/>
      <c r="BA234" s="1071">
        <f t="shared" si="42"/>
        <v>0</v>
      </c>
      <c r="BB234" s="1071">
        <f>BA234*('Ввод исходных данных'!$D$83-AY234)</f>
        <v>0</v>
      </c>
      <c r="BC234" s="1072"/>
      <c r="BD234" s="1072"/>
      <c r="BE234" s="1072">
        <f t="shared" si="34"/>
        <v>0</v>
      </c>
      <c r="BF234" s="1073">
        <f>BE234*('Ввод исходных данных'!$D$83-BC234)</f>
        <v>0</v>
      </c>
    </row>
    <row r="235" spans="2:58" ht="15.75" customHeight="1" x14ac:dyDescent="0.25">
      <c r="B235" s="1052" t="s">
        <v>242</v>
      </c>
      <c r="C235" s="1052" t="s">
        <v>245</v>
      </c>
      <c r="D235" s="1053" t="str">
        <f t="shared" si="43"/>
        <v>Оренбургская областьСорочинск</v>
      </c>
      <c r="E235" s="1054">
        <v>201</v>
      </c>
      <c r="F235" s="1055">
        <v>-6.3</v>
      </c>
      <c r="G235" s="1055">
        <v>-29</v>
      </c>
      <c r="H235" s="1057">
        <v>7.6</v>
      </c>
      <c r="I235" s="1058">
        <f>E235*('Ввод исходных данных'!$D$83-F235)</f>
        <v>5286.3</v>
      </c>
      <c r="J235" s="1059" t="str">
        <f t="shared" si="33"/>
        <v>5000-6000</v>
      </c>
      <c r="K235" s="1060">
        <v>21</v>
      </c>
      <c r="L235" s="1060"/>
      <c r="M235" s="1061">
        <f t="shared" si="35"/>
        <v>0</v>
      </c>
      <c r="N235" s="1062">
        <f>M235*('Ввод исходных данных'!$D$83-K235)</f>
        <v>0</v>
      </c>
      <c r="O235" s="1063">
        <v>19.600000000000001</v>
      </c>
      <c r="P235" s="1063"/>
      <c r="Q235" s="1063">
        <f t="shared" si="36"/>
        <v>0</v>
      </c>
      <c r="R235" s="1063">
        <f>Q235*('Ввод исходных данных'!$D$83-O235)</f>
        <v>0</v>
      </c>
      <c r="S235" s="1064">
        <v>13.1</v>
      </c>
      <c r="T235" s="1064"/>
      <c r="U235" s="1064">
        <f t="shared" si="37"/>
        <v>0</v>
      </c>
      <c r="V235" s="1064">
        <f>U235*('Ввод исходных данных'!$D$83-S235)</f>
        <v>0</v>
      </c>
      <c r="W235" s="1065">
        <v>4.0999999999999996</v>
      </c>
      <c r="X235" s="1065"/>
      <c r="Y235" s="1065">
        <f t="shared" si="38"/>
        <v>25</v>
      </c>
      <c r="Z235" s="1065">
        <f>Y235*('Ввод исходных данных'!$D$83-W235)</f>
        <v>397.5</v>
      </c>
      <c r="AA235" s="1066">
        <v>-3.8</v>
      </c>
      <c r="AB235" s="1066"/>
      <c r="AC235" s="1066">
        <f t="shared" si="39"/>
        <v>30</v>
      </c>
      <c r="AD235" s="1066">
        <f>AC235*('Ввод исходных данных'!$D$83-AA235)</f>
        <v>714</v>
      </c>
      <c r="AE235" s="1067">
        <v>-10.4</v>
      </c>
      <c r="AF235" s="1067"/>
      <c r="AG235" s="1067">
        <v>31</v>
      </c>
      <c r="AH235" s="1067">
        <f>AG235*('Ввод исходных данных'!$D$83-AE235)</f>
        <v>942.4</v>
      </c>
      <c r="AI235" s="1068">
        <v>-14.4</v>
      </c>
      <c r="AJ235" s="1068"/>
      <c r="AK235" s="1068">
        <v>31</v>
      </c>
      <c r="AL235" s="1068">
        <f>AK235*('Ввод исходных данных'!$D$83-AI235)</f>
        <v>1066.3999999999999</v>
      </c>
      <c r="AM235" s="1069">
        <v>-13.5</v>
      </c>
      <c r="AN235" s="1069"/>
      <c r="AO235" s="1069">
        <v>28</v>
      </c>
      <c r="AP235" s="1069">
        <f>AO235*('Ввод исходных данных'!$D$83-AM235)</f>
        <v>938</v>
      </c>
      <c r="AQ235" s="1064">
        <v>-6.6</v>
      </c>
      <c r="AR235" s="1064"/>
      <c r="AS235" s="1064">
        <f t="shared" si="40"/>
        <v>31</v>
      </c>
      <c r="AT235" s="1064">
        <f>AS235*('Ввод исходных данных'!$D$83-AQ235)</f>
        <v>824.6</v>
      </c>
      <c r="AU235" s="1070">
        <v>5.8</v>
      </c>
      <c r="AV235" s="1070"/>
      <c r="AW235" s="1070">
        <f t="shared" si="41"/>
        <v>25</v>
      </c>
      <c r="AX235" s="1070">
        <f>AW235*('Ввод исходных данных'!$D$83-AU235)</f>
        <v>355</v>
      </c>
      <c r="AY235" s="1071">
        <v>14.6</v>
      </c>
      <c r="AZ235" s="1071"/>
      <c r="BA235" s="1071">
        <f t="shared" si="42"/>
        <v>0</v>
      </c>
      <c r="BB235" s="1071">
        <f>BA235*('Ввод исходных данных'!$D$83-AY235)</f>
        <v>0</v>
      </c>
      <c r="BC235" s="1072">
        <v>19.2</v>
      </c>
      <c r="BD235" s="1072"/>
      <c r="BE235" s="1072">
        <f t="shared" si="34"/>
        <v>0</v>
      </c>
      <c r="BF235" s="1073">
        <f>BE235*('Ввод исходных данных'!$D$83-BC235)</f>
        <v>0</v>
      </c>
    </row>
    <row r="236" spans="2:58" ht="15.75" customHeight="1" x14ac:dyDescent="0.25">
      <c r="B236" s="1076" t="s">
        <v>246</v>
      </c>
      <c r="C236" s="1076" t="s">
        <v>247</v>
      </c>
      <c r="D236" s="1053" t="str">
        <f t="shared" si="43"/>
        <v>Орловская областьОрел</v>
      </c>
      <c r="E236" s="1054">
        <v>199</v>
      </c>
      <c r="F236" s="1055">
        <v>-2.4</v>
      </c>
      <c r="G236" s="1055">
        <v>-25</v>
      </c>
      <c r="H236" s="1057">
        <v>4.7</v>
      </c>
      <c r="I236" s="1058">
        <f>E236*('Ввод исходных данных'!$D$83-F236)</f>
        <v>4457.5999999999995</v>
      </c>
      <c r="J236" s="1059" t="str">
        <f t="shared" si="33"/>
        <v>4000-5000</v>
      </c>
      <c r="K236" s="1060">
        <v>18.7</v>
      </c>
      <c r="L236" s="1060"/>
      <c r="M236" s="1061">
        <f t="shared" si="35"/>
        <v>0</v>
      </c>
      <c r="N236" s="1062">
        <f>M236*('Ввод исходных данных'!$D$83-K236)</f>
        <v>0</v>
      </c>
      <c r="O236" s="1063">
        <v>17.600000000000001</v>
      </c>
      <c r="P236" s="1063"/>
      <c r="Q236" s="1063">
        <f t="shared" si="36"/>
        <v>0</v>
      </c>
      <c r="R236" s="1063">
        <f>Q236*('Ввод исходных данных'!$D$83-O236)</f>
        <v>0</v>
      </c>
      <c r="S236" s="1064">
        <v>11.9</v>
      </c>
      <c r="T236" s="1064"/>
      <c r="U236" s="1064">
        <f t="shared" si="37"/>
        <v>0</v>
      </c>
      <c r="V236" s="1064">
        <f>U236*('Ввод исходных данных'!$D$83-S236)</f>
        <v>0</v>
      </c>
      <c r="W236" s="1065">
        <v>5.7</v>
      </c>
      <c r="X236" s="1065"/>
      <c r="Y236" s="1065">
        <f t="shared" si="38"/>
        <v>24</v>
      </c>
      <c r="Z236" s="1065">
        <f>Y236*('Ввод исходных данных'!$D$83-W236)</f>
        <v>343.20000000000005</v>
      </c>
      <c r="AA236" s="1066">
        <v>-0.6</v>
      </c>
      <c r="AB236" s="1066"/>
      <c r="AC236" s="1066">
        <f t="shared" si="39"/>
        <v>30</v>
      </c>
      <c r="AD236" s="1066">
        <f>AC236*('Ввод исходных данных'!$D$83-AA236)</f>
        <v>618</v>
      </c>
      <c r="AE236" s="1067">
        <v>-5.4</v>
      </c>
      <c r="AF236" s="1067"/>
      <c r="AG236" s="1067">
        <v>31</v>
      </c>
      <c r="AH236" s="1067">
        <f>AG236*('Ввод исходных данных'!$D$83-AE236)</f>
        <v>787.4</v>
      </c>
      <c r="AI236" s="1068">
        <v>-7.8</v>
      </c>
      <c r="AJ236" s="1068"/>
      <c r="AK236" s="1068">
        <v>31</v>
      </c>
      <c r="AL236" s="1068">
        <f>AK236*('Ввод исходных данных'!$D$83-AI236)</f>
        <v>861.80000000000007</v>
      </c>
      <c r="AM236" s="1069">
        <v>-7.3</v>
      </c>
      <c r="AN236" s="1069"/>
      <c r="AO236" s="1069">
        <v>28</v>
      </c>
      <c r="AP236" s="1069">
        <f>AO236*('Ввод исходных данных'!$D$83-AM236)</f>
        <v>764.4</v>
      </c>
      <c r="AQ236" s="1064">
        <v>-1.9</v>
      </c>
      <c r="AR236" s="1064"/>
      <c r="AS236" s="1064">
        <f t="shared" si="40"/>
        <v>31</v>
      </c>
      <c r="AT236" s="1064">
        <f>AS236*('Ввод исходных данных'!$D$83-AQ236)</f>
        <v>678.9</v>
      </c>
      <c r="AU236" s="1070">
        <v>6.9</v>
      </c>
      <c r="AV236" s="1070"/>
      <c r="AW236" s="1070">
        <f t="shared" si="41"/>
        <v>24</v>
      </c>
      <c r="AX236" s="1070">
        <f>AW236*('Ввод исходных данных'!$D$83-AU236)</f>
        <v>314.39999999999998</v>
      </c>
      <c r="AY236" s="1071">
        <v>13.9</v>
      </c>
      <c r="AZ236" s="1071"/>
      <c r="BA236" s="1071">
        <f t="shared" si="42"/>
        <v>0</v>
      </c>
      <c r="BB236" s="1071">
        <f>BA236*('Ввод исходных данных'!$D$83-AY236)</f>
        <v>0</v>
      </c>
      <c r="BC236" s="1072">
        <v>17.2</v>
      </c>
      <c r="BD236" s="1072"/>
      <c r="BE236" s="1072">
        <f t="shared" si="34"/>
        <v>0</v>
      </c>
      <c r="BF236" s="1073">
        <f>BE236*('Ввод исходных данных'!$D$83-BC236)</f>
        <v>0</v>
      </c>
    </row>
    <row r="237" spans="2:58" ht="15.75" customHeight="1" x14ac:dyDescent="0.25">
      <c r="B237" s="1052" t="s">
        <v>248</v>
      </c>
      <c r="C237" s="1052" t="s">
        <v>670</v>
      </c>
      <c r="D237" s="1053" t="str">
        <f t="shared" si="43"/>
        <v>Пензенская областьЗеметчино</v>
      </c>
      <c r="E237" s="1054">
        <v>200</v>
      </c>
      <c r="F237" s="1055">
        <v>-3.8</v>
      </c>
      <c r="G237" s="1055">
        <v>-28</v>
      </c>
      <c r="H237" s="1057">
        <v>4.3</v>
      </c>
      <c r="I237" s="1058">
        <f>E237*('Ввод исходных данных'!$D$83-F237)</f>
        <v>4760</v>
      </c>
      <c r="J237" s="1059" t="str">
        <f t="shared" si="33"/>
        <v>4000-5000</v>
      </c>
      <c r="K237" s="1060">
        <v>19.5</v>
      </c>
      <c r="L237" s="1060"/>
      <c r="M237" s="1061">
        <f t="shared" si="35"/>
        <v>0</v>
      </c>
      <c r="N237" s="1062">
        <f>M237*('Ввод исходных данных'!$D$83-K237)</f>
        <v>0</v>
      </c>
      <c r="O237" s="1063">
        <v>17.8</v>
      </c>
      <c r="P237" s="1063"/>
      <c r="Q237" s="1063">
        <f t="shared" si="36"/>
        <v>0</v>
      </c>
      <c r="R237" s="1063">
        <f>Q237*('Ввод исходных данных'!$D$83-O237)</f>
        <v>0</v>
      </c>
      <c r="S237" s="1064">
        <v>12.1</v>
      </c>
      <c r="T237" s="1064"/>
      <c r="U237" s="1064">
        <f t="shared" si="37"/>
        <v>0</v>
      </c>
      <c r="V237" s="1064">
        <f>U237*('Ввод исходных данных'!$D$83-S237)</f>
        <v>0</v>
      </c>
      <c r="W237" s="1065">
        <v>5.0999999999999996</v>
      </c>
      <c r="X237" s="1065"/>
      <c r="Y237" s="1065">
        <f t="shared" si="38"/>
        <v>24.5</v>
      </c>
      <c r="Z237" s="1065">
        <f>Y237*('Ввод исходных данных'!$D$83-W237)</f>
        <v>365.05</v>
      </c>
      <c r="AA237" s="1066">
        <v>-1.7</v>
      </c>
      <c r="AB237" s="1066"/>
      <c r="AC237" s="1066">
        <f t="shared" si="39"/>
        <v>30</v>
      </c>
      <c r="AD237" s="1066">
        <f>AC237*('Ввод исходных данных'!$D$83-AA237)</f>
        <v>651</v>
      </c>
      <c r="AE237" s="1067">
        <v>-7.2</v>
      </c>
      <c r="AF237" s="1067"/>
      <c r="AG237" s="1067">
        <v>31</v>
      </c>
      <c r="AH237" s="1067">
        <f>AG237*('Ввод исходных данных'!$D$83-AE237)</f>
        <v>843.19999999999993</v>
      </c>
      <c r="AI237" s="1068">
        <v>-9.3000000000000007</v>
      </c>
      <c r="AJ237" s="1068"/>
      <c r="AK237" s="1068">
        <v>31</v>
      </c>
      <c r="AL237" s="1068">
        <f>AK237*('Ввод исходных данных'!$D$83-AI237)</f>
        <v>908.30000000000007</v>
      </c>
      <c r="AM237" s="1069">
        <v>-9.5</v>
      </c>
      <c r="AN237" s="1069"/>
      <c r="AO237" s="1069">
        <v>28</v>
      </c>
      <c r="AP237" s="1069">
        <f>AO237*('Ввод исходных данных'!$D$83-AM237)</f>
        <v>826</v>
      </c>
      <c r="AQ237" s="1064">
        <v>-3.6</v>
      </c>
      <c r="AR237" s="1064"/>
      <c r="AS237" s="1064">
        <f t="shared" si="40"/>
        <v>31</v>
      </c>
      <c r="AT237" s="1064">
        <f>AS237*('Ввод исходных данных'!$D$83-AQ237)</f>
        <v>731.6</v>
      </c>
      <c r="AU237" s="1070">
        <v>6.6</v>
      </c>
      <c r="AV237" s="1070"/>
      <c r="AW237" s="1070">
        <f t="shared" si="41"/>
        <v>24.5</v>
      </c>
      <c r="AX237" s="1070">
        <f>AW237*('Ввод исходных данных'!$D$83-AU237)</f>
        <v>328.3</v>
      </c>
      <c r="AY237" s="1071">
        <v>14</v>
      </c>
      <c r="AZ237" s="1071"/>
      <c r="BA237" s="1071">
        <f t="shared" si="42"/>
        <v>0</v>
      </c>
      <c r="BB237" s="1071">
        <f>BA237*('Ввод исходных данных'!$D$83-AY237)</f>
        <v>0</v>
      </c>
      <c r="BC237" s="1072">
        <v>17.7</v>
      </c>
      <c r="BD237" s="1072"/>
      <c r="BE237" s="1072">
        <f t="shared" si="34"/>
        <v>0</v>
      </c>
      <c r="BF237" s="1073">
        <f>BE237*('Ввод исходных данных'!$D$83-BC237)</f>
        <v>0</v>
      </c>
    </row>
    <row r="238" spans="2:58" ht="15.75" customHeight="1" x14ac:dyDescent="0.25">
      <c r="B238" s="1076" t="s">
        <v>248</v>
      </c>
      <c r="C238" s="1076" t="s">
        <v>250</v>
      </c>
      <c r="D238" s="1053" t="str">
        <f t="shared" si="43"/>
        <v>Пензенская областьПенза</v>
      </c>
      <c r="E238" s="1054">
        <v>200</v>
      </c>
      <c r="F238" s="1055">
        <v>-4.0999999999999996</v>
      </c>
      <c r="G238" s="1055">
        <v>-27</v>
      </c>
      <c r="H238" s="1057">
        <v>4.4000000000000004</v>
      </c>
      <c r="I238" s="1058">
        <f>E238*('Ввод исходных данных'!$D$83-F238)</f>
        <v>4820</v>
      </c>
      <c r="J238" s="1059" t="str">
        <f t="shared" si="33"/>
        <v>4000-5000</v>
      </c>
      <c r="K238" s="1060">
        <v>19.8</v>
      </c>
      <c r="L238" s="1060"/>
      <c r="M238" s="1061">
        <f t="shared" si="35"/>
        <v>0</v>
      </c>
      <c r="N238" s="1062">
        <f>M238*('Ввод исходных данных'!$D$83-K238)</f>
        <v>0</v>
      </c>
      <c r="O238" s="1063">
        <v>18</v>
      </c>
      <c r="P238" s="1063"/>
      <c r="Q238" s="1063">
        <f t="shared" si="36"/>
        <v>0</v>
      </c>
      <c r="R238" s="1063">
        <f>Q238*('Ввод исходных данных'!$D$83-O238)</f>
        <v>0</v>
      </c>
      <c r="S238" s="1064">
        <v>12.2</v>
      </c>
      <c r="T238" s="1064"/>
      <c r="U238" s="1064">
        <f t="shared" si="37"/>
        <v>0</v>
      </c>
      <c r="V238" s="1064">
        <f>U238*('Ввод исходных данных'!$D$83-S238)</f>
        <v>0</v>
      </c>
      <c r="W238" s="1065">
        <v>5.0999999999999996</v>
      </c>
      <c r="X238" s="1065"/>
      <c r="Y238" s="1065">
        <f t="shared" si="38"/>
        <v>24.5</v>
      </c>
      <c r="Z238" s="1065">
        <f>Y238*('Ввод исходных данных'!$D$83-W238)</f>
        <v>365.05</v>
      </c>
      <c r="AA238" s="1066">
        <v>-2</v>
      </c>
      <c r="AB238" s="1066"/>
      <c r="AC238" s="1066">
        <f t="shared" si="39"/>
        <v>30</v>
      </c>
      <c r="AD238" s="1066">
        <f>AC238*('Ввод исходных данных'!$D$83-AA238)</f>
        <v>660</v>
      </c>
      <c r="AE238" s="1067">
        <v>-7.8</v>
      </c>
      <c r="AF238" s="1067"/>
      <c r="AG238" s="1067">
        <v>31</v>
      </c>
      <c r="AH238" s="1067">
        <f>AG238*('Ввод исходных данных'!$D$83-AE238)</f>
        <v>861.80000000000007</v>
      </c>
      <c r="AI238" s="1068">
        <v>-9.8000000000000007</v>
      </c>
      <c r="AJ238" s="1068"/>
      <c r="AK238" s="1068">
        <v>31</v>
      </c>
      <c r="AL238" s="1068">
        <f>AK238*('Ввод исходных данных'!$D$83-AI238)</f>
        <v>923.80000000000007</v>
      </c>
      <c r="AM238" s="1069">
        <v>-9.6999999999999993</v>
      </c>
      <c r="AN238" s="1069"/>
      <c r="AO238" s="1069">
        <v>28</v>
      </c>
      <c r="AP238" s="1069">
        <f>AO238*('Ввод исходных данных'!$D$83-AM238)</f>
        <v>831.6</v>
      </c>
      <c r="AQ238" s="1064">
        <v>-3.7</v>
      </c>
      <c r="AR238" s="1064"/>
      <c r="AS238" s="1064">
        <f t="shared" si="40"/>
        <v>31</v>
      </c>
      <c r="AT238" s="1064">
        <f>AS238*('Ввод исходных данных'!$D$83-AQ238)</f>
        <v>734.69999999999993</v>
      </c>
      <c r="AU238" s="1070">
        <v>6.8</v>
      </c>
      <c r="AV238" s="1070"/>
      <c r="AW238" s="1070">
        <f t="shared" si="41"/>
        <v>24.5</v>
      </c>
      <c r="AX238" s="1070">
        <f>AW238*('Ввод исходных данных'!$D$83-AU238)</f>
        <v>323.39999999999998</v>
      </c>
      <c r="AY238" s="1071">
        <v>14.2</v>
      </c>
      <c r="AZ238" s="1071"/>
      <c r="BA238" s="1071">
        <f t="shared" si="42"/>
        <v>0</v>
      </c>
      <c r="BB238" s="1071">
        <f>BA238*('Ввод исходных данных'!$D$83-AY238)</f>
        <v>0</v>
      </c>
      <c r="BC238" s="1072">
        <v>18</v>
      </c>
      <c r="BD238" s="1072"/>
      <c r="BE238" s="1072">
        <f t="shared" si="34"/>
        <v>0</v>
      </c>
      <c r="BF238" s="1073">
        <f>BE238*('Ввод исходных данных'!$D$83-BC238)</f>
        <v>0</v>
      </c>
    </row>
    <row r="239" spans="2:58" ht="15.75" customHeight="1" x14ac:dyDescent="0.25">
      <c r="B239" s="1052" t="s">
        <v>619</v>
      </c>
      <c r="C239" s="1052" t="s">
        <v>671</v>
      </c>
      <c r="D239" s="1053" t="str">
        <f t="shared" si="43"/>
        <v>Пермская областьБисер</v>
      </c>
      <c r="E239" s="1054">
        <v>250</v>
      </c>
      <c r="F239" s="1055">
        <v>-6.7</v>
      </c>
      <c r="G239" s="1055">
        <v>-35</v>
      </c>
      <c r="H239" s="1057">
        <v>3.8</v>
      </c>
      <c r="I239" s="1058">
        <f>E239*('Ввод исходных данных'!$D$83-F239)</f>
        <v>6675</v>
      </c>
      <c r="J239" s="1059" t="str">
        <f t="shared" si="33"/>
        <v>6000-7000</v>
      </c>
      <c r="K239" s="1060">
        <v>15.8</v>
      </c>
      <c r="L239" s="1060"/>
      <c r="M239" s="1061">
        <f t="shared" si="35"/>
        <v>0</v>
      </c>
      <c r="N239" s="1062">
        <f>M239*('Ввод исходных данных'!$D$83-K239)</f>
        <v>0</v>
      </c>
      <c r="O239" s="1063">
        <v>12.6</v>
      </c>
      <c r="P239" s="1063"/>
      <c r="Q239" s="1063">
        <f t="shared" si="36"/>
        <v>0</v>
      </c>
      <c r="R239" s="1063">
        <f>Q239*('Ввод исходных данных'!$D$83-O239)</f>
        <v>0</v>
      </c>
      <c r="S239" s="1064">
        <v>6.9</v>
      </c>
      <c r="T239" s="1064"/>
      <c r="U239" s="1064">
        <f t="shared" si="37"/>
        <v>19</v>
      </c>
      <c r="V239" s="1064">
        <f>U239*('Ввод исходных данных'!$D$83-S239)</f>
        <v>248.9</v>
      </c>
      <c r="W239" s="1065">
        <v>-0.5</v>
      </c>
      <c r="X239" s="1065"/>
      <c r="Y239" s="1065">
        <f t="shared" si="38"/>
        <v>31</v>
      </c>
      <c r="Z239" s="1065">
        <f>Y239*('Ввод исходных данных'!$D$83-W239)</f>
        <v>635.5</v>
      </c>
      <c r="AA239" s="1066">
        <v>-8.5</v>
      </c>
      <c r="AB239" s="1066"/>
      <c r="AC239" s="1066">
        <f t="shared" si="39"/>
        <v>30</v>
      </c>
      <c r="AD239" s="1066">
        <f>AC239*('Ввод исходных данных'!$D$83-AA239)</f>
        <v>855</v>
      </c>
      <c r="AE239" s="1067">
        <v>-14.1</v>
      </c>
      <c r="AF239" s="1067"/>
      <c r="AG239" s="1067">
        <v>31</v>
      </c>
      <c r="AH239" s="1067">
        <f>AG239*('Ввод исходных данных'!$D$83-AE239)</f>
        <v>1057.1000000000001</v>
      </c>
      <c r="AI239" s="1068">
        <v>-16.7</v>
      </c>
      <c r="AJ239" s="1068"/>
      <c r="AK239" s="1068">
        <v>31</v>
      </c>
      <c r="AL239" s="1068">
        <f>AK239*('Ввод исходных данных'!$D$83-AI239)</f>
        <v>1137.7</v>
      </c>
      <c r="AM239" s="1069">
        <v>-14.8</v>
      </c>
      <c r="AN239" s="1069"/>
      <c r="AO239" s="1069">
        <v>28</v>
      </c>
      <c r="AP239" s="1069">
        <f>AO239*('Ввод исходных данных'!$D$83-AM239)</f>
        <v>974.39999999999986</v>
      </c>
      <c r="AQ239" s="1064">
        <v>-6.7</v>
      </c>
      <c r="AR239" s="1064"/>
      <c r="AS239" s="1064">
        <f t="shared" si="40"/>
        <v>31</v>
      </c>
      <c r="AT239" s="1064">
        <f>AS239*('Ввод исходных данных'!$D$83-AQ239)</f>
        <v>827.69999999999993</v>
      </c>
      <c r="AU239" s="1070">
        <v>0.7</v>
      </c>
      <c r="AV239" s="1070"/>
      <c r="AW239" s="1070">
        <f t="shared" si="41"/>
        <v>30</v>
      </c>
      <c r="AX239" s="1070">
        <f>AW239*('Ввод исходных данных'!$D$83-AU239)</f>
        <v>579</v>
      </c>
      <c r="AY239" s="1071">
        <v>7.7</v>
      </c>
      <c r="AZ239" s="1071"/>
      <c r="BA239" s="1071">
        <f t="shared" si="42"/>
        <v>19</v>
      </c>
      <c r="BB239" s="1071">
        <f>BA239*('Ввод исходных данных'!$D$83-AY239)</f>
        <v>233.70000000000002</v>
      </c>
      <c r="BC239" s="1072">
        <v>13.4</v>
      </c>
      <c r="BD239" s="1072"/>
      <c r="BE239" s="1072">
        <f t="shared" si="34"/>
        <v>0</v>
      </c>
      <c r="BF239" s="1073">
        <f>BE239*('Ввод исходных данных'!$D$83-BC239)</f>
        <v>0</v>
      </c>
    </row>
    <row r="240" spans="2:58" ht="15.75" customHeight="1" x14ac:dyDescent="0.25">
      <c r="B240" s="1076" t="s">
        <v>619</v>
      </c>
      <c r="C240" s="1076" t="s">
        <v>252</v>
      </c>
      <c r="D240" s="1053" t="str">
        <f t="shared" si="43"/>
        <v>Пермская областьНожовка</v>
      </c>
      <c r="E240" s="1054">
        <v>221</v>
      </c>
      <c r="F240" s="1055">
        <v>-6.1</v>
      </c>
      <c r="G240" s="1055">
        <v>-36</v>
      </c>
      <c r="H240" s="1057">
        <f>H239</f>
        <v>3.8</v>
      </c>
      <c r="I240" s="1058">
        <f>E240*('Ввод исходных данных'!$D$83-F240)</f>
        <v>5768.1</v>
      </c>
      <c r="J240" s="1059" t="str">
        <f t="shared" si="33"/>
        <v>5000-6000</v>
      </c>
      <c r="K240" s="1060">
        <v>18.399999999999999</v>
      </c>
      <c r="L240" s="1060"/>
      <c r="M240" s="1061">
        <f t="shared" si="35"/>
        <v>0</v>
      </c>
      <c r="N240" s="1062">
        <f>M240*('Ввод исходных данных'!$D$83-K240)</f>
        <v>0</v>
      </c>
      <c r="O240" s="1063">
        <v>16.399999999999999</v>
      </c>
      <c r="P240" s="1063"/>
      <c r="Q240" s="1063">
        <f t="shared" si="36"/>
        <v>0</v>
      </c>
      <c r="R240" s="1063">
        <f>Q240*('Ввод исходных данных'!$D$83-O240)</f>
        <v>0</v>
      </c>
      <c r="S240" s="1064">
        <v>10.1</v>
      </c>
      <c r="T240" s="1064"/>
      <c r="U240" s="1064">
        <f t="shared" si="37"/>
        <v>4.5</v>
      </c>
      <c r="V240" s="1064">
        <f>U240*('Ввод исходных данных'!$D$83-S240)</f>
        <v>44.550000000000004</v>
      </c>
      <c r="W240" s="1065">
        <v>2.2999999999999998</v>
      </c>
      <c r="X240" s="1065"/>
      <c r="Y240" s="1065">
        <f t="shared" si="38"/>
        <v>31</v>
      </c>
      <c r="Z240" s="1065">
        <f>Y240*('Ввод исходных данных'!$D$83-W240)</f>
        <v>548.69999999999993</v>
      </c>
      <c r="AA240" s="1066">
        <v>-5.0999999999999996</v>
      </c>
      <c r="AB240" s="1066"/>
      <c r="AC240" s="1066">
        <f t="shared" si="39"/>
        <v>30</v>
      </c>
      <c r="AD240" s="1066">
        <f>AC240*('Ввод исходных данных'!$D$83-AA240)</f>
        <v>753</v>
      </c>
      <c r="AE240" s="1067">
        <v>-12.1</v>
      </c>
      <c r="AF240" s="1067"/>
      <c r="AG240" s="1067">
        <v>31</v>
      </c>
      <c r="AH240" s="1067">
        <f>AG240*('Ввод исходных данных'!$D$83-AE240)</f>
        <v>995.1</v>
      </c>
      <c r="AI240" s="1068">
        <v>-14.6</v>
      </c>
      <c r="AJ240" s="1068"/>
      <c r="AK240" s="1068">
        <v>31</v>
      </c>
      <c r="AL240" s="1068">
        <f>AK240*('Ввод исходных данных'!$D$83-AI240)</f>
        <v>1072.6000000000001</v>
      </c>
      <c r="AM240" s="1069">
        <v>-13.7</v>
      </c>
      <c r="AN240" s="1069"/>
      <c r="AO240" s="1069">
        <v>28</v>
      </c>
      <c r="AP240" s="1069">
        <f>AO240*('Ввод исходных данных'!$D$83-AM240)</f>
        <v>943.60000000000014</v>
      </c>
      <c r="AQ240" s="1064">
        <v>-6.8</v>
      </c>
      <c r="AR240" s="1064"/>
      <c r="AS240" s="1064">
        <f t="shared" si="40"/>
        <v>31</v>
      </c>
      <c r="AT240" s="1064">
        <f>AS240*('Ввод исходных данных'!$D$83-AQ240)</f>
        <v>830.80000000000007</v>
      </c>
      <c r="AU240" s="1070">
        <v>2.9</v>
      </c>
      <c r="AV240" s="1070"/>
      <c r="AW240" s="1070">
        <f t="shared" si="41"/>
        <v>30</v>
      </c>
      <c r="AX240" s="1070">
        <f>AW240*('Ввод исходных данных'!$D$83-AU240)</f>
        <v>513</v>
      </c>
      <c r="AY240" s="1071">
        <v>11</v>
      </c>
      <c r="AZ240" s="1071"/>
      <c r="BA240" s="1071">
        <f t="shared" si="42"/>
        <v>4.5</v>
      </c>
      <c r="BB240" s="1071">
        <f>BA240*('Ввод исходных данных'!$D$83-AY240)</f>
        <v>40.5</v>
      </c>
      <c r="BC240" s="1072">
        <v>16.7</v>
      </c>
      <c r="BD240" s="1072"/>
      <c r="BE240" s="1072">
        <f t="shared" si="34"/>
        <v>0</v>
      </c>
      <c r="BF240" s="1073">
        <f>BE240*('Ввод исходных данных'!$D$83-BC240)</f>
        <v>0</v>
      </c>
    </row>
    <row r="241" spans="2:58" ht="15.75" customHeight="1" x14ac:dyDescent="0.25">
      <c r="B241" s="1052" t="s">
        <v>619</v>
      </c>
      <c r="C241" s="1052" t="s">
        <v>253</v>
      </c>
      <c r="D241" s="1053" t="str">
        <f t="shared" si="43"/>
        <v>Пермская областьПермь</v>
      </c>
      <c r="E241" s="1054">
        <v>225</v>
      </c>
      <c r="F241" s="1055">
        <v>-5.5</v>
      </c>
      <c r="G241" s="1055">
        <v>-35</v>
      </c>
      <c r="H241" s="1057">
        <v>3.4</v>
      </c>
      <c r="I241" s="1058">
        <f>E241*('Ввод исходных данных'!$D$83-F241)</f>
        <v>5737.5</v>
      </c>
      <c r="J241" s="1059" t="str">
        <f t="shared" si="33"/>
        <v>5000-6000</v>
      </c>
      <c r="K241" s="1060">
        <v>18.2</v>
      </c>
      <c r="L241" s="1060"/>
      <c r="M241" s="1061">
        <f t="shared" si="35"/>
        <v>0</v>
      </c>
      <c r="N241" s="1062">
        <f>M241*('Ввод исходных данных'!$D$83-K241)</f>
        <v>0</v>
      </c>
      <c r="O241" s="1063">
        <v>15.1</v>
      </c>
      <c r="P241" s="1063"/>
      <c r="Q241" s="1063">
        <f t="shared" si="36"/>
        <v>0</v>
      </c>
      <c r="R241" s="1063">
        <f>Q241*('Ввод исходных данных'!$D$83-O241)</f>
        <v>0</v>
      </c>
      <c r="S241" s="1064">
        <v>9.5</v>
      </c>
      <c r="T241" s="1064"/>
      <c r="U241" s="1064">
        <f t="shared" si="37"/>
        <v>6.5</v>
      </c>
      <c r="V241" s="1064">
        <f>U241*('Ввод исходных данных'!$D$83-S241)</f>
        <v>68.25</v>
      </c>
      <c r="W241" s="1065">
        <v>2.2999999999999998</v>
      </c>
      <c r="X241" s="1065"/>
      <c r="Y241" s="1065">
        <f t="shared" si="38"/>
        <v>31</v>
      </c>
      <c r="Z241" s="1065">
        <f>Y241*('Ввод исходных данных'!$D$83-W241)</f>
        <v>548.69999999999993</v>
      </c>
      <c r="AA241" s="1066">
        <v>-5.6</v>
      </c>
      <c r="AB241" s="1066"/>
      <c r="AC241" s="1066">
        <f t="shared" si="39"/>
        <v>30</v>
      </c>
      <c r="AD241" s="1066">
        <f>AC241*('Ввод исходных данных'!$D$83-AA241)</f>
        <v>768</v>
      </c>
      <c r="AE241" s="1067">
        <v>-11.3</v>
      </c>
      <c r="AF241" s="1067"/>
      <c r="AG241" s="1067">
        <v>31</v>
      </c>
      <c r="AH241" s="1067">
        <f>AG241*('Ввод исходных данных'!$D$83-AE241)</f>
        <v>970.30000000000007</v>
      </c>
      <c r="AI241" s="1068">
        <v>-13.9</v>
      </c>
      <c r="AJ241" s="1068"/>
      <c r="AK241" s="1068">
        <v>31</v>
      </c>
      <c r="AL241" s="1068">
        <f>AK241*('Ввод исходных данных'!$D$83-AI241)</f>
        <v>1050.8999999999999</v>
      </c>
      <c r="AM241" s="1069">
        <v>-12.3</v>
      </c>
      <c r="AN241" s="1069"/>
      <c r="AO241" s="1069">
        <v>28</v>
      </c>
      <c r="AP241" s="1069">
        <f>AO241*('Ввод исходных данных'!$D$83-AM241)</f>
        <v>904.39999999999986</v>
      </c>
      <c r="AQ241" s="1064">
        <v>-4.5</v>
      </c>
      <c r="AR241" s="1064"/>
      <c r="AS241" s="1064">
        <f t="shared" si="40"/>
        <v>31</v>
      </c>
      <c r="AT241" s="1064">
        <f>AS241*('Ввод исходных данных'!$D$83-AQ241)</f>
        <v>759.5</v>
      </c>
      <c r="AU241" s="1070">
        <v>3.5</v>
      </c>
      <c r="AV241" s="1070"/>
      <c r="AW241" s="1070">
        <f t="shared" si="41"/>
        <v>30</v>
      </c>
      <c r="AX241" s="1070">
        <f>AW241*('Ввод исходных данных'!$D$83-AU241)</f>
        <v>495</v>
      </c>
      <c r="AY241" s="1071">
        <v>10.6</v>
      </c>
      <c r="AZ241" s="1071"/>
      <c r="BA241" s="1071">
        <f t="shared" si="42"/>
        <v>6.5</v>
      </c>
      <c r="BB241" s="1071">
        <f>BA241*('Ввод исходных данных'!$D$83-AY241)</f>
        <v>61.1</v>
      </c>
      <c r="BC241" s="1072">
        <v>15.8</v>
      </c>
      <c r="BD241" s="1072"/>
      <c r="BE241" s="1072">
        <f t="shared" si="34"/>
        <v>0</v>
      </c>
      <c r="BF241" s="1073">
        <f>BE241*('Ввод исходных данных'!$D$83-BC241)</f>
        <v>0</v>
      </c>
    </row>
    <row r="242" spans="2:58" ht="15.75" customHeight="1" x14ac:dyDescent="0.25">
      <c r="B242" s="1076" t="s">
        <v>619</v>
      </c>
      <c r="C242" s="1076" t="s">
        <v>251</v>
      </c>
      <c r="D242" s="1053" t="str">
        <f t="shared" si="43"/>
        <v>Пермская областьЧердынь</v>
      </c>
      <c r="E242" s="1054">
        <v>245</v>
      </c>
      <c r="F242" s="1055">
        <v>-6.7</v>
      </c>
      <c r="G242" s="1055">
        <v>-37</v>
      </c>
      <c r="H242" s="1057">
        <f>H241</f>
        <v>3.4</v>
      </c>
      <c r="I242" s="1058">
        <f>E242*('Ввод исходных данных'!$D$83-F242)</f>
        <v>6541.5</v>
      </c>
      <c r="J242" s="1059" t="str">
        <f t="shared" si="33"/>
        <v>6000-7000</v>
      </c>
      <c r="K242" s="1060">
        <v>16.899999999999999</v>
      </c>
      <c r="L242" s="1060"/>
      <c r="M242" s="1061">
        <f t="shared" si="35"/>
        <v>0</v>
      </c>
      <c r="N242" s="1062">
        <f>M242*('Ввод исходных данных'!$D$83-K242)</f>
        <v>0</v>
      </c>
      <c r="O242" s="1063">
        <v>14.3</v>
      </c>
      <c r="P242" s="1063"/>
      <c r="Q242" s="1063">
        <f t="shared" si="36"/>
        <v>0</v>
      </c>
      <c r="R242" s="1063">
        <f>Q242*('Ввод исходных данных'!$D$83-O242)</f>
        <v>0</v>
      </c>
      <c r="S242" s="1064">
        <v>8</v>
      </c>
      <c r="T242" s="1064"/>
      <c r="U242" s="1064">
        <f t="shared" si="37"/>
        <v>16.5</v>
      </c>
      <c r="V242" s="1064">
        <f>U242*('Ввод исходных данных'!$D$83-S242)</f>
        <v>198</v>
      </c>
      <c r="W242" s="1065">
        <v>-0.3</v>
      </c>
      <c r="X242" s="1065"/>
      <c r="Y242" s="1065">
        <f t="shared" si="38"/>
        <v>31</v>
      </c>
      <c r="Z242" s="1065">
        <f>Y242*('Ввод исходных данных'!$D$83-W242)</f>
        <v>629.30000000000007</v>
      </c>
      <c r="AA242" s="1066">
        <v>-8.3000000000000007</v>
      </c>
      <c r="AB242" s="1066"/>
      <c r="AC242" s="1066">
        <f t="shared" si="39"/>
        <v>30</v>
      </c>
      <c r="AD242" s="1066">
        <f>AC242*('Ввод исходных данных'!$D$83-AA242)</f>
        <v>849</v>
      </c>
      <c r="AE242" s="1067">
        <v>-14.4</v>
      </c>
      <c r="AF242" s="1067"/>
      <c r="AG242" s="1067">
        <v>31</v>
      </c>
      <c r="AH242" s="1067">
        <f>AG242*('Ввод исходных данных'!$D$83-AE242)</f>
        <v>1066.3999999999999</v>
      </c>
      <c r="AI242" s="1068">
        <v>-17</v>
      </c>
      <c r="AJ242" s="1068"/>
      <c r="AK242" s="1068">
        <v>31</v>
      </c>
      <c r="AL242" s="1068">
        <f>AK242*('Ввод исходных данных'!$D$83-AI242)</f>
        <v>1147</v>
      </c>
      <c r="AM242" s="1069">
        <v>-14.8</v>
      </c>
      <c r="AN242" s="1069"/>
      <c r="AO242" s="1069">
        <v>28</v>
      </c>
      <c r="AP242" s="1069">
        <f>AO242*('Ввод исходных данных'!$D$83-AM242)</f>
        <v>974.39999999999986</v>
      </c>
      <c r="AQ242" s="1064">
        <v>-7.9</v>
      </c>
      <c r="AR242" s="1064"/>
      <c r="AS242" s="1064">
        <f t="shared" si="40"/>
        <v>31</v>
      </c>
      <c r="AT242" s="1064">
        <f>AS242*('Ввод исходных данных'!$D$83-AQ242)</f>
        <v>864.9</v>
      </c>
      <c r="AU242" s="1070">
        <v>1.4</v>
      </c>
      <c r="AV242" s="1070"/>
      <c r="AW242" s="1070">
        <f t="shared" si="41"/>
        <v>30</v>
      </c>
      <c r="AX242" s="1070">
        <f>AW242*('Ввод исходных данных'!$D$83-AU242)</f>
        <v>558</v>
      </c>
      <c r="AY242" s="1071">
        <v>8</v>
      </c>
      <c r="AZ242" s="1071"/>
      <c r="BA242" s="1071">
        <f t="shared" si="42"/>
        <v>16.5</v>
      </c>
      <c r="BB242" s="1071">
        <f>BA242*('Ввод исходных данных'!$D$83-AY242)</f>
        <v>198</v>
      </c>
      <c r="BC242" s="1072">
        <v>14.4</v>
      </c>
      <c r="BD242" s="1072"/>
      <c r="BE242" s="1072">
        <f t="shared" si="34"/>
        <v>0</v>
      </c>
      <c r="BF242" s="1073">
        <f>BE242*('Ввод исходных данных'!$D$83-BC242)</f>
        <v>0</v>
      </c>
    </row>
    <row r="243" spans="2:58" ht="15.75" customHeight="1" x14ac:dyDescent="0.25">
      <c r="B243" s="1052" t="s">
        <v>254</v>
      </c>
      <c r="C243" s="1052" t="s">
        <v>672</v>
      </c>
      <c r="D243" s="1053" t="str">
        <f t="shared" si="43"/>
        <v>Приморский крайАгзу</v>
      </c>
      <c r="E243" s="1054">
        <v>231</v>
      </c>
      <c r="F243" s="1055">
        <v>-7.9</v>
      </c>
      <c r="G243" s="1055">
        <v>-28</v>
      </c>
      <c r="H243" s="1057">
        <f t="shared" ref="H243:H245" si="44">H244</f>
        <v>7.3</v>
      </c>
      <c r="I243" s="1058">
        <f>E243*('Ввод исходных данных'!$D$83-F243)</f>
        <v>6444.9</v>
      </c>
      <c r="J243" s="1059" t="str">
        <f t="shared" si="33"/>
        <v>6000-7000</v>
      </c>
      <c r="K243" s="1060">
        <v>17.3</v>
      </c>
      <c r="L243" s="1060"/>
      <c r="M243" s="1061">
        <f t="shared" si="35"/>
        <v>0</v>
      </c>
      <c r="N243" s="1062">
        <f>M243*('Ввод исходных данных'!$D$83-K243)</f>
        <v>0</v>
      </c>
      <c r="O243" s="1063">
        <v>17.2</v>
      </c>
      <c r="P243" s="1063"/>
      <c r="Q243" s="1063">
        <f t="shared" si="36"/>
        <v>0</v>
      </c>
      <c r="R243" s="1063">
        <f>Q243*('Ввод исходных данных'!$D$83-O243)</f>
        <v>0</v>
      </c>
      <c r="S243" s="1064">
        <v>11.1</v>
      </c>
      <c r="T243" s="1064"/>
      <c r="U243" s="1064">
        <f t="shared" si="37"/>
        <v>9.5</v>
      </c>
      <c r="V243" s="1064">
        <f>U243*('Ввод исходных данных'!$D$83-S243)</f>
        <v>84.55</v>
      </c>
      <c r="W243" s="1065">
        <v>2.9</v>
      </c>
      <c r="X243" s="1065"/>
      <c r="Y243" s="1065">
        <f t="shared" si="38"/>
        <v>31</v>
      </c>
      <c r="Z243" s="1065">
        <f>Y243*('Ввод исходных данных'!$D$83-W243)</f>
        <v>530.1</v>
      </c>
      <c r="AA243" s="1066">
        <v>-8.4</v>
      </c>
      <c r="AB243" s="1066"/>
      <c r="AC243" s="1066">
        <f t="shared" si="39"/>
        <v>30</v>
      </c>
      <c r="AD243" s="1066">
        <f>AC243*('Ввод исходных данных'!$D$83-AA243)</f>
        <v>852</v>
      </c>
      <c r="AE243" s="1067">
        <v>-18</v>
      </c>
      <c r="AF243" s="1067"/>
      <c r="AG243" s="1067">
        <v>31</v>
      </c>
      <c r="AH243" s="1067">
        <f>AG243*('Ввод исходных данных'!$D$83-AE243)</f>
        <v>1178</v>
      </c>
      <c r="AI243" s="1068">
        <v>-20.3</v>
      </c>
      <c r="AJ243" s="1068"/>
      <c r="AK243" s="1068">
        <v>31</v>
      </c>
      <c r="AL243" s="1068">
        <f>AK243*('Ввод исходных данных'!$D$83-AI243)</f>
        <v>1249.3</v>
      </c>
      <c r="AM243" s="1069">
        <v>-15.8</v>
      </c>
      <c r="AN243" s="1069"/>
      <c r="AO243" s="1069">
        <v>28</v>
      </c>
      <c r="AP243" s="1069">
        <f>AO243*('Ввод исходных данных'!$D$83-AM243)</f>
        <v>1002.3999999999999</v>
      </c>
      <c r="AQ243" s="1064">
        <v>-7.1</v>
      </c>
      <c r="AR243" s="1064"/>
      <c r="AS243" s="1064">
        <f t="shared" si="40"/>
        <v>31</v>
      </c>
      <c r="AT243" s="1064">
        <f>AS243*('Ввод исходных данных'!$D$83-AQ243)</f>
        <v>840.1</v>
      </c>
      <c r="AU243" s="1070">
        <v>2.1</v>
      </c>
      <c r="AV243" s="1070"/>
      <c r="AW243" s="1070">
        <f t="shared" si="41"/>
        <v>30</v>
      </c>
      <c r="AX243" s="1070">
        <f>AW243*('Ввод исходных данных'!$D$83-AU243)</f>
        <v>537</v>
      </c>
      <c r="AY243" s="1071">
        <v>8.3000000000000007</v>
      </c>
      <c r="AZ243" s="1071"/>
      <c r="BA243" s="1071">
        <f t="shared" si="42"/>
        <v>9.5</v>
      </c>
      <c r="BB243" s="1071">
        <f>BA243*('Ввод исходных данных'!$D$83-AY243)</f>
        <v>111.14999999999999</v>
      </c>
      <c r="BC243" s="1072">
        <v>13.3</v>
      </c>
      <c r="BD243" s="1072"/>
      <c r="BE243" s="1072">
        <f t="shared" si="34"/>
        <v>0</v>
      </c>
      <c r="BF243" s="1073">
        <f>BE243*('Ввод исходных данных'!$D$83-BC243)</f>
        <v>0</v>
      </c>
    </row>
    <row r="244" spans="2:58" ht="15.75" customHeight="1" x14ac:dyDescent="0.25">
      <c r="B244" s="1076" t="s">
        <v>254</v>
      </c>
      <c r="C244" s="1076" t="s">
        <v>256</v>
      </c>
      <c r="D244" s="1053" t="str">
        <f t="shared" si="43"/>
        <v>Приморский крайАнучино</v>
      </c>
      <c r="E244" s="1054">
        <v>203</v>
      </c>
      <c r="F244" s="1055">
        <v>-8.1</v>
      </c>
      <c r="G244" s="1055">
        <v>-31</v>
      </c>
      <c r="H244" s="1057">
        <f t="shared" si="44"/>
        <v>7.3</v>
      </c>
      <c r="I244" s="1058">
        <f>E244*('Ввод исходных данных'!$D$83-F244)</f>
        <v>5704.3</v>
      </c>
      <c r="J244" s="1059" t="str">
        <f t="shared" si="33"/>
        <v>5000-6000</v>
      </c>
      <c r="K244" s="1060">
        <v>21.1</v>
      </c>
      <c r="L244" s="1060"/>
      <c r="M244" s="1061">
        <f t="shared" si="35"/>
        <v>0</v>
      </c>
      <c r="N244" s="1062">
        <f>M244*('Ввод исходных данных'!$D$83-K244)</f>
        <v>0</v>
      </c>
      <c r="O244" s="1063">
        <v>20.6</v>
      </c>
      <c r="P244" s="1063"/>
      <c r="Q244" s="1063">
        <f t="shared" si="36"/>
        <v>0</v>
      </c>
      <c r="R244" s="1063">
        <f>Q244*('Ввод исходных данных'!$D$83-O244)</f>
        <v>0</v>
      </c>
      <c r="S244" s="1064">
        <v>13.7</v>
      </c>
      <c r="T244" s="1064"/>
      <c r="U244" s="1064">
        <f t="shared" si="37"/>
        <v>0</v>
      </c>
      <c r="V244" s="1064">
        <f>U244*('Ввод исходных данных'!$D$83-S244)</f>
        <v>0</v>
      </c>
      <c r="W244" s="1065">
        <v>5.7</v>
      </c>
      <c r="X244" s="1065"/>
      <c r="Y244" s="1065">
        <f t="shared" si="38"/>
        <v>26</v>
      </c>
      <c r="Z244" s="1065">
        <f>Y244*('Ввод исходных данных'!$D$83-W244)</f>
        <v>371.8</v>
      </c>
      <c r="AA244" s="1066">
        <v>-5.7</v>
      </c>
      <c r="AB244" s="1066"/>
      <c r="AC244" s="1066">
        <f t="shared" si="39"/>
        <v>30</v>
      </c>
      <c r="AD244" s="1066">
        <f>AC244*('Ввод исходных данных'!$D$83-AA244)</f>
        <v>771</v>
      </c>
      <c r="AE244" s="1067">
        <v>-16.7</v>
      </c>
      <c r="AF244" s="1067"/>
      <c r="AG244" s="1067">
        <v>31</v>
      </c>
      <c r="AH244" s="1067">
        <f>AG244*('Ввод исходных данных'!$D$83-AE244)</f>
        <v>1137.7</v>
      </c>
      <c r="AI244" s="1068">
        <v>-20.3</v>
      </c>
      <c r="AJ244" s="1068"/>
      <c r="AK244" s="1068">
        <v>31</v>
      </c>
      <c r="AL244" s="1068">
        <f>AK244*('Ввод исходных данных'!$D$83-AI244)</f>
        <v>1249.3</v>
      </c>
      <c r="AM244" s="1069">
        <v>-16</v>
      </c>
      <c r="AN244" s="1069"/>
      <c r="AO244" s="1069">
        <v>28</v>
      </c>
      <c r="AP244" s="1069">
        <f>AO244*('Ввод исходных данных'!$D$83-AM244)</f>
        <v>1008</v>
      </c>
      <c r="AQ244" s="1064">
        <v>-5.9</v>
      </c>
      <c r="AR244" s="1064"/>
      <c r="AS244" s="1064">
        <f t="shared" si="40"/>
        <v>31</v>
      </c>
      <c r="AT244" s="1064">
        <f>AS244*('Ввод исходных данных'!$D$83-AQ244)</f>
        <v>802.9</v>
      </c>
      <c r="AU244" s="1070">
        <v>5</v>
      </c>
      <c r="AV244" s="1070"/>
      <c r="AW244" s="1070">
        <f t="shared" si="41"/>
        <v>26</v>
      </c>
      <c r="AX244" s="1070">
        <f>AW244*('Ввод исходных данных'!$D$83-AU244)</f>
        <v>390</v>
      </c>
      <c r="AY244" s="1071">
        <v>12.1</v>
      </c>
      <c r="AZ244" s="1071"/>
      <c r="BA244" s="1071">
        <f t="shared" si="42"/>
        <v>0</v>
      </c>
      <c r="BB244" s="1071">
        <f>BA244*('Ввод исходных данных'!$D$83-AY244)</f>
        <v>0</v>
      </c>
      <c r="BC244" s="1072">
        <v>17</v>
      </c>
      <c r="BD244" s="1072"/>
      <c r="BE244" s="1072">
        <f t="shared" si="34"/>
        <v>0</v>
      </c>
      <c r="BF244" s="1073">
        <f>BE244*('Ввод исходных данных'!$D$83-BC244)</f>
        <v>0</v>
      </c>
    </row>
    <row r="245" spans="2:58" ht="15.75" customHeight="1" x14ac:dyDescent="0.25">
      <c r="B245" s="1052" t="s">
        <v>254</v>
      </c>
      <c r="C245" s="1052" t="s">
        <v>257</v>
      </c>
      <c r="D245" s="1053" t="str">
        <f t="shared" si="43"/>
        <v>Приморский крайАстраханка</v>
      </c>
      <c r="E245" s="1054">
        <v>202</v>
      </c>
      <c r="F245" s="1055">
        <v>-6.6</v>
      </c>
      <c r="G245" s="1055">
        <v>-26</v>
      </c>
      <c r="H245" s="1057">
        <f t="shared" si="44"/>
        <v>7.3</v>
      </c>
      <c r="I245" s="1058">
        <f>E245*('Ввод исходных данных'!$D$83-F245)</f>
        <v>5373.2000000000007</v>
      </c>
      <c r="J245" s="1059" t="str">
        <f t="shared" si="33"/>
        <v>5000-6000</v>
      </c>
      <c r="K245" s="1060">
        <v>20.6</v>
      </c>
      <c r="L245" s="1060"/>
      <c r="M245" s="1061">
        <f t="shared" si="35"/>
        <v>0</v>
      </c>
      <c r="N245" s="1062">
        <f>M245*('Ввод исходных данных'!$D$83-K245)</f>
        <v>0</v>
      </c>
      <c r="O245" s="1063">
        <v>20.9</v>
      </c>
      <c r="P245" s="1063"/>
      <c r="Q245" s="1063">
        <f t="shared" si="36"/>
        <v>0</v>
      </c>
      <c r="R245" s="1063">
        <f>Q245*('Ввод исходных данных'!$D$83-O245)</f>
        <v>0</v>
      </c>
      <c r="S245" s="1064">
        <v>14.9</v>
      </c>
      <c r="T245" s="1064"/>
      <c r="U245" s="1064">
        <f t="shared" si="37"/>
        <v>0</v>
      </c>
      <c r="V245" s="1064">
        <f>U245*('Ввод исходных данных'!$D$83-S245)</f>
        <v>0</v>
      </c>
      <c r="W245" s="1065">
        <v>6.7</v>
      </c>
      <c r="X245" s="1065"/>
      <c r="Y245" s="1065">
        <f t="shared" si="38"/>
        <v>25.5</v>
      </c>
      <c r="Z245" s="1065">
        <f>Y245*('Ввод исходных данных'!$D$83-W245)</f>
        <v>339.15000000000003</v>
      </c>
      <c r="AA245" s="1066">
        <v>-4.3</v>
      </c>
      <c r="AB245" s="1066"/>
      <c r="AC245" s="1066">
        <f t="shared" si="39"/>
        <v>30</v>
      </c>
      <c r="AD245" s="1066">
        <f>AC245*('Ввод исходных данных'!$D$83-AA245)</f>
        <v>729</v>
      </c>
      <c r="AE245" s="1067">
        <v>-13.9</v>
      </c>
      <c r="AF245" s="1067"/>
      <c r="AG245" s="1067">
        <v>31</v>
      </c>
      <c r="AH245" s="1067">
        <f>AG245*('Ввод исходных данных'!$D$83-AE245)</f>
        <v>1050.8999999999999</v>
      </c>
      <c r="AI245" s="1068">
        <v>-17.7</v>
      </c>
      <c r="AJ245" s="1068"/>
      <c r="AK245" s="1068">
        <v>31</v>
      </c>
      <c r="AL245" s="1068">
        <f>AK245*('Ввод исходных данных'!$D$83-AI245)</f>
        <v>1168.7</v>
      </c>
      <c r="AM245" s="1069">
        <v>-13.6</v>
      </c>
      <c r="AN245" s="1069"/>
      <c r="AO245" s="1069">
        <v>28</v>
      </c>
      <c r="AP245" s="1069">
        <f>AO245*('Ввод исходных данных'!$D$83-AM245)</f>
        <v>940.80000000000007</v>
      </c>
      <c r="AQ245" s="1064">
        <v>-4.8</v>
      </c>
      <c r="AR245" s="1064"/>
      <c r="AS245" s="1064">
        <f t="shared" si="40"/>
        <v>31</v>
      </c>
      <c r="AT245" s="1064">
        <f>AS245*('Ввод исходных данных'!$D$83-AQ245)</f>
        <v>768.80000000000007</v>
      </c>
      <c r="AU245" s="1070">
        <v>4.4000000000000004</v>
      </c>
      <c r="AV245" s="1070"/>
      <c r="AW245" s="1070">
        <f t="shared" si="41"/>
        <v>25.5</v>
      </c>
      <c r="AX245" s="1070">
        <f>AW245*('Ввод исходных данных'!$D$83-AU245)</f>
        <v>397.8</v>
      </c>
      <c r="AY245" s="1071">
        <v>11.6</v>
      </c>
      <c r="AZ245" s="1071"/>
      <c r="BA245" s="1071">
        <f t="shared" si="42"/>
        <v>0</v>
      </c>
      <c r="BB245" s="1071">
        <f>BA245*('Ввод исходных данных'!$D$83-AY245)</f>
        <v>0</v>
      </c>
      <c r="BC245" s="1072">
        <v>16.5</v>
      </c>
      <c r="BD245" s="1072"/>
      <c r="BE245" s="1072">
        <f t="shared" si="34"/>
        <v>0</v>
      </c>
      <c r="BF245" s="1073">
        <f>BE245*('Ввод исходных данных'!$D$83-BC245)</f>
        <v>0</v>
      </c>
    </row>
    <row r="246" spans="2:58" ht="15.75" customHeight="1" x14ac:dyDescent="0.25">
      <c r="B246" s="1076" t="s">
        <v>254</v>
      </c>
      <c r="C246" s="1076" t="s">
        <v>673</v>
      </c>
      <c r="D246" s="1053" t="str">
        <f t="shared" si="43"/>
        <v>Приморский крайБогополь</v>
      </c>
      <c r="E246" s="1054">
        <v>208</v>
      </c>
      <c r="F246" s="1055">
        <v>-4.2</v>
      </c>
      <c r="G246" s="1055">
        <v>-21</v>
      </c>
      <c r="H246" s="1057">
        <f>H247</f>
        <v>7.3</v>
      </c>
      <c r="I246" s="1058">
        <f>E246*('Ввод исходных данных'!$D$83-F246)</f>
        <v>5033.5999999999995</v>
      </c>
      <c r="J246" s="1059" t="str">
        <f t="shared" si="33"/>
        <v>5000-6000</v>
      </c>
      <c r="K246" s="1060">
        <v>17.7</v>
      </c>
      <c r="L246" s="1060"/>
      <c r="M246" s="1061">
        <f t="shared" si="35"/>
        <v>0</v>
      </c>
      <c r="N246" s="1062">
        <f>M246*('Ввод исходных данных'!$D$83-K246)</f>
        <v>0</v>
      </c>
      <c r="O246" s="1063">
        <v>19.2</v>
      </c>
      <c r="P246" s="1063"/>
      <c r="Q246" s="1063">
        <f t="shared" si="36"/>
        <v>0</v>
      </c>
      <c r="R246" s="1063">
        <f>Q246*('Ввод исходных данных'!$D$83-O246)</f>
        <v>0</v>
      </c>
      <c r="S246" s="1064">
        <v>14.1</v>
      </c>
      <c r="T246" s="1064"/>
      <c r="U246" s="1064">
        <f t="shared" si="37"/>
        <v>0</v>
      </c>
      <c r="V246" s="1064">
        <f>U246*('Ввод исходных данных'!$D$83-S246)</f>
        <v>0</v>
      </c>
      <c r="W246" s="1065">
        <v>6.9</v>
      </c>
      <c r="X246" s="1065"/>
      <c r="Y246" s="1065">
        <f t="shared" si="38"/>
        <v>28.5</v>
      </c>
      <c r="Z246" s="1065">
        <f>Y246*('Ввод исходных данных'!$D$83-W246)</f>
        <v>373.34999999999997</v>
      </c>
      <c r="AA246" s="1066">
        <v>-2.6</v>
      </c>
      <c r="AB246" s="1066"/>
      <c r="AC246" s="1066">
        <f t="shared" si="39"/>
        <v>30</v>
      </c>
      <c r="AD246" s="1066">
        <f>AC246*('Ввод исходных данных'!$D$83-AA246)</f>
        <v>678</v>
      </c>
      <c r="AE246" s="1067">
        <v>-10.8</v>
      </c>
      <c r="AF246" s="1067"/>
      <c r="AG246" s="1067">
        <v>31</v>
      </c>
      <c r="AH246" s="1067">
        <f>AG246*('Ввод исходных данных'!$D$83-AE246)</f>
        <v>954.80000000000007</v>
      </c>
      <c r="AI246" s="1068">
        <v>-13.3</v>
      </c>
      <c r="AJ246" s="1068"/>
      <c r="AK246" s="1068">
        <v>31</v>
      </c>
      <c r="AL246" s="1068">
        <f>AK246*('Ввод исходных данных'!$D$83-AI246)</f>
        <v>1032.3</v>
      </c>
      <c r="AM246" s="1069">
        <v>-10.1</v>
      </c>
      <c r="AN246" s="1069"/>
      <c r="AO246" s="1069">
        <v>28</v>
      </c>
      <c r="AP246" s="1069">
        <f>AO246*('Ввод исходных данных'!$D$83-AM246)</f>
        <v>842.80000000000007</v>
      </c>
      <c r="AQ246" s="1064">
        <v>-3.1</v>
      </c>
      <c r="AR246" s="1064"/>
      <c r="AS246" s="1064">
        <f t="shared" si="40"/>
        <v>31</v>
      </c>
      <c r="AT246" s="1064">
        <f>AS246*('Ввод исходных данных'!$D$83-AQ246)</f>
        <v>716.1</v>
      </c>
      <c r="AU246" s="1070">
        <v>4.2</v>
      </c>
      <c r="AV246" s="1070"/>
      <c r="AW246" s="1070">
        <f t="shared" si="41"/>
        <v>28.5</v>
      </c>
      <c r="AX246" s="1070">
        <f>AW246*('Ввод исходных данных'!$D$83-AU246)</f>
        <v>450.3</v>
      </c>
      <c r="AY246" s="1071">
        <v>9.5</v>
      </c>
      <c r="AZ246" s="1071"/>
      <c r="BA246" s="1071">
        <f t="shared" si="42"/>
        <v>0</v>
      </c>
      <c r="BB246" s="1071">
        <f>BA246*('Ввод исходных данных'!$D$83-AY246)</f>
        <v>0</v>
      </c>
      <c r="BC246" s="1072">
        <v>13.2</v>
      </c>
      <c r="BD246" s="1072"/>
      <c r="BE246" s="1072">
        <f t="shared" si="34"/>
        <v>0</v>
      </c>
      <c r="BF246" s="1073">
        <f>BE246*('Ввод исходных данных'!$D$83-BC246)</f>
        <v>0</v>
      </c>
    </row>
    <row r="247" spans="2:58" ht="15.75" customHeight="1" x14ac:dyDescent="0.25">
      <c r="B247" s="1052" t="s">
        <v>254</v>
      </c>
      <c r="C247" s="1052" t="s">
        <v>264</v>
      </c>
      <c r="D247" s="1053" t="str">
        <f t="shared" si="43"/>
        <v>Приморский крайВладивосток</v>
      </c>
      <c r="E247" s="1054">
        <v>198</v>
      </c>
      <c r="F247" s="1055">
        <v>-4.3</v>
      </c>
      <c r="G247" s="1055">
        <v>-23</v>
      </c>
      <c r="H247" s="1057">
        <v>7.3</v>
      </c>
      <c r="I247" s="1058">
        <f>E247*('Ввод исходных данных'!$D$83-F247)</f>
        <v>4811.4000000000005</v>
      </c>
      <c r="J247" s="1059" t="str">
        <f t="shared" si="33"/>
        <v>4000-5000</v>
      </c>
      <c r="K247" s="1060">
        <v>17.5</v>
      </c>
      <c r="L247" s="1060"/>
      <c r="M247" s="1061">
        <f t="shared" si="35"/>
        <v>0</v>
      </c>
      <c r="N247" s="1062">
        <f>M247*('Ввод исходных данных'!$D$83-K247)</f>
        <v>0</v>
      </c>
      <c r="O247" s="1063">
        <v>19.600000000000001</v>
      </c>
      <c r="P247" s="1063"/>
      <c r="Q247" s="1063">
        <f t="shared" si="36"/>
        <v>0</v>
      </c>
      <c r="R247" s="1063">
        <f>Q247*('Ввод исходных данных'!$D$83-O247)</f>
        <v>0</v>
      </c>
      <c r="S247" s="1064">
        <v>15.7</v>
      </c>
      <c r="T247" s="1064"/>
      <c r="U247" s="1064">
        <f t="shared" si="37"/>
        <v>0</v>
      </c>
      <c r="V247" s="1064">
        <f>U247*('Ввод исходных данных'!$D$83-S247)</f>
        <v>0</v>
      </c>
      <c r="W247" s="1065">
        <v>8.6999999999999993</v>
      </c>
      <c r="X247" s="1065"/>
      <c r="Y247" s="1065">
        <f t="shared" si="38"/>
        <v>23.5</v>
      </c>
      <c r="Z247" s="1065">
        <f>Y247*('Ввод исходных данных'!$D$83-W247)</f>
        <v>265.55</v>
      </c>
      <c r="AA247" s="1066">
        <v>-1</v>
      </c>
      <c r="AB247" s="1066"/>
      <c r="AC247" s="1066">
        <f t="shared" si="39"/>
        <v>30</v>
      </c>
      <c r="AD247" s="1066">
        <f>AC247*('Ввод исходных данных'!$D$83-AA247)</f>
        <v>630</v>
      </c>
      <c r="AE247" s="1067">
        <v>-9.3000000000000007</v>
      </c>
      <c r="AF247" s="1067"/>
      <c r="AG247" s="1067">
        <v>31</v>
      </c>
      <c r="AH247" s="1067">
        <f>AG247*('Ввод исходных данных'!$D$83-AE247)</f>
        <v>908.30000000000007</v>
      </c>
      <c r="AI247" s="1068">
        <v>-12.6</v>
      </c>
      <c r="AJ247" s="1068"/>
      <c r="AK247" s="1068">
        <v>31</v>
      </c>
      <c r="AL247" s="1068">
        <f>AK247*('Ввод исходных данных'!$D$83-AI247)</f>
        <v>1010.6</v>
      </c>
      <c r="AM247" s="1069">
        <v>-9.1</v>
      </c>
      <c r="AN247" s="1069"/>
      <c r="AO247" s="1069">
        <v>28</v>
      </c>
      <c r="AP247" s="1069">
        <f>AO247*('Ввод исходных данных'!$D$83-AM247)</f>
        <v>814.80000000000007</v>
      </c>
      <c r="AQ247" s="1064">
        <v>-2.1</v>
      </c>
      <c r="AR247" s="1064"/>
      <c r="AS247" s="1064">
        <f t="shared" si="40"/>
        <v>31</v>
      </c>
      <c r="AT247" s="1064">
        <f>AS247*('Ввод исходных данных'!$D$83-AQ247)</f>
        <v>685.1</v>
      </c>
      <c r="AU247" s="1070">
        <v>4.8</v>
      </c>
      <c r="AV247" s="1070"/>
      <c r="AW247" s="1070">
        <f t="shared" si="41"/>
        <v>23.5</v>
      </c>
      <c r="AX247" s="1070">
        <f>AW247*('Ввод исходных данных'!$D$83-AU247)</f>
        <v>357.2</v>
      </c>
      <c r="AY247" s="1071">
        <v>9.6999999999999993</v>
      </c>
      <c r="AZ247" s="1071"/>
      <c r="BA247" s="1071">
        <f t="shared" si="42"/>
        <v>0</v>
      </c>
      <c r="BB247" s="1071">
        <f>BA247*('Ввод исходных данных'!$D$83-AY247)</f>
        <v>0</v>
      </c>
      <c r="BC247" s="1072">
        <v>13.2</v>
      </c>
      <c r="BD247" s="1072"/>
      <c r="BE247" s="1072">
        <f t="shared" si="34"/>
        <v>0</v>
      </c>
      <c r="BF247" s="1073">
        <f>BE247*('Ввод исходных данных'!$D$83-BC247)</f>
        <v>0</v>
      </c>
    </row>
    <row r="248" spans="2:58" ht="15.75" customHeight="1" x14ac:dyDescent="0.25">
      <c r="B248" s="1076" t="s">
        <v>254</v>
      </c>
      <c r="C248" s="1076" t="s">
        <v>259</v>
      </c>
      <c r="D248" s="1053" t="str">
        <f t="shared" si="43"/>
        <v>Приморский крайДальнереченск</v>
      </c>
      <c r="E248" s="1054">
        <v>199</v>
      </c>
      <c r="F248" s="1055">
        <v>-8.6999999999999993</v>
      </c>
      <c r="G248" s="1055">
        <v>-29</v>
      </c>
      <c r="H248" s="1057">
        <v>2.9</v>
      </c>
      <c r="I248" s="1058">
        <f>E248*('Ввод исходных данных'!$D$83-F248)</f>
        <v>5711.3</v>
      </c>
      <c r="J248" s="1059" t="str">
        <f t="shared" si="33"/>
        <v>5000-6000</v>
      </c>
      <c r="K248" s="1060">
        <v>21.2</v>
      </c>
      <c r="L248" s="1060"/>
      <c r="M248" s="1061">
        <f t="shared" si="35"/>
        <v>0</v>
      </c>
      <c r="N248" s="1062">
        <f>M248*('Ввод исходных данных'!$D$83-K248)</f>
        <v>0</v>
      </c>
      <c r="O248" s="1063">
        <v>20.3</v>
      </c>
      <c r="P248" s="1063"/>
      <c r="Q248" s="1063">
        <f t="shared" si="36"/>
        <v>0</v>
      </c>
      <c r="R248" s="1063">
        <f>Q248*('Ввод исходных данных'!$D$83-O248)</f>
        <v>0</v>
      </c>
      <c r="S248" s="1064">
        <v>13.9</v>
      </c>
      <c r="T248" s="1064"/>
      <c r="U248" s="1064">
        <f t="shared" si="37"/>
        <v>0</v>
      </c>
      <c r="V248" s="1064">
        <f>U248*('Ввод исходных данных'!$D$83-S248)</f>
        <v>0</v>
      </c>
      <c r="W248" s="1065">
        <v>5.6</v>
      </c>
      <c r="X248" s="1065"/>
      <c r="Y248" s="1065">
        <f t="shared" si="38"/>
        <v>24</v>
      </c>
      <c r="Z248" s="1065">
        <f>Y248*('Ввод исходных данных'!$D$83-W248)</f>
        <v>345.6</v>
      </c>
      <c r="AA248" s="1066">
        <v>-5.8</v>
      </c>
      <c r="AB248" s="1066"/>
      <c r="AC248" s="1066">
        <f t="shared" si="39"/>
        <v>30</v>
      </c>
      <c r="AD248" s="1066">
        <f>AC248*('Ввод исходных данных'!$D$83-AA248)</f>
        <v>774</v>
      </c>
      <c r="AE248" s="1067">
        <v>-16.2</v>
      </c>
      <c r="AF248" s="1067"/>
      <c r="AG248" s="1067">
        <v>31</v>
      </c>
      <c r="AH248" s="1067">
        <f>AG248*('Ввод исходных данных'!$D$83-AE248)</f>
        <v>1122.2</v>
      </c>
      <c r="AI248" s="1068">
        <v>-19.3</v>
      </c>
      <c r="AJ248" s="1068"/>
      <c r="AK248" s="1068">
        <v>31</v>
      </c>
      <c r="AL248" s="1068">
        <f>AK248*('Ввод исходных данных'!$D$83-AI248)</f>
        <v>1218.3</v>
      </c>
      <c r="AM248" s="1069">
        <v>-14.8</v>
      </c>
      <c r="AN248" s="1069"/>
      <c r="AO248" s="1069">
        <v>28</v>
      </c>
      <c r="AP248" s="1069">
        <f>AO248*('Ввод исходных данных'!$D$83-AM248)</f>
        <v>974.39999999999986</v>
      </c>
      <c r="AQ248" s="1064">
        <v>-5.3</v>
      </c>
      <c r="AR248" s="1064"/>
      <c r="AS248" s="1064">
        <f t="shared" si="40"/>
        <v>31</v>
      </c>
      <c r="AT248" s="1064">
        <f>AS248*('Ввод исходных данных'!$D$83-AQ248)</f>
        <v>784.30000000000007</v>
      </c>
      <c r="AU248" s="1070">
        <v>5.6</v>
      </c>
      <c r="AV248" s="1070"/>
      <c r="AW248" s="1070">
        <f t="shared" si="41"/>
        <v>24</v>
      </c>
      <c r="AX248" s="1070">
        <f>AW248*('Ввод исходных данных'!$D$83-AU248)</f>
        <v>345.6</v>
      </c>
      <c r="AY248" s="1071">
        <v>12.7</v>
      </c>
      <c r="AZ248" s="1071"/>
      <c r="BA248" s="1071">
        <f t="shared" si="42"/>
        <v>0</v>
      </c>
      <c r="BB248" s="1071">
        <f>BA248*('Ввод исходных данных'!$D$83-AY248)</f>
        <v>0</v>
      </c>
      <c r="BC248" s="1072">
        <v>17.7</v>
      </c>
      <c r="BD248" s="1072"/>
      <c r="BE248" s="1072">
        <f t="shared" si="34"/>
        <v>0</v>
      </c>
      <c r="BF248" s="1073">
        <f>BE248*('Ввод исходных данных'!$D$83-BC248)</f>
        <v>0</v>
      </c>
    </row>
    <row r="249" spans="2:58" ht="15.75" customHeight="1" x14ac:dyDescent="0.25">
      <c r="B249" s="1052" t="s">
        <v>254</v>
      </c>
      <c r="C249" s="1052" t="s">
        <v>674</v>
      </c>
      <c r="D249" s="1053" t="str">
        <f t="shared" si="43"/>
        <v>Приморский крайКировский</v>
      </c>
      <c r="E249" s="1054">
        <v>201</v>
      </c>
      <c r="F249" s="1055">
        <v>-8.8000000000000007</v>
      </c>
      <c r="G249" s="1055">
        <v>-31</v>
      </c>
      <c r="H249" s="1057">
        <f>H248</f>
        <v>2.9</v>
      </c>
      <c r="I249" s="1058">
        <f>E249*('Ввод исходных данных'!$D$83-F249)</f>
        <v>5788.8</v>
      </c>
      <c r="J249" s="1059" t="str">
        <f t="shared" si="33"/>
        <v>5000-6000</v>
      </c>
      <c r="K249" s="1060">
        <v>21.5</v>
      </c>
      <c r="L249" s="1060"/>
      <c r="M249" s="1061">
        <f t="shared" si="35"/>
        <v>0</v>
      </c>
      <c r="N249" s="1062">
        <f>M249*('Ввод исходных данных'!$D$83-K249)</f>
        <v>0</v>
      </c>
      <c r="O249" s="1063">
        <v>20.8</v>
      </c>
      <c r="P249" s="1063"/>
      <c r="Q249" s="1063">
        <f t="shared" si="36"/>
        <v>0</v>
      </c>
      <c r="R249" s="1063">
        <f>Q249*('Ввод исходных данных'!$D$83-O249)</f>
        <v>0</v>
      </c>
      <c r="S249" s="1064">
        <v>14.2</v>
      </c>
      <c r="T249" s="1064"/>
      <c r="U249" s="1064">
        <f t="shared" si="37"/>
        <v>0</v>
      </c>
      <c r="V249" s="1064">
        <f>U249*('Ввод исходных данных'!$D$83-S249)</f>
        <v>0</v>
      </c>
      <c r="W249" s="1065">
        <v>5.9</v>
      </c>
      <c r="X249" s="1065"/>
      <c r="Y249" s="1065">
        <f t="shared" si="38"/>
        <v>25</v>
      </c>
      <c r="Z249" s="1065">
        <f>Y249*('Ввод исходных данных'!$D$83-W249)</f>
        <v>352.5</v>
      </c>
      <c r="AA249" s="1066">
        <v>-5.8</v>
      </c>
      <c r="AB249" s="1066"/>
      <c r="AC249" s="1066">
        <f t="shared" si="39"/>
        <v>30</v>
      </c>
      <c r="AD249" s="1066">
        <f>AC249*('Ввод исходных данных'!$D$83-AA249)</f>
        <v>774</v>
      </c>
      <c r="AE249" s="1067">
        <v>-16.7</v>
      </c>
      <c r="AF249" s="1067"/>
      <c r="AG249" s="1067">
        <v>31</v>
      </c>
      <c r="AH249" s="1067">
        <f>AG249*('Ввод исходных данных'!$D$83-AE249)</f>
        <v>1137.7</v>
      </c>
      <c r="AI249" s="1068">
        <v>-20.6</v>
      </c>
      <c r="AJ249" s="1068"/>
      <c r="AK249" s="1068">
        <v>31</v>
      </c>
      <c r="AL249" s="1068">
        <f>AK249*('Ввод исходных данных'!$D$83-AI249)</f>
        <v>1258.6000000000001</v>
      </c>
      <c r="AM249" s="1069">
        <v>-16.899999999999999</v>
      </c>
      <c r="AN249" s="1069"/>
      <c r="AO249" s="1069">
        <v>28</v>
      </c>
      <c r="AP249" s="1069">
        <f>AO249*('Ввод исходных данных'!$D$83-AM249)</f>
        <v>1033.2</v>
      </c>
      <c r="AQ249" s="1064">
        <v>-6.4</v>
      </c>
      <c r="AR249" s="1064"/>
      <c r="AS249" s="1064">
        <f t="shared" si="40"/>
        <v>31</v>
      </c>
      <c r="AT249" s="1064">
        <f>AS249*('Ввод исходных данных'!$D$83-AQ249)</f>
        <v>818.4</v>
      </c>
      <c r="AU249" s="1070">
        <v>5.0999999999999996</v>
      </c>
      <c r="AV249" s="1070"/>
      <c r="AW249" s="1070">
        <f t="shared" si="41"/>
        <v>25</v>
      </c>
      <c r="AX249" s="1070">
        <f>AW249*('Ввод исходных данных'!$D$83-AU249)</f>
        <v>372.5</v>
      </c>
      <c r="AY249" s="1071">
        <v>12.7</v>
      </c>
      <c r="AZ249" s="1071"/>
      <c r="BA249" s="1071">
        <f t="shared" si="42"/>
        <v>0</v>
      </c>
      <c r="BB249" s="1071">
        <f>BA249*('Ввод исходных данных'!$D$83-AY249)</f>
        <v>0</v>
      </c>
      <c r="BC249" s="1072">
        <v>17.600000000000001</v>
      </c>
      <c r="BD249" s="1072"/>
      <c r="BE249" s="1072">
        <f t="shared" si="34"/>
        <v>0</v>
      </c>
      <c r="BF249" s="1073">
        <f>BE249*('Ввод исходных данных'!$D$83-BC249)</f>
        <v>0</v>
      </c>
    </row>
    <row r="250" spans="2:58" ht="15.75" customHeight="1" x14ac:dyDescent="0.25">
      <c r="B250" s="1076" t="s">
        <v>254</v>
      </c>
      <c r="C250" s="1076" t="s">
        <v>260</v>
      </c>
      <c r="D250" s="1053" t="str">
        <f t="shared" si="43"/>
        <v>Приморский крайКрасный Яр</v>
      </c>
      <c r="E250" s="1054">
        <v>217</v>
      </c>
      <c r="F250" s="1055">
        <v>-10</v>
      </c>
      <c r="G250" s="1055">
        <v>-34</v>
      </c>
      <c r="H250" s="1057">
        <f t="shared" ref="H250:H251" si="45">H249</f>
        <v>2.9</v>
      </c>
      <c r="I250" s="1058">
        <f>E250*('Ввод исходных данных'!$D$83-F250)</f>
        <v>6510</v>
      </c>
      <c r="J250" s="1059" t="str">
        <f t="shared" si="33"/>
        <v>6000-7000</v>
      </c>
      <c r="K250" s="1060">
        <v>20.399999999999999</v>
      </c>
      <c r="L250" s="1060"/>
      <c r="M250" s="1061">
        <f t="shared" si="35"/>
        <v>0</v>
      </c>
      <c r="N250" s="1062">
        <f>M250*('Ввод исходных данных'!$D$83-K250)</f>
        <v>0</v>
      </c>
      <c r="O250" s="1063">
        <v>19.100000000000001</v>
      </c>
      <c r="P250" s="1063"/>
      <c r="Q250" s="1063">
        <f t="shared" si="36"/>
        <v>0</v>
      </c>
      <c r="R250" s="1063">
        <f>Q250*('Ввод исходных данных'!$D$83-O250)</f>
        <v>0</v>
      </c>
      <c r="S250" s="1064">
        <v>12.1</v>
      </c>
      <c r="T250" s="1064"/>
      <c r="U250" s="1064">
        <f t="shared" si="37"/>
        <v>2.5</v>
      </c>
      <c r="V250" s="1064">
        <f>U250*('Ввод исходных данных'!$D$83-S250)</f>
        <v>19.75</v>
      </c>
      <c r="W250" s="1065">
        <v>3.1</v>
      </c>
      <c r="X250" s="1065"/>
      <c r="Y250" s="1065">
        <f t="shared" si="38"/>
        <v>31</v>
      </c>
      <c r="Z250" s="1065">
        <f>Y250*('Ввод исходных данных'!$D$83-W250)</f>
        <v>523.9</v>
      </c>
      <c r="AA250" s="1066">
        <v>-8.9</v>
      </c>
      <c r="AB250" s="1066"/>
      <c r="AC250" s="1066">
        <f t="shared" si="39"/>
        <v>30</v>
      </c>
      <c r="AD250" s="1066">
        <f>AC250*('Ввод исходных данных'!$D$83-AA250)</f>
        <v>867</v>
      </c>
      <c r="AE250" s="1067">
        <v>-19.899999999999999</v>
      </c>
      <c r="AF250" s="1067"/>
      <c r="AG250" s="1067">
        <v>31</v>
      </c>
      <c r="AH250" s="1067">
        <f>AG250*('Ввод исходных данных'!$D$83-AE250)</f>
        <v>1236.8999999999999</v>
      </c>
      <c r="AI250" s="1068">
        <v>-23.4</v>
      </c>
      <c r="AJ250" s="1068"/>
      <c r="AK250" s="1068">
        <v>31</v>
      </c>
      <c r="AL250" s="1068">
        <f>AK250*('Ввод исходных данных'!$D$83-AI250)</f>
        <v>1345.3999999999999</v>
      </c>
      <c r="AM250" s="1069">
        <v>-19.100000000000001</v>
      </c>
      <c r="AN250" s="1069"/>
      <c r="AO250" s="1069">
        <v>28</v>
      </c>
      <c r="AP250" s="1069">
        <f>AO250*('Ввод исходных данных'!$D$83-AM250)</f>
        <v>1094.8</v>
      </c>
      <c r="AQ250" s="1064">
        <v>-8.1999999999999993</v>
      </c>
      <c r="AR250" s="1064"/>
      <c r="AS250" s="1064">
        <f t="shared" si="40"/>
        <v>31</v>
      </c>
      <c r="AT250" s="1064">
        <f>AS250*('Ввод исходных данных'!$D$83-AQ250)</f>
        <v>874.19999999999993</v>
      </c>
      <c r="AU250" s="1070">
        <v>3.1</v>
      </c>
      <c r="AV250" s="1070"/>
      <c r="AW250" s="1070">
        <f t="shared" si="41"/>
        <v>30</v>
      </c>
      <c r="AX250" s="1070">
        <f>AW250*('Ввод исходных данных'!$D$83-AU250)</f>
        <v>506.99999999999994</v>
      </c>
      <c r="AY250" s="1071">
        <v>10.7</v>
      </c>
      <c r="AZ250" s="1071"/>
      <c r="BA250" s="1071">
        <f t="shared" si="42"/>
        <v>2.5</v>
      </c>
      <c r="BB250" s="1071">
        <f>BA250*('Ввод исходных данных'!$D$83-AY250)</f>
        <v>23.25</v>
      </c>
      <c r="BC250" s="1072">
        <v>16.399999999999999</v>
      </c>
      <c r="BD250" s="1072"/>
      <c r="BE250" s="1072">
        <f t="shared" si="34"/>
        <v>0</v>
      </c>
      <c r="BF250" s="1073">
        <f>BE250*('Ввод исходных данных'!$D$83-BC250)</f>
        <v>0</v>
      </c>
    </row>
    <row r="251" spans="2:58" ht="15.75" customHeight="1" x14ac:dyDescent="0.25">
      <c r="B251" s="1052" t="s">
        <v>254</v>
      </c>
      <c r="C251" s="1052" t="s">
        <v>675</v>
      </c>
      <c r="D251" s="1053" t="str">
        <f t="shared" si="43"/>
        <v>Приморский крайМаргаритово</v>
      </c>
      <c r="E251" s="1054">
        <v>209</v>
      </c>
      <c r="F251" s="1055">
        <v>-4.0999999999999996</v>
      </c>
      <c r="G251" s="1055">
        <v>-21</v>
      </c>
      <c r="H251" s="1057">
        <f t="shared" si="45"/>
        <v>2.9</v>
      </c>
      <c r="I251" s="1058">
        <f>E251*('Ввод исходных данных'!$D$83-F251)</f>
        <v>5036.9000000000005</v>
      </c>
      <c r="J251" s="1059" t="str">
        <f t="shared" si="33"/>
        <v>5000-6000</v>
      </c>
      <c r="K251" s="1060">
        <v>17.600000000000001</v>
      </c>
      <c r="L251" s="1060"/>
      <c r="M251" s="1061">
        <f t="shared" si="35"/>
        <v>0</v>
      </c>
      <c r="N251" s="1062">
        <f>M251*('Ввод исходных данных'!$D$83-K251)</f>
        <v>0</v>
      </c>
      <c r="O251" s="1063">
        <v>19.2</v>
      </c>
      <c r="P251" s="1063"/>
      <c r="Q251" s="1063">
        <f t="shared" si="36"/>
        <v>0</v>
      </c>
      <c r="R251" s="1063">
        <f>Q251*('Ввод исходных данных'!$D$83-O251)</f>
        <v>0</v>
      </c>
      <c r="S251" s="1064">
        <v>14.1</v>
      </c>
      <c r="T251" s="1064"/>
      <c r="U251" s="1064">
        <f t="shared" si="37"/>
        <v>0</v>
      </c>
      <c r="V251" s="1064">
        <f>U251*('Ввод исходных данных'!$D$83-S251)</f>
        <v>0</v>
      </c>
      <c r="W251" s="1065">
        <v>7</v>
      </c>
      <c r="X251" s="1065"/>
      <c r="Y251" s="1065">
        <f t="shared" si="38"/>
        <v>29</v>
      </c>
      <c r="Z251" s="1065">
        <f>Y251*('Ввод исходных данных'!$D$83-W251)</f>
        <v>377</v>
      </c>
      <c r="AA251" s="1066">
        <v>-1.9</v>
      </c>
      <c r="AB251" s="1066"/>
      <c r="AC251" s="1066">
        <f t="shared" si="39"/>
        <v>30</v>
      </c>
      <c r="AD251" s="1066">
        <f>AC251*('Ввод исходных данных'!$D$83-AA251)</f>
        <v>657</v>
      </c>
      <c r="AE251" s="1067">
        <v>-10.1</v>
      </c>
      <c r="AF251" s="1067"/>
      <c r="AG251" s="1067">
        <v>31</v>
      </c>
      <c r="AH251" s="1067">
        <f>AG251*('Ввод исходных данных'!$D$83-AE251)</f>
        <v>933.1</v>
      </c>
      <c r="AI251" s="1068">
        <v>-12.7</v>
      </c>
      <c r="AJ251" s="1068"/>
      <c r="AK251" s="1068">
        <v>31</v>
      </c>
      <c r="AL251" s="1068">
        <f>AK251*('Ввод исходных данных'!$D$83-AI251)</f>
        <v>1013.7</v>
      </c>
      <c r="AM251" s="1069">
        <v>-9.9</v>
      </c>
      <c r="AN251" s="1069"/>
      <c r="AO251" s="1069">
        <v>28</v>
      </c>
      <c r="AP251" s="1069">
        <f>AO251*('Ввод исходных данных'!$D$83-AM251)</f>
        <v>837.19999999999993</v>
      </c>
      <c r="AQ251" s="1064">
        <v>-3.2</v>
      </c>
      <c r="AR251" s="1064"/>
      <c r="AS251" s="1064">
        <f t="shared" si="40"/>
        <v>31</v>
      </c>
      <c r="AT251" s="1064">
        <f>AS251*('Ввод исходных данных'!$D$83-AQ251)</f>
        <v>719.19999999999993</v>
      </c>
      <c r="AU251" s="1070">
        <v>4</v>
      </c>
      <c r="AV251" s="1070"/>
      <c r="AW251" s="1070">
        <f t="shared" si="41"/>
        <v>29</v>
      </c>
      <c r="AX251" s="1070">
        <f>AW251*('Ввод исходных данных'!$D$83-AU251)</f>
        <v>464</v>
      </c>
      <c r="AY251" s="1071">
        <v>9.1</v>
      </c>
      <c r="AZ251" s="1071"/>
      <c r="BA251" s="1071">
        <f t="shared" si="42"/>
        <v>0</v>
      </c>
      <c r="BB251" s="1071">
        <f>BA251*('Ввод исходных данных'!$D$83-AY251)</f>
        <v>0</v>
      </c>
      <c r="BC251" s="1072">
        <v>13</v>
      </c>
      <c r="BD251" s="1072"/>
      <c r="BE251" s="1072">
        <f t="shared" si="34"/>
        <v>0</v>
      </c>
      <c r="BF251" s="1073">
        <f>BE251*('Ввод исходных данных'!$D$83-BC251)</f>
        <v>0</v>
      </c>
    </row>
    <row r="252" spans="2:58" ht="15.75" customHeight="1" x14ac:dyDescent="0.25">
      <c r="B252" s="1076" t="s">
        <v>254</v>
      </c>
      <c r="C252" s="1076" t="s">
        <v>261</v>
      </c>
      <c r="D252" s="1053" t="str">
        <f>CONCATENATE(B252,C252)</f>
        <v>Приморский крайМельничное</v>
      </c>
      <c r="E252" s="1054">
        <v>221</v>
      </c>
      <c r="F252" s="1055">
        <v>-9.6</v>
      </c>
      <c r="G252" s="1055">
        <v>-31</v>
      </c>
      <c r="H252" s="1057">
        <v>4.2</v>
      </c>
      <c r="I252" s="1058">
        <f>E252*('Ввод исходных данных'!$D$83-F252)</f>
        <v>6541.6</v>
      </c>
      <c r="J252" s="1059" t="str">
        <f t="shared" si="33"/>
        <v>6000-7000</v>
      </c>
      <c r="K252" s="1060">
        <v>19.2</v>
      </c>
      <c r="L252" s="1060"/>
      <c r="M252" s="1061">
        <f t="shared" si="35"/>
        <v>0</v>
      </c>
      <c r="N252" s="1062">
        <f>M252*('Ввод исходных данных'!$D$83-K252)</f>
        <v>0</v>
      </c>
      <c r="O252" s="1063">
        <v>18.399999999999999</v>
      </c>
      <c r="P252" s="1063"/>
      <c r="Q252" s="1063">
        <f t="shared" si="36"/>
        <v>0</v>
      </c>
      <c r="R252" s="1063">
        <f>Q252*('Ввод исходных данных'!$D$83-O252)</f>
        <v>0</v>
      </c>
      <c r="S252" s="1064">
        <v>11.4</v>
      </c>
      <c r="T252" s="1064"/>
      <c r="U252" s="1064">
        <f t="shared" si="37"/>
        <v>4.5</v>
      </c>
      <c r="V252" s="1064">
        <f>U252*('Ввод исходных данных'!$D$83-S252)</f>
        <v>38.699999999999996</v>
      </c>
      <c r="W252" s="1065">
        <v>2.9</v>
      </c>
      <c r="X252" s="1065"/>
      <c r="Y252" s="1065">
        <f t="shared" si="38"/>
        <v>31</v>
      </c>
      <c r="Z252" s="1065">
        <f>Y252*('Ввод исходных данных'!$D$83-W252)</f>
        <v>530.1</v>
      </c>
      <c r="AA252" s="1066">
        <v>-8.6</v>
      </c>
      <c r="AB252" s="1066"/>
      <c r="AC252" s="1066">
        <f t="shared" si="39"/>
        <v>30</v>
      </c>
      <c r="AD252" s="1066">
        <f>AC252*('Ввод исходных данных'!$D$83-AA252)</f>
        <v>858</v>
      </c>
      <c r="AE252" s="1067">
        <v>-19.2</v>
      </c>
      <c r="AF252" s="1067"/>
      <c r="AG252" s="1067">
        <v>31</v>
      </c>
      <c r="AH252" s="1067">
        <f>AG252*('Ввод исходных данных'!$D$83-AE252)</f>
        <v>1215.2</v>
      </c>
      <c r="AI252" s="1068">
        <v>-21.9</v>
      </c>
      <c r="AJ252" s="1068"/>
      <c r="AK252" s="1068">
        <v>31</v>
      </c>
      <c r="AL252" s="1068">
        <f>AK252*('Ввод исходных данных'!$D$83-AI252)</f>
        <v>1298.8999999999999</v>
      </c>
      <c r="AM252" s="1069">
        <v>-17.2</v>
      </c>
      <c r="AN252" s="1069"/>
      <c r="AO252" s="1069">
        <v>28</v>
      </c>
      <c r="AP252" s="1069">
        <f>AO252*('Ввод исходных данных'!$D$83-AM252)</f>
        <v>1041.6000000000001</v>
      </c>
      <c r="AQ252" s="1064">
        <v>-7.7</v>
      </c>
      <c r="AR252" s="1064"/>
      <c r="AS252" s="1064">
        <f t="shared" si="40"/>
        <v>31</v>
      </c>
      <c r="AT252" s="1064">
        <f>AS252*('Ввод исходных данных'!$D$83-AQ252)</f>
        <v>858.69999999999993</v>
      </c>
      <c r="AU252" s="1070">
        <v>3</v>
      </c>
      <c r="AV252" s="1070"/>
      <c r="AW252" s="1070">
        <f t="shared" si="41"/>
        <v>30</v>
      </c>
      <c r="AX252" s="1070">
        <f>AW252*('Ввод исходных данных'!$D$83-AU252)</f>
        <v>510</v>
      </c>
      <c r="AY252" s="1071">
        <v>10</v>
      </c>
      <c r="AZ252" s="1071"/>
      <c r="BA252" s="1071">
        <f t="shared" si="42"/>
        <v>4.5</v>
      </c>
      <c r="BB252" s="1071">
        <f>BA252*('Ввод исходных данных'!$D$83-AY252)</f>
        <v>45</v>
      </c>
      <c r="BC252" s="1072">
        <v>15.5</v>
      </c>
      <c r="BD252" s="1072"/>
      <c r="BE252" s="1072">
        <f t="shared" si="34"/>
        <v>0</v>
      </c>
      <c r="BF252" s="1073">
        <f>BE252*('Ввод исходных данных'!$D$83-BC252)</f>
        <v>0</v>
      </c>
    </row>
    <row r="253" spans="2:58" ht="15.75" customHeight="1" x14ac:dyDescent="0.25">
      <c r="B253" s="1052" t="s">
        <v>254</v>
      </c>
      <c r="C253" s="1052" t="s">
        <v>262</v>
      </c>
      <c r="D253" s="1053" t="str">
        <f t="shared" si="43"/>
        <v>Приморский крайПартизанск</v>
      </c>
      <c r="E253" s="1054">
        <v>198</v>
      </c>
      <c r="F253" s="1055">
        <v>-4.5</v>
      </c>
      <c r="G253" s="1055">
        <v>-22</v>
      </c>
      <c r="H253" s="1057">
        <v>8.4</v>
      </c>
      <c r="I253" s="1058">
        <f>E253*('Ввод исходных данных'!$D$83-F253)</f>
        <v>4851</v>
      </c>
      <c r="J253" s="1059" t="str">
        <f t="shared" si="33"/>
        <v>4000-5000</v>
      </c>
      <c r="K253" s="1060">
        <v>19.399999999999999</v>
      </c>
      <c r="L253" s="1060"/>
      <c r="M253" s="1061">
        <f t="shared" si="35"/>
        <v>0</v>
      </c>
      <c r="N253" s="1062">
        <f>M253*('Ввод исходных данных'!$D$83-K253)</f>
        <v>0</v>
      </c>
      <c r="O253" s="1063">
        <v>20.100000000000001</v>
      </c>
      <c r="P253" s="1063"/>
      <c r="Q253" s="1063">
        <f t="shared" si="36"/>
        <v>0</v>
      </c>
      <c r="R253" s="1063">
        <f>Q253*('Ввод исходных данных'!$D$83-O253)</f>
        <v>0</v>
      </c>
      <c r="S253" s="1064">
        <v>14.6</v>
      </c>
      <c r="T253" s="1064"/>
      <c r="U253" s="1064">
        <f t="shared" si="37"/>
        <v>0</v>
      </c>
      <c r="V253" s="1064">
        <f>U253*('Ввод исходных данных'!$D$83-S253)</f>
        <v>0</v>
      </c>
      <c r="W253" s="1065">
        <v>7.5</v>
      </c>
      <c r="X253" s="1065"/>
      <c r="Y253" s="1065">
        <f t="shared" si="38"/>
        <v>23.5</v>
      </c>
      <c r="Z253" s="1065">
        <f>Y253*('Ввод исходных данных'!$D$83-W253)</f>
        <v>293.75</v>
      </c>
      <c r="AA253" s="1066">
        <v>-2.2000000000000002</v>
      </c>
      <c r="AB253" s="1066"/>
      <c r="AC253" s="1066">
        <f t="shared" si="39"/>
        <v>30</v>
      </c>
      <c r="AD253" s="1066">
        <f>AC253*('Ввод исходных данных'!$D$83-AA253)</f>
        <v>666</v>
      </c>
      <c r="AE253" s="1067">
        <v>-10.7</v>
      </c>
      <c r="AF253" s="1067"/>
      <c r="AG253" s="1067">
        <v>31</v>
      </c>
      <c r="AH253" s="1067">
        <f>AG253*('Ввод исходных данных'!$D$83-AE253)</f>
        <v>951.69999999999993</v>
      </c>
      <c r="AI253" s="1068">
        <v>-13.4</v>
      </c>
      <c r="AJ253" s="1068"/>
      <c r="AK253" s="1068">
        <v>31</v>
      </c>
      <c r="AL253" s="1068">
        <f>AK253*('Ввод исходных данных'!$D$83-AI253)</f>
        <v>1035.3999999999999</v>
      </c>
      <c r="AM253" s="1069">
        <v>-10.3</v>
      </c>
      <c r="AN253" s="1069"/>
      <c r="AO253" s="1069">
        <v>28</v>
      </c>
      <c r="AP253" s="1069">
        <f>AO253*('Ввод исходных данных'!$D$83-AM253)</f>
        <v>848.4</v>
      </c>
      <c r="AQ253" s="1064">
        <v>-3.1</v>
      </c>
      <c r="AR253" s="1064"/>
      <c r="AS253" s="1064">
        <f t="shared" si="40"/>
        <v>31</v>
      </c>
      <c r="AT253" s="1064">
        <f>AS253*('Ввод исходных данных'!$D$83-AQ253)</f>
        <v>716.1</v>
      </c>
      <c r="AU253" s="1070">
        <v>5.0999999999999996</v>
      </c>
      <c r="AV253" s="1070"/>
      <c r="AW253" s="1070">
        <f t="shared" si="41"/>
        <v>23.5</v>
      </c>
      <c r="AX253" s="1070">
        <f>AW253*('Ввод исходных данных'!$D$83-AU253)</f>
        <v>350.15000000000003</v>
      </c>
      <c r="AY253" s="1071">
        <v>11.3</v>
      </c>
      <c r="AZ253" s="1071"/>
      <c r="BA253" s="1071">
        <f t="shared" si="42"/>
        <v>0</v>
      </c>
      <c r="BB253" s="1071">
        <f>BA253*('Ввод исходных данных'!$D$83-AY253)</f>
        <v>0</v>
      </c>
      <c r="BC253" s="1072">
        <v>15.1</v>
      </c>
      <c r="BD253" s="1072"/>
      <c r="BE253" s="1072">
        <f t="shared" si="34"/>
        <v>0</v>
      </c>
      <c r="BF253" s="1073">
        <f>BE253*('Ввод исходных данных'!$D$83-BC253)</f>
        <v>0</v>
      </c>
    </row>
    <row r="254" spans="2:58" ht="15.75" customHeight="1" x14ac:dyDescent="0.25">
      <c r="B254" s="1076" t="s">
        <v>254</v>
      </c>
      <c r="C254" s="1076" t="s">
        <v>676</v>
      </c>
      <c r="D254" s="1053" t="str">
        <f t="shared" si="43"/>
        <v>Приморский крайПосьет</v>
      </c>
      <c r="E254" s="1054">
        <v>187</v>
      </c>
      <c r="F254" s="1055">
        <v>-2.9</v>
      </c>
      <c r="G254" s="1055">
        <v>-19</v>
      </c>
      <c r="H254" s="1057">
        <v>6.7</v>
      </c>
      <c r="I254" s="1058">
        <f>E254*('Ввод исходных данных'!$D$83-F254)</f>
        <v>4282.3</v>
      </c>
      <c r="J254" s="1059" t="str">
        <f t="shared" si="33"/>
        <v>4000-5000</v>
      </c>
      <c r="K254" s="1060">
        <v>19</v>
      </c>
      <c r="L254" s="1060"/>
      <c r="M254" s="1061">
        <f t="shared" si="35"/>
        <v>0</v>
      </c>
      <c r="N254" s="1062">
        <f>M254*('Ввод исходных данных'!$D$83-K254)</f>
        <v>0</v>
      </c>
      <c r="O254" s="1063">
        <v>21.1</v>
      </c>
      <c r="P254" s="1063"/>
      <c r="Q254" s="1063">
        <f t="shared" si="36"/>
        <v>0</v>
      </c>
      <c r="R254" s="1063">
        <f>Q254*('Ввод исходных данных'!$D$83-O254)</f>
        <v>0</v>
      </c>
      <c r="S254" s="1064">
        <v>16.7</v>
      </c>
      <c r="T254" s="1064"/>
      <c r="U254" s="1064">
        <f t="shared" si="37"/>
        <v>0</v>
      </c>
      <c r="V254" s="1064">
        <f>U254*('Ввод исходных данных'!$D$83-S254)</f>
        <v>0</v>
      </c>
      <c r="W254" s="1065">
        <v>9.8000000000000007</v>
      </c>
      <c r="X254" s="1065"/>
      <c r="Y254" s="1065">
        <f t="shared" si="38"/>
        <v>18</v>
      </c>
      <c r="Z254" s="1065">
        <f>Y254*('Ввод исходных данных'!$D$83-W254)</f>
        <v>183.6</v>
      </c>
      <c r="AA254" s="1066">
        <v>0.6</v>
      </c>
      <c r="AB254" s="1066"/>
      <c r="AC254" s="1066">
        <f t="shared" si="39"/>
        <v>30</v>
      </c>
      <c r="AD254" s="1066">
        <f>AC254*('Ввод исходных данных'!$D$83-AA254)</f>
        <v>582</v>
      </c>
      <c r="AE254" s="1067">
        <v>-6.9</v>
      </c>
      <c r="AF254" s="1067"/>
      <c r="AG254" s="1067">
        <v>31</v>
      </c>
      <c r="AH254" s="1067">
        <f>AG254*('Ввод исходных данных'!$D$83-AE254)</f>
        <v>833.9</v>
      </c>
      <c r="AI254" s="1068">
        <v>-9.6</v>
      </c>
      <c r="AJ254" s="1068"/>
      <c r="AK254" s="1068">
        <v>31</v>
      </c>
      <c r="AL254" s="1068">
        <f>AK254*('Ввод исходных данных'!$D$83-AI254)</f>
        <v>917.6</v>
      </c>
      <c r="AM254" s="1069">
        <v>-6.5</v>
      </c>
      <c r="AN254" s="1069"/>
      <c r="AO254" s="1069">
        <v>28</v>
      </c>
      <c r="AP254" s="1069">
        <f>AO254*('Ввод исходных данных'!$D$83-AM254)</f>
        <v>742</v>
      </c>
      <c r="AQ254" s="1064">
        <v>-0.5</v>
      </c>
      <c r="AR254" s="1064"/>
      <c r="AS254" s="1064">
        <f t="shared" si="40"/>
        <v>31</v>
      </c>
      <c r="AT254" s="1064">
        <f>AS254*('Ввод исходных данных'!$D$83-AQ254)</f>
        <v>635.5</v>
      </c>
      <c r="AU254" s="1070">
        <v>6.1</v>
      </c>
      <c r="AV254" s="1070"/>
      <c r="AW254" s="1070">
        <f t="shared" si="41"/>
        <v>18</v>
      </c>
      <c r="AX254" s="1070">
        <f>AW254*('Ввод исходных данных'!$D$83-AU254)</f>
        <v>250.20000000000002</v>
      </c>
      <c r="AY254" s="1071">
        <v>10.9</v>
      </c>
      <c r="AZ254" s="1071"/>
      <c r="BA254" s="1071">
        <f t="shared" si="42"/>
        <v>0</v>
      </c>
      <c r="BB254" s="1071">
        <f>BA254*('Ввод исходных данных'!$D$83-AY254)</f>
        <v>0</v>
      </c>
      <c r="BC254" s="1072">
        <v>14.7</v>
      </c>
      <c r="BD254" s="1072"/>
      <c r="BE254" s="1072">
        <f t="shared" si="34"/>
        <v>0</v>
      </c>
      <c r="BF254" s="1073">
        <f>BE254*('Ввод исходных данных'!$D$83-BC254)</f>
        <v>0</v>
      </c>
    </row>
    <row r="255" spans="2:58" ht="15.75" customHeight="1" x14ac:dyDescent="0.25">
      <c r="B255" s="1052" t="s">
        <v>254</v>
      </c>
      <c r="C255" s="1052" t="s">
        <v>1635</v>
      </c>
      <c r="D255" s="1053" t="str">
        <f t="shared" si="43"/>
        <v>Приморский крайПреображение</v>
      </c>
      <c r="E255" s="1054">
        <v>202</v>
      </c>
      <c r="F255" s="1055">
        <v>-1.6</v>
      </c>
      <c r="G255" s="1055">
        <v>-16</v>
      </c>
      <c r="H255" s="1057">
        <v>3.7</v>
      </c>
      <c r="I255" s="1058">
        <f>E255*('Ввод исходных данных'!$D$83-F255)</f>
        <v>4363.2000000000007</v>
      </c>
      <c r="J255" s="1059" t="str">
        <f t="shared" si="33"/>
        <v>4000-5000</v>
      </c>
      <c r="K255" s="1060">
        <v>16.899999999999999</v>
      </c>
      <c r="L255" s="1060"/>
      <c r="M255" s="1061">
        <f t="shared" si="35"/>
        <v>0</v>
      </c>
      <c r="N255" s="1062">
        <f>M255*('Ввод исходных данных'!$D$83-K255)</f>
        <v>0</v>
      </c>
      <c r="O255" s="1063">
        <v>19.399999999999999</v>
      </c>
      <c r="P255" s="1063"/>
      <c r="Q255" s="1063">
        <f t="shared" si="36"/>
        <v>0</v>
      </c>
      <c r="R255" s="1063">
        <f>Q255*('Ввод исходных данных'!$D$83-O255)</f>
        <v>0</v>
      </c>
      <c r="S255" s="1064">
        <v>15.8</v>
      </c>
      <c r="T255" s="1064"/>
      <c r="U255" s="1064">
        <f t="shared" si="37"/>
        <v>0</v>
      </c>
      <c r="V255" s="1064">
        <f>U255*('Ввод исходных данных'!$D$83-S255)</f>
        <v>0</v>
      </c>
      <c r="W255" s="1065">
        <v>9.4</v>
      </c>
      <c r="X255" s="1065"/>
      <c r="Y255" s="1065">
        <f t="shared" si="38"/>
        <v>25.5</v>
      </c>
      <c r="Z255" s="1065">
        <f>Y255*('Ввод исходных данных'!$D$83-W255)</f>
        <v>270.3</v>
      </c>
      <c r="AA255" s="1066">
        <v>1.4</v>
      </c>
      <c r="AB255" s="1066"/>
      <c r="AC255" s="1066">
        <f t="shared" si="39"/>
        <v>30</v>
      </c>
      <c r="AD255" s="1066">
        <f>AC255*('Ввод исходных данных'!$D$83-AA255)</f>
        <v>558</v>
      </c>
      <c r="AE255" s="1067">
        <v>-5.5</v>
      </c>
      <c r="AF255" s="1067"/>
      <c r="AG255" s="1067">
        <v>31</v>
      </c>
      <c r="AH255" s="1067">
        <f>AG255*('Ввод исходных данных'!$D$83-AE255)</f>
        <v>790.5</v>
      </c>
      <c r="AI255" s="1068">
        <v>-7.8</v>
      </c>
      <c r="AJ255" s="1068"/>
      <c r="AK255" s="1068">
        <v>31</v>
      </c>
      <c r="AL255" s="1068">
        <f>AK255*('Ввод исходных данных'!$D$83-AI255)</f>
        <v>861.80000000000007</v>
      </c>
      <c r="AM255" s="1069">
        <v>-5.7</v>
      </c>
      <c r="AN255" s="1069"/>
      <c r="AO255" s="1069">
        <v>28</v>
      </c>
      <c r="AP255" s="1069">
        <f>AO255*('Ввод исходных данных'!$D$83-AM255)</f>
        <v>719.6</v>
      </c>
      <c r="AQ255" s="1064">
        <v>-0.7</v>
      </c>
      <c r="AR255" s="1064"/>
      <c r="AS255" s="1064">
        <f t="shared" si="40"/>
        <v>31</v>
      </c>
      <c r="AT255" s="1064">
        <f>AS255*('Ввод исходных данных'!$D$83-AQ255)</f>
        <v>641.69999999999993</v>
      </c>
      <c r="AU255" s="1070">
        <v>4.5999999999999996</v>
      </c>
      <c r="AV255" s="1070"/>
      <c r="AW255" s="1070">
        <f t="shared" si="41"/>
        <v>25.5</v>
      </c>
      <c r="AX255" s="1070">
        <f>AW255*('Ввод исходных данных'!$D$83-AU255)</f>
        <v>392.7</v>
      </c>
      <c r="AY255" s="1071">
        <v>8.6</v>
      </c>
      <c r="AZ255" s="1071"/>
      <c r="BA255" s="1071">
        <f t="shared" si="42"/>
        <v>0</v>
      </c>
      <c r="BB255" s="1071">
        <f>BA255*('Ввод исходных данных'!$D$83-AY255)</f>
        <v>0</v>
      </c>
      <c r="BC255" s="1072">
        <v>12.2</v>
      </c>
      <c r="BD255" s="1072"/>
      <c r="BE255" s="1072">
        <f t="shared" si="34"/>
        <v>0</v>
      </c>
      <c r="BF255" s="1073">
        <f>BE255*('Ввод исходных данных'!$D$83-BC255)</f>
        <v>0</v>
      </c>
    </row>
    <row r="256" spans="2:58" ht="15.75" customHeight="1" x14ac:dyDescent="0.25">
      <c r="B256" s="1076" t="s">
        <v>254</v>
      </c>
      <c r="C256" s="1076" t="s">
        <v>263</v>
      </c>
      <c r="D256" s="1053" t="str">
        <f t="shared" si="43"/>
        <v>Приморский крайРудная Пристань</v>
      </c>
      <c r="E256" s="1054">
        <v>215</v>
      </c>
      <c r="F256" s="1055">
        <v>-3.1</v>
      </c>
      <c r="G256" s="1055">
        <v>-19</v>
      </c>
      <c r="H256" s="1057">
        <v>4.5999999999999996</v>
      </c>
      <c r="I256" s="1058">
        <f>E256*('Ввод исходных данных'!$D$83-F256)</f>
        <v>4966.5</v>
      </c>
      <c r="J256" s="1059" t="str">
        <f t="shared" si="33"/>
        <v>4000-5000</v>
      </c>
      <c r="K256" s="1060">
        <v>16.100000000000001</v>
      </c>
      <c r="L256" s="1060"/>
      <c r="M256" s="1061">
        <f t="shared" si="35"/>
        <v>0</v>
      </c>
      <c r="N256" s="1062">
        <f>M256*('Ввод исходных данных'!$D$83-K256)</f>
        <v>0</v>
      </c>
      <c r="O256" s="1063">
        <v>18.600000000000001</v>
      </c>
      <c r="P256" s="1063"/>
      <c r="Q256" s="1063">
        <f t="shared" si="36"/>
        <v>0</v>
      </c>
      <c r="R256" s="1063">
        <f>Q256*('Ввод исходных данных'!$D$83-O256)</f>
        <v>0</v>
      </c>
      <c r="S256" s="1064">
        <v>14.6</v>
      </c>
      <c r="T256" s="1064"/>
      <c r="U256" s="1064">
        <f t="shared" si="37"/>
        <v>1.5</v>
      </c>
      <c r="V256" s="1064">
        <f>U256*('Ввод исходных данных'!$D$83-S256)</f>
        <v>8.1000000000000014</v>
      </c>
      <c r="W256" s="1065">
        <v>7.7</v>
      </c>
      <c r="X256" s="1065"/>
      <c r="Y256" s="1065">
        <f t="shared" si="38"/>
        <v>31</v>
      </c>
      <c r="Z256" s="1065">
        <f>Y256*('Ввод исходных данных'!$D$83-W256)</f>
        <v>381.3</v>
      </c>
      <c r="AA256" s="1066">
        <v>-1.2</v>
      </c>
      <c r="AB256" s="1066"/>
      <c r="AC256" s="1066">
        <f t="shared" si="39"/>
        <v>30</v>
      </c>
      <c r="AD256" s="1066">
        <f>AC256*('Ввод исходных данных'!$D$83-AA256)</f>
        <v>636</v>
      </c>
      <c r="AE256" s="1067">
        <v>-8.8000000000000007</v>
      </c>
      <c r="AF256" s="1067"/>
      <c r="AG256" s="1067">
        <v>31</v>
      </c>
      <c r="AH256" s="1067">
        <f>AG256*('Ввод исходных данных'!$D$83-AE256)</f>
        <v>892.80000000000007</v>
      </c>
      <c r="AI256" s="1068">
        <v>-10.9</v>
      </c>
      <c r="AJ256" s="1068"/>
      <c r="AK256" s="1068">
        <v>31</v>
      </c>
      <c r="AL256" s="1068">
        <f>AK256*('Ввод исходных данных'!$D$83-AI256)</f>
        <v>957.9</v>
      </c>
      <c r="AM256" s="1069">
        <v>-8.1</v>
      </c>
      <c r="AN256" s="1069"/>
      <c r="AO256" s="1069">
        <v>28</v>
      </c>
      <c r="AP256" s="1069">
        <f>AO256*('Ввод исходных данных'!$D$83-AM256)</f>
        <v>786.80000000000007</v>
      </c>
      <c r="AQ256" s="1064">
        <v>-2</v>
      </c>
      <c r="AR256" s="1064"/>
      <c r="AS256" s="1064">
        <f t="shared" si="40"/>
        <v>31</v>
      </c>
      <c r="AT256" s="1064">
        <f>AS256*('Ввод исходных данных'!$D$83-AQ256)</f>
        <v>682</v>
      </c>
      <c r="AU256" s="1070">
        <v>3.7</v>
      </c>
      <c r="AV256" s="1070"/>
      <c r="AW256" s="1070">
        <f t="shared" si="41"/>
        <v>30</v>
      </c>
      <c r="AX256" s="1070">
        <f>AW256*('Ввод исходных данных'!$D$83-AU256)</f>
        <v>489</v>
      </c>
      <c r="AY256" s="1071">
        <v>7.9</v>
      </c>
      <c r="AZ256" s="1071"/>
      <c r="BA256" s="1071">
        <f t="shared" si="42"/>
        <v>1.5</v>
      </c>
      <c r="BB256" s="1071">
        <f>BA256*('Ввод исходных данных'!$D$83-AY256)</f>
        <v>18.149999999999999</v>
      </c>
      <c r="BC256" s="1072">
        <v>11.5</v>
      </c>
      <c r="BD256" s="1072"/>
      <c r="BE256" s="1072">
        <f t="shared" si="34"/>
        <v>0</v>
      </c>
      <c r="BF256" s="1073">
        <f>BE256*('Ввод исходных данных'!$D$83-BC256)</f>
        <v>0</v>
      </c>
    </row>
    <row r="257" spans="2:58" ht="15.75" customHeight="1" x14ac:dyDescent="0.25">
      <c r="B257" s="1052" t="s">
        <v>254</v>
      </c>
      <c r="C257" s="1052" t="s">
        <v>677</v>
      </c>
      <c r="D257" s="1053" t="str">
        <f t="shared" si="43"/>
        <v>Приморский крайСосуново</v>
      </c>
      <c r="E257" s="1054">
        <v>245</v>
      </c>
      <c r="F257" s="1055">
        <v>-3.8</v>
      </c>
      <c r="G257" s="1055">
        <v>-22</v>
      </c>
      <c r="H257" s="1057">
        <f>H256</f>
        <v>4.5999999999999996</v>
      </c>
      <c r="I257" s="1058">
        <f>E257*('Ввод исходных данных'!$D$83-F257)</f>
        <v>5831</v>
      </c>
      <c r="J257" s="1059" t="str">
        <f t="shared" si="33"/>
        <v>5000-6000</v>
      </c>
      <c r="K257" s="1060">
        <v>13.8</v>
      </c>
      <c r="L257" s="1060"/>
      <c r="M257" s="1061">
        <f t="shared" si="35"/>
        <v>0</v>
      </c>
      <c r="N257" s="1062">
        <f>M257*('Ввод исходных данных'!$D$83-K257)</f>
        <v>0</v>
      </c>
      <c r="O257" s="1063">
        <v>16.3</v>
      </c>
      <c r="P257" s="1063"/>
      <c r="Q257" s="1063">
        <f t="shared" si="36"/>
        <v>0</v>
      </c>
      <c r="R257" s="1063">
        <f>Q257*('Ввод исходных данных'!$D$83-O257)</f>
        <v>0</v>
      </c>
      <c r="S257" s="1064">
        <v>12.8</v>
      </c>
      <c r="T257" s="1064"/>
      <c r="U257" s="1064">
        <f t="shared" si="37"/>
        <v>16.5</v>
      </c>
      <c r="V257" s="1064">
        <f>U257*('Ввод исходных данных'!$D$83-S257)</f>
        <v>118.79999999999998</v>
      </c>
      <c r="W257" s="1065">
        <v>6.1</v>
      </c>
      <c r="X257" s="1065"/>
      <c r="Y257" s="1065">
        <f t="shared" si="38"/>
        <v>31</v>
      </c>
      <c r="Z257" s="1065">
        <f>Y257*('Ввод исходных данных'!$D$83-W257)</f>
        <v>430.90000000000003</v>
      </c>
      <c r="AA257" s="1066">
        <v>-3.3</v>
      </c>
      <c r="AB257" s="1066"/>
      <c r="AC257" s="1066">
        <f t="shared" si="39"/>
        <v>30</v>
      </c>
      <c r="AD257" s="1066">
        <f>AC257*('Ввод исходных данных'!$D$83-AA257)</f>
        <v>699</v>
      </c>
      <c r="AE257" s="1067">
        <v>-11.2</v>
      </c>
      <c r="AF257" s="1067"/>
      <c r="AG257" s="1067">
        <v>31</v>
      </c>
      <c r="AH257" s="1067">
        <f>AG257*('Ввод исходных данных'!$D$83-AE257)</f>
        <v>967.19999999999993</v>
      </c>
      <c r="AI257" s="1068">
        <v>-13.4</v>
      </c>
      <c r="AJ257" s="1068"/>
      <c r="AK257" s="1068">
        <v>31</v>
      </c>
      <c r="AL257" s="1068">
        <f>AK257*('Ввод исходных данных'!$D$83-AI257)</f>
        <v>1035.3999999999999</v>
      </c>
      <c r="AM257" s="1069">
        <v>-10.9</v>
      </c>
      <c r="AN257" s="1069"/>
      <c r="AO257" s="1069">
        <v>28</v>
      </c>
      <c r="AP257" s="1069">
        <f>AO257*('Ввод исходных данных'!$D$83-AM257)</f>
        <v>865.19999999999993</v>
      </c>
      <c r="AQ257" s="1064">
        <v>-4.8</v>
      </c>
      <c r="AR257" s="1064"/>
      <c r="AS257" s="1064">
        <f t="shared" si="40"/>
        <v>31</v>
      </c>
      <c r="AT257" s="1064">
        <f>AS257*('Ввод исходных данных'!$D$83-AQ257)</f>
        <v>768.80000000000007</v>
      </c>
      <c r="AU257" s="1070">
        <v>1.4</v>
      </c>
      <c r="AV257" s="1070"/>
      <c r="AW257" s="1070">
        <f t="shared" si="41"/>
        <v>30</v>
      </c>
      <c r="AX257" s="1070">
        <f>AW257*('Ввод исходных данных'!$D$83-AU257)</f>
        <v>558</v>
      </c>
      <c r="AY257" s="1071">
        <v>5.4</v>
      </c>
      <c r="AZ257" s="1071"/>
      <c r="BA257" s="1071">
        <f t="shared" si="42"/>
        <v>16.5</v>
      </c>
      <c r="BB257" s="1071">
        <f>BA257*('Ввод исходных данных'!$D$83-AY257)</f>
        <v>240.9</v>
      </c>
      <c r="BC257" s="1072">
        <v>9.1</v>
      </c>
      <c r="BD257" s="1072"/>
      <c r="BE257" s="1072">
        <f t="shared" si="34"/>
        <v>0</v>
      </c>
      <c r="BF257" s="1073">
        <f>BE257*('Ввод исходных данных'!$D$83-BC257)</f>
        <v>0</v>
      </c>
    </row>
    <row r="258" spans="2:58" ht="15.75" customHeight="1" x14ac:dyDescent="0.25">
      <c r="B258" s="1076" t="s">
        <v>254</v>
      </c>
      <c r="C258" s="1076" t="s">
        <v>258</v>
      </c>
      <c r="D258" s="1053" t="str">
        <f t="shared" si="43"/>
        <v>Приморский крайЧугуевка</v>
      </c>
      <c r="E258" s="1054">
        <v>211</v>
      </c>
      <c r="F258" s="1055">
        <v>-8.6</v>
      </c>
      <c r="G258" s="1055">
        <v>-32</v>
      </c>
      <c r="H258" s="1057">
        <f>H257</f>
        <v>4.5999999999999996</v>
      </c>
      <c r="I258" s="1058">
        <f>E258*('Ввод исходных данных'!$D$83-F258)</f>
        <v>6034.6</v>
      </c>
      <c r="J258" s="1059" t="str">
        <f t="shared" si="33"/>
        <v>6000-7000</v>
      </c>
      <c r="K258" s="1060">
        <v>20.399999999999999</v>
      </c>
      <c r="L258" s="1060"/>
      <c r="M258" s="1061">
        <f t="shared" si="35"/>
        <v>0</v>
      </c>
      <c r="N258" s="1062">
        <f>M258*('Ввод исходных данных'!$D$83-K258)</f>
        <v>0</v>
      </c>
      <c r="O258" s="1063">
        <v>19.5</v>
      </c>
      <c r="P258" s="1063"/>
      <c r="Q258" s="1063">
        <f t="shared" si="36"/>
        <v>0</v>
      </c>
      <c r="R258" s="1063">
        <f>Q258*('Ввод исходных данных'!$D$83-O258)</f>
        <v>0</v>
      </c>
      <c r="S258" s="1064">
        <v>12.5</v>
      </c>
      <c r="T258" s="1064"/>
      <c r="U258" s="1064">
        <f t="shared" si="37"/>
        <v>0</v>
      </c>
      <c r="V258" s="1064">
        <f>U258*('Ввод исходных данных'!$D$83-S258)</f>
        <v>0</v>
      </c>
      <c r="W258" s="1065">
        <v>4.4000000000000004</v>
      </c>
      <c r="X258" s="1065"/>
      <c r="Y258" s="1065">
        <f t="shared" si="38"/>
        <v>30</v>
      </c>
      <c r="Z258" s="1065">
        <f>Y258*('Ввод исходных данных'!$D$83-W258)</f>
        <v>468</v>
      </c>
      <c r="AA258" s="1066">
        <v>-7.2</v>
      </c>
      <c r="AB258" s="1066"/>
      <c r="AC258" s="1066">
        <f t="shared" si="39"/>
        <v>30</v>
      </c>
      <c r="AD258" s="1066">
        <f>AC258*('Ввод исходных данных'!$D$83-AA258)</f>
        <v>816</v>
      </c>
      <c r="AE258" s="1067">
        <v>-17.899999999999999</v>
      </c>
      <c r="AF258" s="1067"/>
      <c r="AG258" s="1067">
        <v>31</v>
      </c>
      <c r="AH258" s="1067">
        <f>AG258*('Ввод исходных данных'!$D$83-AE258)</f>
        <v>1174.8999999999999</v>
      </c>
      <c r="AI258" s="1068">
        <v>-21.3</v>
      </c>
      <c r="AJ258" s="1068"/>
      <c r="AK258" s="1068">
        <v>31</v>
      </c>
      <c r="AL258" s="1068">
        <f>AK258*('Ввод исходных данных'!$D$83-AI258)</f>
        <v>1280.3</v>
      </c>
      <c r="AM258" s="1069">
        <v>-17.3</v>
      </c>
      <c r="AN258" s="1069"/>
      <c r="AO258" s="1069">
        <v>28</v>
      </c>
      <c r="AP258" s="1069">
        <f>AO258*('Ввод исходных данных'!$D$83-AM258)</f>
        <v>1044.3999999999999</v>
      </c>
      <c r="AQ258" s="1064">
        <v>-6.7</v>
      </c>
      <c r="AR258" s="1064"/>
      <c r="AS258" s="1064">
        <f t="shared" si="40"/>
        <v>31</v>
      </c>
      <c r="AT258" s="1064">
        <f>AS258*('Ввод исходных данных'!$D$83-AQ258)</f>
        <v>827.69999999999993</v>
      </c>
      <c r="AU258" s="1070">
        <v>4.3</v>
      </c>
      <c r="AV258" s="1070"/>
      <c r="AW258" s="1070">
        <f t="shared" si="41"/>
        <v>30</v>
      </c>
      <c r="AX258" s="1070">
        <f>AW258*('Ввод исходных данных'!$D$83-AU258)</f>
        <v>471</v>
      </c>
      <c r="AY258" s="1071">
        <v>11.5</v>
      </c>
      <c r="AZ258" s="1071"/>
      <c r="BA258" s="1071">
        <f t="shared" si="42"/>
        <v>0</v>
      </c>
      <c r="BB258" s="1071">
        <f>BA258*('Ввод исходных данных'!$D$83-AY258)</f>
        <v>0</v>
      </c>
      <c r="BC258" s="1072">
        <v>16.3</v>
      </c>
      <c r="BD258" s="1072"/>
      <c r="BE258" s="1072">
        <f t="shared" si="34"/>
        <v>0</v>
      </c>
      <c r="BF258" s="1073">
        <f>BE258*('Ввод исходных данных'!$D$83-BC258)</f>
        <v>0</v>
      </c>
    </row>
    <row r="259" spans="2:58" ht="15.75" customHeight="1" x14ac:dyDescent="0.25">
      <c r="B259" s="1052" t="s">
        <v>265</v>
      </c>
      <c r="C259" s="1052" t="s">
        <v>678</v>
      </c>
      <c r="D259" s="1053" t="str">
        <f t="shared" si="43"/>
        <v>Псковская областьВеликие Луки</v>
      </c>
      <c r="E259" s="1054">
        <v>208</v>
      </c>
      <c r="F259" s="1055">
        <v>-1.5</v>
      </c>
      <c r="G259" s="1055">
        <v>-27</v>
      </c>
      <c r="H259" s="1057">
        <v>4.2</v>
      </c>
      <c r="I259" s="1058">
        <f>E259*('Ввод исходных данных'!$D$83-F259)</f>
        <v>4472</v>
      </c>
      <c r="J259" s="1059" t="str">
        <f t="shared" si="33"/>
        <v>4000-5000</v>
      </c>
      <c r="K259" s="1060">
        <v>17.5</v>
      </c>
      <c r="L259" s="1060"/>
      <c r="M259" s="1061">
        <f t="shared" si="35"/>
        <v>0</v>
      </c>
      <c r="N259" s="1062">
        <f>M259*('Ввод исходных данных'!$D$83-K259)</f>
        <v>0</v>
      </c>
      <c r="O259" s="1063">
        <v>16</v>
      </c>
      <c r="P259" s="1063"/>
      <c r="Q259" s="1063">
        <f t="shared" si="36"/>
        <v>0</v>
      </c>
      <c r="R259" s="1063">
        <f>Q259*('Ввод исходных данных'!$D$83-O259)</f>
        <v>0</v>
      </c>
      <c r="S259" s="1064">
        <v>10.8</v>
      </c>
      <c r="T259" s="1064"/>
      <c r="U259" s="1064">
        <f t="shared" si="37"/>
        <v>0</v>
      </c>
      <c r="V259" s="1064">
        <f>U259*('Ввод исходных данных'!$D$83-S259)</f>
        <v>0</v>
      </c>
      <c r="W259" s="1065">
        <v>5.5</v>
      </c>
      <c r="X259" s="1065"/>
      <c r="Y259" s="1065">
        <f t="shared" si="38"/>
        <v>28.5</v>
      </c>
      <c r="Z259" s="1065">
        <f>Y259*('Ввод исходных данных'!$D$83-W259)</f>
        <v>413.25</v>
      </c>
      <c r="AA259" s="1066">
        <v>-0.1</v>
      </c>
      <c r="AB259" s="1066"/>
      <c r="AC259" s="1066">
        <f t="shared" si="39"/>
        <v>30</v>
      </c>
      <c r="AD259" s="1066">
        <f>AC259*('Ввод исходных данных'!$D$83-AA259)</f>
        <v>603</v>
      </c>
      <c r="AE259" s="1067">
        <v>-4.5</v>
      </c>
      <c r="AF259" s="1067"/>
      <c r="AG259" s="1067">
        <v>31</v>
      </c>
      <c r="AH259" s="1067">
        <f>AG259*('Ввод исходных данных'!$D$83-AE259)</f>
        <v>759.5</v>
      </c>
      <c r="AI259" s="1068">
        <v>-6.8</v>
      </c>
      <c r="AJ259" s="1068"/>
      <c r="AK259" s="1068">
        <v>31</v>
      </c>
      <c r="AL259" s="1068">
        <f>AK259*('Ввод исходных данных'!$D$83-AI259)</f>
        <v>830.80000000000007</v>
      </c>
      <c r="AM259" s="1069">
        <v>-6.5</v>
      </c>
      <c r="AN259" s="1069"/>
      <c r="AO259" s="1069">
        <v>28</v>
      </c>
      <c r="AP259" s="1069">
        <f>AO259*('Ввод исходных данных'!$D$83-AM259)</f>
        <v>742</v>
      </c>
      <c r="AQ259" s="1064">
        <v>-1.3</v>
      </c>
      <c r="AR259" s="1064"/>
      <c r="AS259" s="1064">
        <f t="shared" si="40"/>
        <v>31</v>
      </c>
      <c r="AT259" s="1064">
        <f>AS259*('Ввод исходных данных'!$D$83-AQ259)</f>
        <v>660.30000000000007</v>
      </c>
      <c r="AU259" s="1070">
        <v>5.8</v>
      </c>
      <c r="AV259" s="1070"/>
      <c r="AW259" s="1070">
        <f t="shared" si="41"/>
        <v>28.5</v>
      </c>
      <c r="AX259" s="1070">
        <f>AW259*('Ввод исходных данных'!$D$83-AU259)</f>
        <v>404.7</v>
      </c>
      <c r="AY259" s="1071">
        <v>12.2</v>
      </c>
      <c r="AZ259" s="1071"/>
      <c r="BA259" s="1071">
        <f t="shared" si="42"/>
        <v>0</v>
      </c>
      <c r="BB259" s="1071">
        <f>BA259*('Ввод исходных данных'!$D$83-AY259)</f>
        <v>0</v>
      </c>
      <c r="BC259" s="1072">
        <v>15.8</v>
      </c>
      <c r="BD259" s="1072"/>
      <c r="BE259" s="1072">
        <f t="shared" si="34"/>
        <v>0</v>
      </c>
      <c r="BF259" s="1073">
        <f>BE259*('Ввод исходных данных'!$D$83-BC259)</f>
        <v>0</v>
      </c>
    </row>
    <row r="260" spans="2:58" ht="15.75" customHeight="1" x14ac:dyDescent="0.25">
      <c r="B260" s="1076" t="s">
        <v>265</v>
      </c>
      <c r="C260" s="1076" t="s">
        <v>266</v>
      </c>
      <c r="D260" s="1053" t="str">
        <f t="shared" si="43"/>
        <v>Псковская областьПсков</v>
      </c>
      <c r="E260" s="1054">
        <v>208</v>
      </c>
      <c r="F260" s="1055">
        <v>-1.3</v>
      </c>
      <c r="G260" s="1055">
        <v>-26</v>
      </c>
      <c r="H260" s="1057">
        <v>3.5</v>
      </c>
      <c r="I260" s="1058">
        <f>E260*('Ввод исходных данных'!$D$83-F260)</f>
        <v>4430.4000000000005</v>
      </c>
      <c r="J260" s="1059" t="str">
        <f t="shared" si="33"/>
        <v>4000-5000</v>
      </c>
      <c r="K260" s="1060">
        <v>17.8</v>
      </c>
      <c r="L260" s="1060"/>
      <c r="M260" s="1061">
        <f t="shared" si="35"/>
        <v>0</v>
      </c>
      <c r="N260" s="1062">
        <f>M260*('Ввод исходных данных'!$D$83-K260)</f>
        <v>0</v>
      </c>
      <c r="O260" s="1063">
        <v>16.2</v>
      </c>
      <c r="P260" s="1063"/>
      <c r="Q260" s="1063">
        <f t="shared" si="36"/>
        <v>0</v>
      </c>
      <c r="R260" s="1063">
        <f>Q260*('Ввод исходных данных'!$D$83-O260)</f>
        <v>0</v>
      </c>
      <c r="S260" s="1064">
        <v>10.9</v>
      </c>
      <c r="T260" s="1064"/>
      <c r="U260" s="1064">
        <f t="shared" si="37"/>
        <v>0</v>
      </c>
      <c r="V260" s="1064">
        <f>U260*('Ввод исходных данных'!$D$83-S260)</f>
        <v>0</v>
      </c>
      <c r="W260" s="1065">
        <v>5.6</v>
      </c>
      <c r="X260" s="1065"/>
      <c r="Y260" s="1065">
        <f t="shared" si="38"/>
        <v>28.5</v>
      </c>
      <c r="Z260" s="1065">
        <f>Y260*('Ввод исходных данных'!$D$83-W260)</f>
        <v>410.40000000000003</v>
      </c>
      <c r="AA260" s="1066">
        <v>0.1</v>
      </c>
      <c r="AB260" s="1066"/>
      <c r="AC260" s="1066">
        <f t="shared" si="39"/>
        <v>30</v>
      </c>
      <c r="AD260" s="1066">
        <f>AC260*('Ввод исходных данных'!$D$83-AA260)</f>
        <v>597</v>
      </c>
      <c r="AE260" s="1067">
        <v>-4.0999999999999996</v>
      </c>
      <c r="AF260" s="1067"/>
      <c r="AG260" s="1067">
        <v>31</v>
      </c>
      <c r="AH260" s="1067">
        <f>AG260*('Ввод исходных данных'!$D$83-AE260)</f>
        <v>747.1</v>
      </c>
      <c r="AI260" s="1068">
        <v>-6.3</v>
      </c>
      <c r="AJ260" s="1068"/>
      <c r="AK260" s="1068">
        <v>31</v>
      </c>
      <c r="AL260" s="1068">
        <f>AK260*('Ввод исходных данных'!$D$83-AI260)</f>
        <v>815.30000000000007</v>
      </c>
      <c r="AM260" s="1069">
        <v>-6.2</v>
      </c>
      <c r="AN260" s="1069"/>
      <c r="AO260" s="1069">
        <v>28</v>
      </c>
      <c r="AP260" s="1069">
        <f>AO260*('Ввод исходных данных'!$D$83-AM260)</f>
        <v>733.6</v>
      </c>
      <c r="AQ260" s="1064">
        <v>-1.3</v>
      </c>
      <c r="AR260" s="1064"/>
      <c r="AS260" s="1064">
        <f t="shared" si="40"/>
        <v>31</v>
      </c>
      <c r="AT260" s="1064">
        <f>AS260*('Ввод исходных данных'!$D$83-AQ260)</f>
        <v>660.30000000000007</v>
      </c>
      <c r="AU260" s="1070">
        <v>5.5</v>
      </c>
      <c r="AV260" s="1070"/>
      <c r="AW260" s="1070">
        <f t="shared" si="41"/>
        <v>28.5</v>
      </c>
      <c r="AX260" s="1070">
        <f>AW260*('Ввод исходных данных'!$D$83-AU260)</f>
        <v>413.25</v>
      </c>
      <c r="AY260" s="1071">
        <v>12</v>
      </c>
      <c r="AZ260" s="1071"/>
      <c r="BA260" s="1071">
        <f t="shared" si="42"/>
        <v>0</v>
      </c>
      <c r="BB260" s="1071">
        <f>BA260*('Ввод исходных данных'!$D$83-AY260)</f>
        <v>0</v>
      </c>
      <c r="BC260" s="1072">
        <v>15.9</v>
      </c>
      <c r="BD260" s="1072"/>
      <c r="BE260" s="1072">
        <f t="shared" si="34"/>
        <v>0</v>
      </c>
      <c r="BF260" s="1073">
        <f>BE260*('Ввод исходных данных'!$D$83-BC260)</f>
        <v>0</v>
      </c>
    </row>
    <row r="261" spans="2:58" ht="15.75" customHeight="1" x14ac:dyDescent="0.25">
      <c r="B261" s="1052" t="s">
        <v>267</v>
      </c>
      <c r="C261" s="1052" t="s">
        <v>268</v>
      </c>
      <c r="D261" s="1053" t="str">
        <f t="shared" si="43"/>
        <v>Республика АдыгеяМайкоп</v>
      </c>
      <c r="E261" s="1054">
        <v>148</v>
      </c>
      <c r="F261" s="1055">
        <v>2.2999999999999998</v>
      </c>
      <c r="G261" s="1055">
        <v>-19</v>
      </c>
      <c r="H261" s="1057">
        <v>5.7</v>
      </c>
      <c r="I261" s="1058">
        <f>E261*('Ввод исходных данных'!$D$83-F261)</f>
        <v>2619.6</v>
      </c>
      <c r="J261" s="1059" t="str">
        <f t="shared" si="33"/>
        <v>2000-3000</v>
      </c>
      <c r="K261" s="1060">
        <v>22.2</v>
      </c>
      <c r="L261" s="1060"/>
      <c r="M261" s="1061">
        <f t="shared" si="35"/>
        <v>0</v>
      </c>
      <c r="N261" s="1062">
        <f>M261*('Ввод исходных данных'!$D$83-K261)</f>
        <v>0</v>
      </c>
      <c r="O261" s="1063">
        <v>21.9</v>
      </c>
      <c r="P261" s="1063"/>
      <c r="Q261" s="1063">
        <f t="shared" si="36"/>
        <v>0</v>
      </c>
      <c r="R261" s="1063">
        <f>Q261*('Ввод исходных данных'!$D$83-O261)</f>
        <v>0</v>
      </c>
      <c r="S261" s="1064">
        <v>17.100000000000001</v>
      </c>
      <c r="T261" s="1064"/>
      <c r="U261" s="1064">
        <f t="shared" si="37"/>
        <v>0</v>
      </c>
      <c r="V261" s="1064">
        <f>U261*('Ввод исходных данных'!$D$83-S261)</f>
        <v>0</v>
      </c>
      <c r="W261" s="1065">
        <v>11.2</v>
      </c>
      <c r="X261" s="1065"/>
      <c r="Y261" s="1065">
        <f t="shared" si="38"/>
        <v>0</v>
      </c>
      <c r="Z261" s="1065">
        <f>Y261*('Ввод исходных данных'!$D$83-W261)</f>
        <v>0</v>
      </c>
      <c r="AA261" s="1066">
        <v>6.2</v>
      </c>
      <c r="AB261" s="1066"/>
      <c r="AC261" s="1066">
        <f t="shared" si="39"/>
        <v>29</v>
      </c>
      <c r="AD261" s="1066">
        <f>AC261*('Ввод исходных данных'!$D$83-AA261)</f>
        <v>400.20000000000005</v>
      </c>
      <c r="AE261" s="1067">
        <v>1.4</v>
      </c>
      <c r="AF261" s="1067"/>
      <c r="AG261" s="1067">
        <v>31</v>
      </c>
      <c r="AH261" s="1067">
        <f>AG261*('Ввод исходных данных'!$D$83-AE261)</f>
        <v>576.6</v>
      </c>
      <c r="AI261" s="1068">
        <v>-1.4</v>
      </c>
      <c r="AJ261" s="1068"/>
      <c r="AK261" s="1068">
        <v>31</v>
      </c>
      <c r="AL261" s="1068">
        <f>AK261*('Ввод исходных данных'!$D$83-AI261)</f>
        <v>663.4</v>
      </c>
      <c r="AM261" s="1069">
        <v>0.3</v>
      </c>
      <c r="AN261" s="1069"/>
      <c r="AO261" s="1069">
        <v>28</v>
      </c>
      <c r="AP261" s="1069">
        <f>AO261*('Ввод исходных данных'!$D$83-AM261)</f>
        <v>551.6</v>
      </c>
      <c r="AQ261" s="1064">
        <v>4.0999999999999996</v>
      </c>
      <c r="AR261" s="1064"/>
      <c r="AS261" s="1064">
        <f t="shared" si="40"/>
        <v>29</v>
      </c>
      <c r="AT261" s="1064">
        <f>AS261*('Ввод исходных данных'!$D$83-AQ261)</f>
        <v>461.1</v>
      </c>
      <c r="AU261" s="1070">
        <v>11.3</v>
      </c>
      <c r="AV261" s="1070"/>
      <c r="AW261" s="1070">
        <f t="shared" si="41"/>
        <v>0</v>
      </c>
      <c r="AX261" s="1070">
        <f>AW261*('Ввод исходных данных'!$D$83-AU261)</f>
        <v>0</v>
      </c>
      <c r="AY261" s="1071">
        <v>16.5</v>
      </c>
      <c r="AZ261" s="1071"/>
      <c r="BA261" s="1071">
        <f t="shared" si="42"/>
        <v>0</v>
      </c>
      <c r="BB261" s="1071">
        <f>BA261*('Ввод исходных данных'!$D$83-AY261)</f>
        <v>0</v>
      </c>
      <c r="BC261" s="1072">
        <v>19.7</v>
      </c>
      <c r="BD261" s="1072"/>
      <c r="BE261" s="1072">
        <f t="shared" si="34"/>
        <v>0</v>
      </c>
      <c r="BF261" s="1073">
        <f>BE261*('Ввод исходных данных'!$D$83-BC261)</f>
        <v>0</v>
      </c>
    </row>
    <row r="262" spans="2:58" ht="15.75" customHeight="1" x14ac:dyDescent="0.25">
      <c r="B262" s="1076" t="s">
        <v>620</v>
      </c>
      <c r="C262" s="1076" t="s">
        <v>9</v>
      </c>
      <c r="D262" s="1053" t="str">
        <f t="shared" si="43"/>
        <v>республика АлтайБеля</v>
      </c>
      <c r="E262" s="1054">
        <v>223</v>
      </c>
      <c r="F262" s="1055">
        <v>-2.7</v>
      </c>
      <c r="G262" s="1055">
        <v>-23</v>
      </c>
      <c r="H262" s="1057">
        <v>7</v>
      </c>
      <c r="I262" s="1058">
        <f>E262*('Ввод исходных данных'!$D$83-F262)</f>
        <v>5062.0999999999995</v>
      </c>
      <c r="J262" s="1059" t="str">
        <f t="shared" si="33"/>
        <v>5000-6000</v>
      </c>
      <c r="K262" s="1060">
        <v>16.899999999999999</v>
      </c>
      <c r="L262" s="1060"/>
      <c r="M262" s="1061">
        <f t="shared" si="35"/>
        <v>0</v>
      </c>
      <c r="N262" s="1062">
        <f>M262*('Ввод исходных данных'!$D$83-K262)</f>
        <v>0</v>
      </c>
      <c r="O262" s="1063">
        <v>15.5</v>
      </c>
      <c r="P262" s="1063"/>
      <c r="Q262" s="1063">
        <f t="shared" si="36"/>
        <v>0</v>
      </c>
      <c r="R262" s="1063">
        <f>Q262*('Ввод исходных данных'!$D$83-O262)</f>
        <v>0</v>
      </c>
      <c r="S262" s="1064">
        <v>10.7</v>
      </c>
      <c r="T262" s="1064"/>
      <c r="U262" s="1064">
        <f t="shared" si="37"/>
        <v>5.5</v>
      </c>
      <c r="V262" s="1064">
        <f>U262*('Ввод исходных данных'!$D$83-S262)</f>
        <v>51.150000000000006</v>
      </c>
      <c r="W262" s="1065">
        <v>4.0999999999999996</v>
      </c>
      <c r="X262" s="1065"/>
      <c r="Y262" s="1065">
        <f t="shared" si="38"/>
        <v>31</v>
      </c>
      <c r="Z262" s="1065">
        <f>Y262*('Ввод исходных данных'!$D$83-W262)</f>
        <v>492.90000000000003</v>
      </c>
      <c r="AA262" s="1066">
        <v>-3.2</v>
      </c>
      <c r="AB262" s="1066"/>
      <c r="AC262" s="1066">
        <f t="shared" si="39"/>
        <v>30</v>
      </c>
      <c r="AD262" s="1066">
        <f>AC262*('Ввод исходных данных'!$D$83-AA262)</f>
        <v>696</v>
      </c>
      <c r="AE262" s="1067">
        <v>-7.9</v>
      </c>
      <c r="AF262" s="1067"/>
      <c r="AG262" s="1067">
        <v>31</v>
      </c>
      <c r="AH262" s="1067">
        <f>AG262*('Ввод исходных данных'!$D$83-AE262)</f>
        <v>864.9</v>
      </c>
      <c r="AI262" s="1068">
        <v>-9.1999999999999993</v>
      </c>
      <c r="AJ262" s="1068"/>
      <c r="AK262" s="1068">
        <v>31</v>
      </c>
      <c r="AL262" s="1068">
        <f>AK262*('Ввод исходных данных'!$D$83-AI262)</f>
        <v>905.19999999999993</v>
      </c>
      <c r="AM262" s="1069">
        <v>-8.1</v>
      </c>
      <c r="AN262" s="1069"/>
      <c r="AO262" s="1069">
        <v>28</v>
      </c>
      <c r="AP262" s="1069">
        <f>AO262*('Ввод исходных данных'!$D$83-AM262)</f>
        <v>786.80000000000007</v>
      </c>
      <c r="AQ262" s="1064">
        <v>-3.2</v>
      </c>
      <c r="AR262" s="1064"/>
      <c r="AS262" s="1064">
        <f t="shared" si="40"/>
        <v>31</v>
      </c>
      <c r="AT262" s="1064">
        <f>AS262*('Ввод исходных данных'!$D$83-AQ262)</f>
        <v>719.19999999999993</v>
      </c>
      <c r="AU262" s="1070">
        <v>3.2</v>
      </c>
      <c r="AV262" s="1070"/>
      <c r="AW262" s="1070">
        <f t="shared" si="41"/>
        <v>30</v>
      </c>
      <c r="AX262" s="1070">
        <f>AW262*('Ввод исходных данных'!$D$83-AU262)</f>
        <v>504</v>
      </c>
      <c r="AY262" s="1071">
        <v>9.5</v>
      </c>
      <c r="AZ262" s="1071"/>
      <c r="BA262" s="1071">
        <f t="shared" si="42"/>
        <v>5.5</v>
      </c>
      <c r="BB262" s="1071">
        <f>BA262*('Ввод исходных данных'!$D$83-AY262)</f>
        <v>57.75</v>
      </c>
      <c r="BC262" s="1072">
        <v>14.6</v>
      </c>
      <c r="BD262" s="1072"/>
      <c r="BE262" s="1072">
        <f t="shared" si="34"/>
        <v>0</v>
      </c>
      <c r="BF262" s="1073">
        <f>BE262*('Ввод исходных данных'!$D$83-BC262)</f>
        <v>0</v>
      </c>
    </row>
    <row r="263" spans="2:58" ht="15.75" customHeight="1" x14ac:dyDescent="0.25">
      <c r="B263" s="1052" t="s">
        <v>620</v>
      </c>
      <c r="C263" s="1052" t="s">
        <v>10</v>
      </c>
      <c r="D263" s="1053" t="str">
        <f t="shared" si="43"/>
        <v>республика АлтайКатанда</v>
      </c>
      <c r="E263" s="1054">
        <v>237</v>
      </c>
      <c r="F263" s="1055">
        <v>-9.1999999999999993</v>
      </c>
      <c r="G263" s="1055">
        <v>-40</v>
      </c>
      <c r="H263" s="1057">
        <v>1.8</v>
      </c>
      <c r="I263" s="1058">
        <f>E263*('Ввод исходных данных'!$D$83-F263)</f>
        <v>6920.4</v>
      </c>
      <c r="J263" s="1059" t="str">
        <f t="shared" si="33"/>
        <v>6000-7000</v>
      </c>
      <c r="K263" s="1060">
        <v>15.5</v>
      </c>
      <c r="L263" s="1060"/>
      <c r="M263" s="1061">
        <f t="shared" si="35"/>
        <v>0</v>
      </c>
      <c r="N263" s="1062">
        <f>M263*('Ввод исходных данных'!$D$83-K263)</f>
        <v>0</v>
      </c>
      <c r="O263" s="1063">
        <v>13.3</v>
      </c>
      <c r="P263" s="1063"/>
      <c r="Q263" s="1063">
        <f t="shared" si="36"/>
        <v>0</v>
      </c>
      <c r="R263" s="1063">
        <f>Q263*('Ввод исходных данных'!$D$83-O263)</f>
        <v>0</v>
      </c>
      <c r="S263" s="1064">
        <v>7.9</v>
      </c>
      <c r="T263" s="1064"/>
      <c r="U263" s="1064">
        <f t="shared" si="37"/>
        <v>12.5</v>
      </c>
      <c r="V263" s="1064">
        <f>U263*('Ввод исходных данных'!$D$83-S263)</f>
        <v>151.25</v>
      </c>
      <c r="W263" s="1065">
        <v>0.2</v>
      </c>
      <c r="X263" s="1065"/>
      <c r="Y263" s="1065">
        <f t="shared" si="38"/>
        <v>31</v>
      </c>
      <c r="Z263" s="1065">
        <f>Y263*('Ввод исходных данных'!$D$83-W263)</f>
        <v>613.80000000000007</v>
      </c>
      <c r="AA263" s="1066">
        <v>-11.4</v>
      </c>
      <c r="AB263" s="1066"/>
      <c r="AC263" s="1066">
        <f t="shared" si="39"/>
        <v>30</v>
      </c>
      <c r="AD263" s="1066">
        <f>AC263*('Ввод исходных данных'!$D$83-AA263)</f>
        <v>942</v>
      </c>
      <c r="AE263" s="1067">
        <v>-19.899999999999999</v>
      </c>
      <c r="AF263" s="1067"/>
      <c r="AG263" s="1067">
        <v>31</v>
      </c>
      <c r="AH263" s="1067">
        <f>AG263*('Ввод исходных данных'!$D$83-AE263)</f>
        <v>1236.8999999999999</v>
      </c>
      <c r="AI263" s="1068">
        <v>-22.8</v>
      </c>
      <c r="AJ263" s="1068"/>
      <c r="AK263" s="1068">
        <v>31</v>
      </c>
      <c r="AL263" s="1068">
        <f>AK263*('Ввод исходных данных'!$D$83-AI263)</f>
        <v>1326.8</v>
      </c>
      <c r="AM263" s="1069">
        <v>-18.8</v>
      </c>
      <c r="AN263" s="1069"/>
      <c r="AO263" s="1069">
        <v>28</v>
      </c>
      <c r="AP263" s="1069">
        <f>AO263*('Ввод исходных данных'!$D$83-AM263)</f>
        <v>1086.3999999999999</v>
      </c>
      <c r="AQ263" s="1064">
        <v>-9.1999999999999993</v>
      </c>
      <c r="AR263" s="1064"/>
      <c r="AS263" s="1064">
        <f t="shared" si="40"/>
        <v>31</v>
      </c>
      <c r="AT263" s="1064">
        <f>AS263*('Ввод исходных данных'!$D$83-AQ263)</f>
        <v>905.19999999999993</v>
      </c>
      <c r="AU263" s="1070">
        <v>2.2999999999999998</v>
      </c>
      <c r="AV263" s="1070"/>
      <c r="AW263" s="1070">
        <f t="shared" si="41"/>
        <v>30</v>
      </c>
      <c r="AX263" s="1070">
        <f>AW263*('Ввод исходных данных'!$D$83-AU263)</f>
        <v>531</v>
      </c>
      <c r="AY263" s="1071">
        <v>9.5</v>
      </c>
      <c r="AZ263" s="1071"/>
      <c r="BA263" s="1071">
        <f t="shared" si="42"/>
        <v>12.5</v>
      </c>
      <c r="BB263" s="1071">
        <f>BA263*('Ввод исходных данных'!$D$83-AY263)</f>
        <v>131.25</v>
      </c>
      <c r="BC263" s="1072">
        <v>14.2</v>
      </c>
      <c r="BD263" s="1072"/>
      <c r="BE263" s="1072">
        <f t="shared" si="34"/>
        <v>0</v>
      </c>
      <c r="BF263" s="1073">
        <f>BE263*('Ввод исходных данных'!$D$83-BC263)</f>
        <v>0</v>
      </c>
    </row>
    <row r="264" spans="2:58" ht="15.75" customHeight="1" x14ac:dyDescent="0.25">
      <c r="B264" s="1076" t="s">
        <v>620</v>
      </c>
      <c r="C264" s="1076" t="s">
        <v>11</v>
      </c>
      <c r="D264" s="1053" t="str">
        <f t="shared" si="43"/>
        <v>республика АлтайКош-Агач</v>
      </c>
      <c r="E264" s="1054">
        <v>256</v>
      </c>
      <c r="F264" s="1055">
        <v>-12</v>
      </c>
      <c r="G264" s="1055">
        <v>-42</v>
      </c>
      <c r="H264" s="1057">
        <v>1.5</v>
      </c>
      <c r="I264" s="1058">
        <f>E264*('Ввод исходных данных'!$D$83-F264)</f>
        <v>8192</v>
      </c>
      <c r="J264" s="1059" t="str">
        <f t="shared" si="33"/>
        <v>8000-9000</v>
      </c>
      <c r="K264" s="1060">
        <v>14.6</v>
      </c>
      <c r="L264" s="1060"/>
      <c r="M264" s="1061">
        <f t="shared" si="35"/>
        <v>0</v>
      </c>
      <c r="N264" s="1062">
        <f>M264*('Ввод исходных данных'!$D$83-K264)</f>
        <v>0</v>
      </c>
      <c r="O264" s="1063">
        <v>12.4</v>
      </c>
      <c r="P264" s="1063"/>
      <c r="Q264" s="1063">
        <f t="shared" si="36"/>
        <v>0</v>
      </c>
      <c r="R264" s="1063">
        <f>Q264*('Ввод исходных данных'!$D$83-O264)</f>
        <v>0</v>
      </c>
      <c r="S264" s="1064">
        <v>6.4</v>
      </c>
      <c r="T264" s="1064"/>
      <c r="U264" s="1064">
        <f t="shared" si="37"/>
        <v>22</v>
      </c>
      <c r="V264" s="1064">
        <f>U264*('Ввод исходных данных'!$D$83-S264)</f>
        <v>299.2</v>
      </c>
      <c r="W264" s="1065">
        <v>-2.9</v>
      </c>
      <c r="X264" s="1065"/>
      <c r="Y264" s="1065">
        <f t="shared" si="38"/>
        <v>31</v>
      </c>
      <c r="Z264" s="1065">
        <f>Y264*('Ввод исходных данных'!$D$83-W264)</f>
        <v>709.9</v>
      </c>
      <c r="AA264" s="1066">
        <v>-15.5</v>
      </c>
      <c r="AB264" s="1066"/>
      <c r="AC264" s="1066">
        <f t="shared" si="39"/>
        <v>30</v>
      </c>
      <c r="AD264" s="1066">
        <f>AC264*('Ввод исходных данных'!$D$83-AA264)</f>
        <v>1065</v>
      </c>
      <c r="AE264" s="1067">
        <v>-24.6</v>
      </c>
      <c r="AF264" s="1067"/>
      <c r="AG264" s="1067">
        <v>31</v>
      </c>
      <c r="AH264" s="1067">
        <f>AG264*('Ввод исходных данных'!$D$83-AE264)</f>
        <v>1382.6000000000001</v>
      </c>
      <c r="AI264" s="1068">
        <v>-27.5</v>
      </c>
      <c r="AJ264" s="1068"/>
      <c r="AK264" s="1068">
        <v>31</v>
      </c>
      <c r="AL264" s="1068">
        <f>AK264*('Ввод исходных данных'!$D$83-AI264)</f>
        <v>1472.5</v>
      </c>
      <c r="AM264" s="1069">
        <v>-23.6</v>
      </c>
      <c r="AN264" s="1069"/>
      <c r="AO264" s="1069">
        <v>28</v>
      </c>
      <c r="AP264" s="1069">
        <f>AO264*('Ввод исходных данных'!$D$83-AM264)</f>
        <v>1220.8</v>
      </c>
      <c r="AQ264" s="1064">
        <v>-12.2</v>
      </c>
      <c r="AR264" s="1064"/>
      <c r="AS264" s="1064">
        <f t="shared" si="40"/>
        <v>31</v>
      </c>
      <c r="AT264" s="1064">
        <f>AS264*('Ввод исходных данных'!$D$83-AQ264)</f>
        <v>998.2</v>
      </c>
      <c r="AU264" s="1070">
        <v>-0.2</v>
      </c>
      <c r="AV264" s="1070"/>
      <c r="AW264" s="1070">
        <f t="shared" si="41"/>
        <v>30</v>
      </c>
      <c r="AX264" s="1070">
        <f>AW264*('Ввод исходных данных'!$D$83-AU264)</f>
        <v>606</v>
      </c>
      <c r="AY264" s="1071">
        <v>7</v>
      </c>
      <c r="AZ264" s="1071"/>
      <c r="BA264" s="1071">
        <f t="shared" si="42"/>
        <v>22</v>
      </c>
      <c r="BB264" s="1071">
        <f>BA264*('Ввод исходных данных'!$D$83-AY264)</f>
        <v>286</v>
      </c>
      <c r="BC264" s="1072">
        <v>12.7</v>
      </c>
      <c r="BD264" s="1072"/>
      <c r="BE264" s="1072">
        <f t="shared" si="34"/>
        <v>0</v>
      </c>
      <c r="BF264" s="1073">
        <f>BE264*('Ввод исходных данных'!$D$83-BC264)</f>
        <v>0</v>
      </c>
    </row>
    <row r="265" spans="2:58" ht="15.75" customHeight="1" x14ac:dyDescent="0.25">
      <c r="B265" s="1052" t="s">
        <v>620</v>
      </c>
      <c r="C265" s="1052" t="s">
        <v>12</v>
      </c>
      <c r="D265" s="1053" t="str">
        <f t="shared" si="43"/>
        <v>республика АлтайОнгудай</v>
      </c>
      <c r="E265" s="1054">
        <v>231</v>
      </c>
      <c r="F265" s="1055">
        <v>-8.3000000000000007</v>
      </c>
      <c r="G265" s="1055">
        <v>-38</v>
      </c>
      <c r="H265" s="1057">
        <v>2.2999999999999998</v>
      </c>
      <c r="I265" s="1058">
        <f>E265*('Ввод исходных данных'!$D$83-F265)</f>
        <v>6537.3</v>
      </c>
      <c r="J265" s="1059" t="str">
        <f t="shared" ref="J265:J328" si="46">CONCATENATE(ROUNDDOWN(I265/1000,0)*1000,"-",ROUNDUP(I265/1000,0)*1000)</f>
        <v>6000-7000</v>
      </c>
      <c r="K265" s="1060">
        <v>16.3</v>
      </c>
      <c r="L265" s="1060"/>
      <c r="M265" s="1061">
        <f t="shared" si="35"/>
        <v>0</v>
      </c>
      <c r="N265" s="1062">
        <f>M265*('Ввод исходных данных'!$D$83-K265)</f>
        <v>0</v>
      </c>
      <c r="O265" s="1063">
        <v>13.9</v>
      </c>
      <c r="P265" s="1063"/>
      <c r="Q265" s="1063">
        <f t="shared" si="36"/>
        <v>0</v>
      </c>
      <c r="R265" s="1063">
        <f>Q265*('Ввод исходных данных'!$D$83-O265)</f>
        <v>0</v>
      </c>
      <c r="S265" s="1064">
        <v>8.5</v>
      </c>
      <c r="T265" s="1064"/>
      <c r="U265" s="1064">
        <f t="shared" si="37"/>
        <v>9.5</v>
      </c>
      <c r="V265" s="1064">
        <f>U265*('Ввод исходных данных'!$D$83-S265)</f>
        <v>109.25</v>
      </c>
      <c r="W265" s="1065">
        <v>1.1000000000000001</v>
      </c>
      <c r="X265" s="1065"/>
      <c r="Y265" s="1065">
        <f t="shared" si="38"/>
        <v>31</v>
      </c>
      <c r="Z265" s="1065">
        <f>Y265*('Ввод исходных данных'!$D$83-W265)</f>
        <v>585.9</v>
      </c>
      <c r="AA265" s="1066">
        <v>-10.1</v>
      </c>
      <c r="AB265" s="1066"/>
      <c r="AC265" s="1066">
        <f t="shared" si="39"/>
        <v>30</v>
      </c>
      <c r="AD265" s="1066">
        <f>AC265*('Ввод исходных данных'!$D$83-AA265)</f>
        <v>903</v>
      </c>
      <c r="AE265" s="1067">
        <v>-18.3</v>
      </c>
      <c r="AF265" s="1067"/>
      <c r="AG265" s="1067">
        <v>31</v>
      </c>
      <c r="AH265" s="1067">
        <f>AG265*('Ввод исходных данных'!$D$83-AE265)</f>
        <v>1187.3</v>
      </c>
      <c r="AI265" s="1068">
        <v>-21.1</v>
      </c>
      <c r="AJ265" s="1068"/>
      <c r="AK265" s="1068">
        <v>31</v>
      </c>
      <c r="AL265" s="1068">
        <f>AK265*('Ввод исходных данных'!$D$83-AI265)</f>
        <v>1274.1000000000001</v>
      </c>
      <c r="AM265" s="1069">
        <v>-17.5</v>
      </c>
      <c r="AN265" s="1069"/>
      <c r="AO265" s="1069">
        <v>28</v>
      </c>
      <c r="AP265" s="1069">
        <f>AO265*('Ввод исходных данных'!$D$83-AM265)</f>
        <v>1050</v>
      </c>
      <c r="AQ265" s="1064">
        <v>-7.2</v>
      </c>
      <c r="AR265" s="1064"/>
      <c r="AS265" s="1064">
        <f t="shared" si="40"/>
        <v>31</v>
      </c>
      <c r="AT265" s="1064">
        <f>AS265*('Ввод исходных данных'!$D$83-AQ265)</f>
        <v>843.19999999999993</v>
      </c>
      <c r="AU265" s="1070">
        <v>3.5</v>
      </c>
      <c r="AV265" s="1070"/>
      <c r="AW265" s="1070">
        <f t="shared" si="41"/>
        <v>30</v>
      </c>
      <c r="AX265" s="1070">
        <f>AW265*('Ввод исходных данных'!$D$83-AU265)</f>
        <v>495</v>
      </c>
      <c r="AY265" s="1071">
        <v>10</v>
      </c>
      <c r="AZ265" s="1071"/>
      <c r="BA265" s="1071">
        <f t="shared" si="42"/>
        <v>9.5</v>
      </c>
      <c r="BB265" s="1071">
        <f>BA265*('Ввод исходных данных'!$D$83-AY265)</f>
        <v>95</v>
      </c>
      <c r="BC265" s="1072">
        <v>14.9</v>
      </c>
      <c r="BD265" s="1072"/>
      <c r="BE265" s="1072">
        <f t="shared" si="34"/>
        <v>0</v>
      </c>
      <c r="BF265" s="1073">
        <f>BE265*('Ввод исходных данных'!$D$83-BC265)</f>
        <v>0</v>
      </c>
    </row>
    <row r="266" spans="2:58" ht="15.75" customHeight="1" x14ac:dyDescent="0.25">
      <c r="B266" s="1076" t="s">
        <v>269</v>
      </c>
      <c r="C266" s="1076" t="s">
        <v>270</v>
      </c>
      <c r="D266" s="1053" t="str">
        <f t="shared" si="43"/>
        <v>Республика БашкортостанБелорецк</v>
      </c>
      <c r="E266" s="1054">
        <v>231</v>
      </c>
      <c r="F266" s="1055">
        <v>-6.5</v>
      </c>
      <c r="G266" s="1055">
        <v>-34</v>
      </c>
      <c r="H266" s="1057">
        <v>5.6</v>
      </c>
      <c r="I266" s="1058">
        <f>E266*('Ввод исходных данных'!$D$83-F266)</f>
        <v>6121.5</v>
      </c>
      <c r="J266" s="1059" t="str">
        <f t="shared" si="46"/>
        <v>6000-7000</v>
      </c>
      <c r="K266" s="1060">
        <v>16</v>
      </c>
      <c r="L266" s="1060"/>
      <c r="M266" s="1061">
        <f t="shared" si="35"/>
        <v>0</v>
      </c>
      <c r="N266" s="1062">
        <f>M266*('Ввод исходных данных'!$D$83-K266)</f>
        <v>0</v>
      </c>
      <c r="O266" s="1063">
        <v>14.2</v>
      </c>
      <c r="P266" s="1063"/>
      <c r="Q266" s="1063">
        <f t="shared" si="36"/>
        <v>0</v>
      </c>
      <c r="R266" s="1063">
        <f>Q266*('Ввод исходных данных'!$D$83-O266)</f>
        <v>0</v>
      </c>
      <c r="S266" s="1064">
        <v>8.6999999999999993</v>
      </c>
      <c r="T266" s="1064"/>
      <c r="U266" s="1064">
        <f t="shared" si="37"/>
        <v>9.5</v>
      </c>
      <c r="V266" s="1064">
        <f>U266*('Ввод исходных данных'!$D$83-S266)</f>
        <v>107.35000000000001</v>
      </c>
      <c r="W266" s="1065">
        <v>0.7</v>
      </c>
      <c r="X266" s="1065"/>
      <c r="Y266" s="1065">
        <f t="shared" si="38"/>
        <v>31</v>
      </c>
      <c r="Z266" s="1065">
        <f>Y266*('Ввод исходных данных'!$D$83-W266)</f>
        <v>598.30000000000007</v>
      </c>
      <c r="AA266" s="1066">
        <v>-7.4</v>
      </c>
      <c r="AB266" s="1066"/>
      <c r="AC266" s="1066">
        <f t="shared" si="39"/>
        <v>30</v>
      </c>
      <c r="AD266" s="1066">
        <f>AC266*('Ввод исходных данных'!$D$83-AA266)</f>
        <v>822</v>
      </c>
      <c r="AE266" s="1067">
        <v>-13.8</v>
      </c>
      <c r="AF266" s="1067"/>
      <c r="AG266" s="1067">
        <v>31</v>
      </c>
      <c r="AH266" s="1067">
        <f>AG266*('Ввод исходных данных'!$D$83-AE266)</f>
        <v>1047.8</v>
      </c>
      <c r="AI266" s="1068">
        <v>-16.2</v>
      </c>
      <c r="AJ266" s="1068"/>
      <c r="AK266" s="1068">
        <v>31</v>
      </c>
      <c r="AL266" s="1068">
        <f>AK266*('Ввод исходных данных'!$D$83-AI266)</f>
        <v>1122.2</v>
      </c>
      <c r="AM266" s="1069">
        <v>-14.4</v>
      </c>
      <c r="AN266" s="1069"/>
      <c r="AO266" s="1069">
        <v>28</v>
      </c>
      <c r="AP266" s="1069">
        <f>AO266*('Ввод исходных данных'!$D$83-AM266)</f>
        <v>963.19999999999993</v>
      </c>
      <c r="AQ266" s="1064">
        <v>-7.8</v>
      </c>
      <c r="AR266" s="1064"/>
      <c r="AS266" s="1064">
        <f t="shared" si="40"/>
        <v>31</v>
      </c>
      <c r="AT266" s="1064">
        <f>AS266*('Ввод исходных данных'!$D$83-AQ266)</f>
        <v>861.80000000000007</v>
      </c>
      <c r="AU266" s="1070">
        <v>2.7</v>
      </c>
      <c r="AV266" s="1070"/>
      <c r="AW266" s="1070">
        <f t="shared" si="41"/>
        <v>30</v>
      </c>
      <c r="AX266" s="1070">
        <f>AW266*('Ввод исходных данных'!$D$83-AU266)</f>
        <v>519</v>
      </c>
      <c r="AY266" s="1071">
        <v>10.199999999999999</v>
      </c>
      <c r="AZ266" s="1071"/>
      <c r="BA266" s="1071">
        <f t="shared" si="42"/>
        <v>9.5</v>
      </c>
      <c r="BB266" s="1071">
        <f>BA266*('Ввод исходных данных'!$D$83-AY266)</f>
        <v>93.100000000000009</v>
      </c>
      <c r="BC266" s="1072">
        <v>14.5</v>
      </c>
      <c r="BD266" s="1072"/>
      <c r="BE266" s="1072">
        <f t="shared" ref="BE266:BE329" si="47">IF((E266-273)&gt;0,IF((E266-273)/2&gt;30,30,(E266-273)/2),0)</f>
        <v>0</v>
      </c>
      <c r="BF266" s="1073">
        <f>BE266*('Ввод исходных данных'!$D$83-BC266)</f>
        <v>0</v>
      </c>
    </row>
    <row r="267" spans="2:58" ht="15.75" customHeight="1" x14ac:dyDescent="0.25">
      <c r="B267" s="1052" t="s">
        <v>269</v>
      </c>
      <c r="C267" s="1052" t="s">
        <v>271</v>
      </c>
      <c r="D267" s="1053" t="str">
        <f t="shared" si="43"/>
        <v>Республика БашкортостанДуван</v>
      </c>
      <c r="E267" s="1054">
        <v>224</v>
      </c>
      <c r="F267" s="1055">
        <v>-6</v>
      </c>
      <c r="G267" s="1055">
        <v>-34</v>
      </c>
      <c r="H267" s="1057">
        <v>3.6</v>
      </c>
      <c r="I267" s="1058">
        <f>E267*('Ввод исходных данных'!$D$83-F267)</f>
        <v>5824</v>
      </c>
      <c r="J267" s="1059" t="str">
        <f t="shared" si="46"/>
        <v>5000-6000</v>
      </c>
      <c r="K267" s="1060">
        <v>17.600000000000001</v>
      </c>
      <c r="L267" s="1060"/>
      <c r="M267" s="1061">
        <f t="shared" ref="M267:M330" si="48">MAX(0,E267-Q267-U267-Y267-AC267-AG267-AK267-AO267-AS267-AW267-BA267-BE267)</f>
        <v>0</v>
      </c>
      <c r="N267" s="1062">
        <f>M267*('Ввод исходных данных'!$D$83-K267)</f>
        <v>0</v>
      </c>
      <c r="O267" s="1063">
        <v>15.1</v>
      </c>
      <c r="P267" s="1063"/>
      <c r="Q267" s="1063">
        <f t="shared" ref="Q267:Q330" si="49">IF((E267-273)&gt;0,IF((E267-273)/2&gt;31,31,(E267-273)/2),0)</f>
        <v>0</v>
      </c>
      <c r="R267" s="1063">
        <f>Q267*('Ввод исходных данных'!$D$83-O267)</f>
        <v>0</v>
      </c>
      <c r="S267" s="1064">
        <v>9.5</v>
      </c>
      <c r="T267" s="1064"/>
      <c r="U267" s="1064">
        <f t="shared" ref="U267:U330" si="50">IF((E267-212)&gt;0,IF((E267-212)/2&gt;30,30,(E267-212)/2),0)</f>
        <v>6</v>
      </c>
      <c r="V267" s="1064">
        <f>U267*('Ввод исходных данных'!$D$83-S267)</f>
        <v>63</v>
      </c>
      <c r="W267" s="1065">
        <v>2.2000000000000002</v>
      </c>
      <c r="X267" s="1065"/>
      <c r="Y267" s="1065">
        <f t="shared" ref="Y267:Y330" si="51">IF((E267-151)&gt;0,IF((E267-151)/2&gt;31,31,(E267-151)/2),0)</f>
        <v>31</v>
      </c>
      <c r="Z267" s="1065">
        <f>Y267*('Ввод исходных данных'!$D$83-W267)</f>
        <v>551.80000000000007</v>
      </c>
      <c r="AA267" s="1066">
        <v>-5.7</v>
      </c>
      <c r="AB267" s="1066"/>
      <c r="AC267" s="1066">
        <f t="shared" ref="AC267:AC330" si="52">IF((E267-90)/2&gt;30,30,(E267-90)/2)</f>
        <v>30</v>
      </c>
      <c r="AD267" s="1066">
        <f>AC267*('Ввод исходных данных'!$D$83-AA267)</f>
        <v>771</v>
      </c>
      <c r="AE267" s="1067">
        <v>-11.8</v>
      </c>
      <c r="AF267" s="1067"/>
      <c r="AG267" s="1067">
        <v>31</v>
      </c>
      <c r="AH267" s="1067">
        <f>AG267*('Ввод исходных данных'!$D$83-AE267)</f>
        <v>985.80000000000007</v>
      </c>
      <c r="AI267" s="1068">
        <v>-14.3</v>
      </c>
      <c r="AJ267" s="1068"/>
      <c r="AK267" s="1068">
        <v>31</v>
      </c>
      <c r="AL267" s="1068">
        <f>AK267*('Ввод исходных данных'!$D$83-AI267)</f>
        <v>1063.3</v>
      </c>
      <c r="AM267" s="1069">
        <v>-13.1</v>
      </c>
      <c r="AN267" s="1069"/>
      <c r="AO267" s="1069">
        <v>28</v>
      </c>
      <c r="AP267" s="1069">
        <f>AO267*('Ввод исходных данных'!$D$83-AM267)</f>
        <v>926.80000000000007</v>
      </c>
      <c r="AQ267" s="1064">
        <v>-5.8</v>
      </c>
      <c r="AR267" s="1064"/>
      <c r="AS267" s="1064">
        <f t="shared" ref="AS267:AS330" si="53">IF((E267-90)/2&gt;31,31,(E267-90)/2)</f>
        <v>31</v>
      </c>
      <c r="AT267" s="1064">
        <f>AS267*('Ввод исходных данных'!$D$83-AQ267)</f>
        <v>799.80000000000007</v>
      </c>
      <c r="AU267" s="1070">
        <v>3.4</v>
      </c>
      <c r="AV267" s="1070"/>
      <c r="AW267" s="1070">
        <f t="shared" ref="AW267:AW330" si="54">IF((E267-151)&gt;0,IF((E267-151)/2&gt;30,30,(E267-151)/2),0)</f>
        <v>30</v>
      </c>
      <c r="AX267" s="1070">
        <f>AW267*('Ввод исходных данных'!$D$83-AU267)</f>
        <v>498.00000000000006</v>
      </c>
      <c r="AY267" s="1071">
        <v>11.1</v>
      </c>
      <c r="AZ267" s="1071"/>
      <c r="BA267" s="1071">
        <f t="shared" ref="BA267:BA330" si="55">IF((E267-212)&gt;0,IF((E267-212)/2&gt;31,31,(E267-212)/2),0)</f>
        <v>6</v>
      </c>
      <c r="BB267" s="1071">
        <f>BA267*('Ввод исходных данных'!$D$83-AY267)</f>
        <v>53.400000000000006</v>
      </c>
      <c r="BC267" s="1072">
        <v>15.9</v>
      </c>
      <c r="BD267" s="1072"/>
      <c r="BE267" s="1072">
        <f t="shared" si="47"/>
        <v>0</v>
      </c>
      <c r="BF267" s="1073">
        <f>BE267*('Ввод исходных данных'!$D$83-BC267)</f>
        <v>0</v>
      </c>
    </row>
    <row r="268" spans="2:58" ht="15.75" customHeight="1" x14ac:dyDescent="0.25">
      <c r="B268" s="1076" t="s">
        <v>269</v>
      </c>
      <c r="C268" s="1076" t="s">
        <v>272</v>
      </c>
      <c r="D268" s="1053" t="str">
        <f t="shared" ref="D268:D331" si="56">CONCATENATE(B268,C268)</f>
        <v>Республика БашкортостанМелеуз</v>
      </c>
      <c r="E268" s="1054">
        <v>210</v>
      </c>
      <c r="F268" s="1055">
        <v>-6.4</v>
      </c>
      <c r="G268" s="1055">
        <v>-35</v>
      </c>
      <c r="H268" s="1057">
        <v>5</v>
      </c>
      <c r="I268" s="1058">
        <f>E268*('Ввод исходных данных'!$D$83-F268)</f>
        <v>5544</v>
      </c>
      <c r="J268" s="1059" t="str">
        <f t="shared" si="46"/>
        <v>5000-6000</v>
      </c>
      <c r="K268" s="1060">
        <v>19.600000000000001</v>
      </c>
      <c r="L268" s="1060"/>
      <c r="M268" s="1061">
        <f t="shared" si="48"/>
        <v>0</v>
      </c>
      <c r="N268" s="1062">
        <f>M268*('Ввод исходных данных'!$D$83-K268)</f>
        <v>0</v>
      </c>
      <c r="O268" s="1063">
        <v>17.899999999999999</v>
      </c>
      <c r="P268" s="1063"/>
      <c r="Q268" s="1063">
        <f t="shared" si="49"/>
        <v>0</v>
      </c>
      <c r="R268" s="1063">
        <f>Q268*('Ввод исходных данных'!$D$83-O268)</f>
        <v>0</v>
      </c>
      <c r="S268" s="1064">
        <v>11.7</v>
      </c>
      <c r="T268" s="1064"/>
      <c r="U268" s="1064">
        <f t="shared" si="50"/>
        <v>0</v>
      </c>
      <c r="V268" s="1064">
        <f>U268*('Ввод исходных данных'!$D$83-S268)</f>
        <v>0</v>
      </c>
      <c r="W268" s="1065">
        <v>3.2</v>
      </c>
      <c r="X268" s="1065"/>
      <c r="Y268" s="1065">
        <f t="shared" si="51"/>
        <v>29.5</v>
      </c>
      <c r="Z268" s="1065">
        <f>Y268*('Ввод исходных данных'!$D$83-W268)</f>
        <v>495.6</v>
      </c>
      <c r="AA268" s="1066">
        <v>-5.0999999999999996</v>
      </c>
      <c r="AB268" s="1066"/>
      <c r="AC268" s="1066">
        <f t="shared" si="52"/>
        <v>30</v>
      </c>
      <c r="AD268" s="1066">
        <f>AC268*('Ввод исходных данных'!$D$83-AA268)</f>
        <v>753</v>
      </c>
      <c r="AE268" s="1067">
        <v>-11.8</v>
      </c>
      <c r="AF268" s="1067"/>
      <c r="AG268" s="1067">
        <v>31</v>
      </c>
      <c r="AH268" s="1067">
        <f>AG268*('Ввод исходных данных'!$D$83-AE268)</f>
        <v>985.80000000000007</v>
      </c>
      <c r="AI268" s="1068">
        <v>-15.5</v>
      </c>
      <c r="AJ268" s="1068"/>
      <c r="AK268" s="1068">
        <v>31</v>
      </c>
      <c r="AL268" s="1068">
        <f>AK268*('Ввод исходных данных'!$D$83-AI268)</f>
        <v>1100.5</v>
      </c>
      <c r="AM268" s="1069">
        <v>-14.4</v>
      </c>
      <c r="AN268" s="1069"/>
      <c r="AO268" s="1069">
        <v>28</v>
      </c>
      <c r="AP268" s="1069">
        <f>AO268*('Ввод исходных данных'!$D$83-AM268)</f>
        <v>963.19999999999993</v>
      </c>
      <c r="AQ268" s="1064">
        <v>-7.5</v>
      </c>
      <c r="AR268" s="1064"/>
      <c r="AS268" s="1064">
        <f t="shared" si="53"/>
        <v>31</v>
      </c>
      <c r="AT268" s="1064">
        <f>AS268*('Ввод исходных данных'!$D$83-AQ268)</f>
        <v>852.5</v>
      </c>
      <c r="AU268" s="1070">
        <v>4.5999999999999996</v>
      </c>
      <c r="AV268" s="1070"/>
      <c r="AW268" s="1070">
        <f t="shared" si="54"/>
        <v>29.5</v>
      </c>
      <c r="AX268" s="1070">
        <f>AW268*('Ввод исходных данных'!$D$83-AU268)</f>
        <v>454.3</v>
      </c>
      <c r="AY268" s="1071">
        <v>13.6</v>
      </c>
      <c r="AZ268" s="1071"/>
      <c r="BA268" s="1071">
        <f t="shared" si="55"/>
        <v>0</v>
      </c>
      <c r="BB268" s="1071">
        <f>BA268*('Ввод исходных данных'!$D$83-AY268)</f>
        <v>0</v>
      </c>
      <c r="BC268" s="1072">
        <v>17.8</v>
      </c>
      <c r="BD268" s="1072"/>
      <c r="BE268" s="1072">
        <f t="shared" si="47"/>
        <v>0</v>
      </c>
      <c r="BF268" s="1073">
        <f>BE268*('Ввод исходных данных'!$D$83-BC268)</f>
        <v>0</v>
      </c>
    </row>
    <row r="269" spans="2:58" ht="15.75" customHeight="1" x14ac:dyDescent="0.25">
      <c r="B269" s="1052" t="s">
        <v>269</v>
      </c>
      <c r="C269" s="1052" t="s">
        <v>273</v>
      </c>
      <c r="D269" s="1053" t="str">
        <f t="shared" si="56"/>
        <v>Республика БашкортостанУфа</v>
      </c>
      <c r="E269" s="1054">
        <v>209</v>
      </c>
      <c r="F269" s="1055">
        <v>-6</v>
      </c>
      <c r="G269" s="1055">
        <v>-33</v>
      </c>
      <c r="H269" s="1057">
        <v>4</v>
      </c>
      <c r="I269" s="1058">
        <f>E269*('Ввод исходных данных'!$D$83-F269)</f>
        <v>5434</v>
      </c>
      <c r="J269" s="1059" t="str">
        <f t="shared" si="46"/>
        <v>5000-6000</v>
      </c>
      <c r="K269" s="1060">
        <v>19.399999999999999</v>
      </c>
      <c r="L269" s="1060"/>
      <c r="M269" s="1061">
        <f t="shared" si="48"/>
        <v>0</v>
      </c>
      <c r="N269" s="1062">
        <f>M269*('Ввод исходных данных'!$D$83-K269)</f>
        <v>0</v>
      </c>
      <c r="O269" s="1063">
        <v>17</v>
      </c>
      <c r="P269" s="1063"/>
      <c r="Q269" s="1063">
        <f t="shared" si="49"/>
        <v>0</v>
      </c>
      <c r="R269" s="1063">
        <f>Q269*('Ввод исходных данных'!$D$83-O269)</f>
        <v>0</v>
      </c>
      <c r="S269" s="1064">
        <v>11.2</v>
      </c>
      <c r="T269" s="1064"/>
      <c r="U269" s="1064">
        <f t="shared" si="50"/>
        <v>0</v>
      </c>
      <c r="V269" s="1064">
        <f>U269*('Ввод исходных данных'!$D$83-S269)</f>
        <v>0</v>
      </c>
      <c r="W269" s="1065">
        <v>3.8</v>
      </c>
      <c r="X269" s="1065"/>
      <c r="Y269" s="1065">
        <f t="shared" si="51"/>
        <v>29</v>
      </c>
      <c r="Z269" s="1065">
        <f>Y269*('Ввод исходных данных'!$D$83-W269)</f>
        <v>469.79999999999995</v>
      </c>
      <c r="AA269" s="1066">
        <v>-4</v>
      </c>
      <c r="AB269" s="1066"/>
      <c r="AC269" s="1066">
        <f t="shared" si="52"/>
        <v>30</v>
      </c>
      <c r="AD269" s="1066">
        <f>AC269*('Ввод исходных данных'!$D$83-AA269)</f>
        <v>720</v>
      </c>
      <c r="AE269" s="1067">
        <v>-11</v>
      </c>
      <c r="AF269" s="1067"/>
      <c r="AG269" s="1067">
        <v>31</v>
      </c>
      <c r="AH269" s="1067">
        <f>AG269*('Ввод исходных данных'!$D$83-AE269)</f>
        <v>961</v>
      </c>
      <c r="AI269" s="1068">
        <v>-13.8</v>
      </c>
      <c r="AJ269" s="1068"/>
      <c r="AK269" s="1068">
        <v>31</v>
      </c>
      <c r="AL269" s="1068">
        <f>AK269*('Ввод исходных данных'!$D$83-AI269)</f>
        <v>1047.8</v>
      </c>
      <c r="AM269" s="1069">
        <v>-12.7</v>
      </c>
      <c r="AN269" s="1069"/>
      <c r="AO269" s="1069">
        <v>28</v>
      </c>
      <c r="AP269" s="1069">
        <f>AO269*('Ввод исходных данных'!$D$83-AM269)</f>
        <v>915.60000000000014</v>
      </c>
      <c r="AQ269" s="1064">
        <v>-5.4</v>
      </c>
      <c r="AR269" s="1064"/>
      <c r="AS269" s="1064">
        <f t="shared" si="53"/>
        <v>31</v>
      </c>
      <c r="AT269" s="1064">
        <f>AS269*('Ввод исходных данных'!$D$83-AQ269)</f>
        <v>787.4</v>
      </c>
      <c r="AU269" s="1070">
        <v>5.2</v>
      </c>
      <c r="AV269" s="1070"/>
      <c r="AW269" s="1070">
        <f t="shared" si="54"/>
        <v>29</v>
      </c>
      <c r="AX269" s="1070">
        <f>AW269*('Ввод исходных данных'!$D$83-AU269)</f>
        <v>429.20000000000005</v>
      </c>
      <c r="AY269" s="1071">
        <v>13.2</v>
      </c>
      <c r="AZ269" s="1071"/>
      <c r="BA269" s="1071">
        <f t="shared" si="55"/>
        <v>0</v>
      </c>
      <c r="BB269" s="1071">
        <f>BA269*('Ввод исходных данных'!$D$83-AY269)</f>
        <v>0</v>
      </c>
      <c r="BC269" s="1072">
        <v>17.600000000000001</v>
      </c>
      <c r="BD269" s="1072"/>
      <c r="BE269" s="1072">
        <f t="shared" si="47"/>
        <v>0</v>
      </c>
      <c r="BF269" s="1073">
        <f>BE269*('Ввод исходных данных'!$D$83-BC269)</f>
        <v>0</v>
      </c>
    </row>
    <row r="270" spans="2:58" ht="15.75" customHeight="1" x14ac:dyDescent="0.25">
      <c r="B270" s="1076" t="s">
        <v>269</v>
      </c>
      <c r="C270" s="1076" t="s">
        <v>274</v>
      </c>
      <c r="D270" s="1053" t="str">
        <f t="shared" si="56"/>
        <v>Республика БашкортостанЯнаул</v>
      </c>
      <c r="E270" s="1054">
        <v>218</v>
      </c>
      <c r="F270" s="1055">
        <v>-6.1</v>
      </c>
      <c r="G270" s="1055">
        <v>-34</v>
      </c>
      <c r="H270" s="1057">
        <v>6</v>
      </c>
      <c r="I270" s="1058">
        <f>E270*('Ввод исходных данных'!$D$83-F270)</f>
        <v>5689.8</v>
      </c>
      <c r="J270" s="1059" t="str">
        <f t="shared" si="46"/>
        <v>5000-6000</v>
      </c>
      <c r="K270" s="1060">
        <v>18.8</v>
      </c>
      <c r="L270" s="1060"/>
      <c r="M270" s="1061">
        <f t="shared" si="48"/>
        <v>0</v>
      </c>
      <c r="N270" s="1062">
        <f>M270*('Ввод исходных данных'!$D$83-K270)</f>
        <v>0</v>
      </c>
      <c r="O270" s="1063">
        <v>16.100000000000001</v>
      </c>
      <c r="P270" s="1063"/>
      <c r="Q270" s="1063">
        <f t="shared" si="49"/>
        <v>0</v>
      </c>
      <c r="R270" s="1063">
        <f>Q270*('Ввод исходных данных'!$D$83-O270)</f>
        <v>0</v>
      </c>
      <c r="S270" s="1064">
        <v>10.3</v>
      </c>
      <c r="T270" s="1064"/>
      <c r="U270" s="1064">
        <f t="shared" si="50"/>
        <v>3</v>
      </c>
      <c r="V270" s="1064">
        <f>U270*('Ввод исходных данных'!$D$83-S270)</f>
        <v>29.099999999999998</v>
      </c>
      <c r="W270" s="1065">
        <v>3</v>
      </c>
      <c r="X270" s="1065"/>
      <c r="Y270" s="1065">
        <f t="shared" si="51"/>
        <v>31</v>
      </c>
      <c r="Z270" s="1065">
        <f>Y270*('Ввод исходных данных'!$D$83-W270)</f>
        <v>527</v>
      </c>
      <c r="AA270" s="1066">
        <v>-4.8</v>
      </c>
      <c r="AB270" s="1066"/>
      <c r="AC270" s="1066">
        <f t="shared" si="52"/>
        <v>30</v>
      </c>
      <c r="AD270" s="1066">
        <f>AC270*('Ввод исходных данных'!$D$83-AA270)</f>
        <v>744</v>
      </c>
      <c r="AE270" s="1067">
        <v>-11.3</v>
      </c>
      <c r="AF270" s="1067"/>
      <c r="AG270" s="1067">
        <v>31</v>
      </c>
      <c r="AH270" s="1067">
        <f>AG270*('Ввод исходных данных'!$D$83-AE270)</f>
        <v>970.30000000000007</v>
      </c>
      <c r="AI270" s="1068">
        <v>-14.2</v>
      </c>
      <c r="AJ270" s="1068"/>
      <c r="AK270" s="1068">
        <v>31</v>
      </c>
      <c r="AL270" s="1068">
        <f>AK270*('Ввод исходных данных'!$D$83-AI270)</f>
        <v>1060.2</v>
      </c>
      <c r="AM270" s="1069">
        <v>-13.5</v>
      </c>
      <c r="AN270" s="1069"/>
      <c r="AO270" s="1069">
        <v>28</v>
      </c>
      <c r="AP270" s="1069">
        <f>AO270*('Ввод исходных данных'!$D$83-AM270)</f>
        <v>938</v>
      </c>
      <c r="AQ270" s="1064">
        <v>-6.3</v>
      </c>
      <c r="AR270" s="1064"/>
      <c r="AS270" s="1064">
        <f t="shared" si="53"/>
        <v>31</v>
      </c>
      <c r="AT270" s="1064">
        <f>AS270*('Ввод исходных данных'!$D$83-AQ270)</f>
        <v>815.30000000000007</v>
      </c>
      <c r="AU270" s="1070">
        <v>3.5</v>
      </c>
      <c r="AV270" s="1070"/>
      <c r="AW270" s="1070">
        <f t="shared" si="54"/>
        <v>30</v>
      </c>
      <c r="AX270" s="1070">
        <f>AW270*('Ввод исходных данных'!$D$83-AU270)</f>
        <v>495</v>
      </c>
      <c r="AY270" s="1071">
        <v>11.9</v>
      </c>
      <c r="AZ270" s="1071"/>
      <c r="BA270" s="1071">
        <f t="shared" si="55"/>
        <v>3</v>
      </c>
      <c r="BB270" s="1071">
        <f>BA270*('Ввод исходных данных'!$D$83-AY270)</f>
        <v>24.299999999999997</v>
      </c>
      <c r="BC270" s="1072">
        <v>16.7</v>
      </c>
      <c r="BD270" s="1072"/>
      <c r="BE270" s="1072">
        <f t="shared" si="47"/>
        <v>0</v>
      </c>
      <c r="BF270" s="1073">
        <f>BE270*('Ввод исходных данных'!$D$83-BC270)</f>
        <v>0</v>
      </c>
    </row>
    <row r="271" spans="2:58" ht="15.75" customHeight="1" x14ac:dyDescent="0.25">
      <c r="B271" s="1052" t="s">
        <v>275</v>
      </c>
      <c r="C271" s="1052" t="s">
        <v>276</v>
      </c>
      <c r="D271" s="1053" t="str">
        <f t="shared" si="56"/>
        <v>Республика БурятияБабушкин</v>
      </c>
      <c r="E271" s="1054">
        <v>250</v>
      </c>
      <c r="F271" s="1055">
        <v>-5.5</v>
      </c>
      <c r="G271" s="1055">
        <v>-29</v>
      </c>
      <c r="H271" s="1057">
        <v>5.7</v>
      </c>
      <c r="I271" s="1058">
        <f>E271*('Ввод исходных данных'!$D$83-F271)</f>
        <v>6375</v>
      </c>
      <c r="J271" s="1059" t="str">
        <f t="shared" si="46"/>
        <v>6000-7000</v>
      </c>
      <c r="K271" s="1060">
        <v>15</v>
      </c>
      <c r="L271" s="1060"/>
      <c r="M271" s="1061">
        <f t="shared" si="48"/>
        <v>0</v>
      </c>
      <c r="N271" s="1062">
        <f>M271*('Ввод исходных данных'!$D$83-K271)</f>
        <v>0</v>
      </c>
      <c r="O271" s="1063">
        <v>14.5</v>
      </c>
      <c r="P271" s="1063"/>
      <c r="Q271" s="1063">
        <f t="shared" si="49"/>
        <v>0</v>
      </c>
      <c r="R271" s="1063">
        <f>Q271*('Ввод исходных данных'!$D$83-O271)</f>
        <v>0</v>
      </c>
      <c r="S271" s="1064">
        <v>9.1</v>
      </c>
      <c r="T271" s="1064"/>
      <c r="U271" s="1064">
        <f t="shared" si="50"/>
        <v>19</v>
      </c>
      <c r="V271" s="1064">
        <f>U271*('Ввод исходных данных'!$D$83-S271)</f>
        <v>207.1</v>
      </c>
      <c r="W271" s="1065">
        <v>2.7</v>
      </c>
      <c r="X271" s="1065"/>
      <c r="Y271" s="1065">
        <f t="shared" si="51"/>
        <v>31</v>
      </c>
      <c r="Z271" s="1065">
        <f>Y271*('Ввод исходных данных'!$D$83-W271)</f>
        <v>536.30000000000007</v>
      </c>
      <c r="AA271" s="1066">
        <v>-4.3</v>
      </c>
      <c r="AB271" s="1066"/>
      <c r="AC271" s="1066">
        <f t="shared" si="52"/>
        <v>30</v>
      </c>
      <c r="AD271" s="1066">
        <f>AC271*('Ввод исходных данных'!$D$83-AA271)</f>
        <v>729</v>
      </c>
      <c r="AE271" s="1067">
        <v>-9.3000000000000007</v>
      </c>
      <c r="AF271" s="1067"/>
      <c r="AG271" s="1067">
        <v>31</v>
      </c>
      <c r="AH271" s="1067">
        <f>AG271*('Ввод исходных данных'!$D$83-AE271)</f>
        <v>908.30000000000007</v>
      </c>
      <c r="AI271" s="1068">
        <v>-15.5</v>
      </c>
      <c r="AJ271" s="1068"/>
      <c r="AK271" s="1068">
        <v>31</v>
      </c>
      <c r="AL271" s="1068">
        <f>AK271*('Ввод исходных данных'!$D$83-AI271)</f>
        <v>1100.5</v>
      </c>
      <c r="AM271" s="1069">
        <v>-16</v>
      </c>
      <c r="AN271" s="1069"/>
      <c r="AO271" s="1069">
        <v>28</v>
      </c>
      <c r="AP271" s="1069">
        <f>AO271*('Ввод исходных данных'!$D$83-AM271)</f>
        <v>1008</v>
      </c>
      <c r="AQ271" s="1064">
        <v>-8.9</v>
      </c>
      <c r="AR271" s="1064"/>
      <c r="AS271" s="1064">
        <f t="shared" si="53"/>
        <v>31</v>
      </c>
      <c r="AT271" s="1064">
        <f>AS271*('Ввод исходных данных'!$D$83-AQ271)</f>
        <v>895.9</v>
      </c>
      <c r="AU271" s="1070">
        <v>-0.5</v>
      </c>
      <c r="AV271" s="1070"/>
      <c r="AW271" s="1070">
        <f t="shared" si="54"/>
        <v>30</v>
      </c>
      <c r="AX271" s="1070">
        <f>AW271*('Ввод исходных данных'!$D$83-AU271)</f>
        <v>615</v>
      </c>
      <c r="AY271" s="1071">
        <v>6</v>
      </c>
      <c r="AZ271" s="1071"/>
      <c r="BA271" s="1071">
        <f t="shared" si="55"/>
        <v>19</v>
      </c>
      <c r="BB271" s="1071">
        <f>BA271*('Ввод исходных данных'!$D$83-AY271)</f>
        <v>266</v>
      </c>
      <c r="BC271" s="1072">
        <v>11</v>
      </c>
      <c r="BD271" s="1072"/>
      <c r="BE271" s="1072">
        <f t="shared" si="47"/>
        <v>0</v>
      </c>
      <c r="BF271" s="1073">
        <f>BE271*('Ввод исходных данных'!$D$83-BC271)</f>
        <v>0</v>
      </c>
    </row>
    <row r="272" spans="2:58" ht="15.75" customHeight="1" x14ac:dyDescent="0.25">
      <c r="B272" s="1076" t="s">
        <v>275</v>
      </c>
      <c r="C272" s="1076" t="s">
        <v>1634</v>
      </c>
      <c r="D272" s="1053" t="str">
        <f t="shared" si="56"/>
        <v>Республика БурятияБагдарин</v>
      </c>
      <c r="E272" s="1054">
        <v>261</v>
      </c>
      <c r="F272" s="1055">
        <v>-13.4</v>
      </c>
      <c r="G272" s="1055">
        <v>-42</v>
      </c>
      <c r="H272" s="1057">
        <v>3.2</v>
      </c>
      <c r="I272" s="1058">
        <f>E272*('Ввод исходных данных'!$D$83-F272)</f>
        <v>8717.4</v>
      </c>
      <c r="J272" s="1059" t="str">
        <f t="shared" si="46"/>
        <v>8000-9000</v>
      </c>
      <c r="K272" s="1060">
        <v>15.7</v>
      </c>
      <c r="L272" s="1060"/>
      <c r="M272" s="1061">
        <f t="shared" si="48"/>
        <v>0</v>
      </c>
      <c r="N272" s="1062">
        <f>M272*('Ввод исходных данных'!$D$83-K272)</f>
        <v>0</v>
      </c>
      <c r="O272" s="1063">
        <v>12.7</v>
      </c>
      <c r="P272" s="1063"/>
      <c r="Q272" s="1063">
        <f t="shared" si="49"/>
        <v>0</v>
      </c>
      <c r="R272" s="1063">
        <f>Q272*('Ввод исходных данных'!$D$83-O272)</f>
        <v>0</v>
      </c>
      <c r="S272" s="1064">
        <v>5.4</v>
      </c>
      <c r="T272" s="1064"/>
      <c r="U272" s="1064">
        <f t="shared" si="50"/>
        <v>24.5</v>
      </c>
      <c r="V272" s="1064">
        <f>U272*('Ввод исходных данных'!$D$83-S272)</f>
        <v>357.7</v>
      </c>
      <c r="W272" s="1065">
        <v>-4.9000000000000004</v>
      </c>
      <c r="X272" s="1065"/>
      <c r="Y272" s="1065">
        <f t="shared" si="51"/>
        <v>31</v>
      </c>
      <c r="Z272" s="1065">
        <f>Y272*('Ввод исходных данных'!$D$83-W272)</f>
        <v>771.9</v>
      </c>
      <c r="AA272" s="1066">
        <v>-18</v>
      </c>
      <c r="AB272" s="1066"/>
      <c r="AC272" s="1066">
        <f t="shared" si="52"/>
        <v>30</v>
      </c>
      <c r="AD272" s="1066">
        <f>AC272*('Ввод исходных данных'!$D$83-AA272)</f>
        <v>1140</v>
      </c>
      <c r="AE272" s="1067">
        <v>-27</v>
      </c>
      <c r="AF272" s="1067"/>
      <c r="AG272" s="1067">
        <v>31</v>
      </c>
      <c r="AH272" s="1067">
        <f>AG272*('Ввод исходных данных'!$D$83-AE272)</f>
        <v>1457</v>
      </c>
      <c r="AI272" s="1068">
        <v>-28.6</v>
      </c>
      <c r="AJ272" s="1068"/>
      <c r="AK272" s="1068">
        <v>31</v>
      </c>
      <c r="AL272" s="1068">
        <f>AK272*('Ввод исходных данных'!$D$83-AI272)</f>
        <v>1506.6000000000001</v>
      </c>
      <c r="AM272" s="1069">
        <v>-23.8</v>
      </c>
      <c r="AN272" s="1069"/>
      <c r="AO272" s="1069">
        <v>28</v>
      </c>
      <c r="AP272" s="1069">
        <f>AO272*('Ввод исходных данных'!$D$83-AM272)</f>
        <v>1226.3999999999999</v>
      </c>
      <c r="AQ272" s="1064">
        <v>-14.3</v>
      </c>
      <c r="AR272" s="1064"/>
      <c r="AS272" s="1064">
        <f t="shared" si="53"/>
        <v>31</v>
      </c>
      <c r="AT272" s="1064">
        <f>AS272*('Ввод исходных данных'!$D$83-AQ272)</f>
        <v>1063.3</v>
      </c>
      <c r="AU272" s="1070">
        <v>-2.9</v>
      </c>
      <c r="AV272" s="1070"/>
      <c r="AW272" s="1070">
        <f t="shared" si="54"/>
        <v>30</v>
      </c>
      <c r="AX272" s="1070">
        <f>AW272*('Ввод исходных данных'!$D$83-AU272)</f>
        <v>687</v>
      </c>
      <c r="AY272" s="1071">
        <v>6</v>
      </c>
      <c r="AZ272" s="1071"/>
      <c r="BA272" s="1071">
        <f t="shared" si="55"/>
        <v>24.5</v>
      </c>
      <c r="BB272" s="1071">
        <f>BA272*('Ввод исходных данных'!$D$83-AY272)</f>
        <v>343</v>
      </c>
      <c r="BC272" s="1072">
        <v>13</v>
      </c>
      <c r="BD272" s="1072"/>
      <c r="BE272" s="1072">
        <f t="shared" si="47"/>
        <v>0</v>
      </c>
      <c r="BF272" s="1073">
        <f>BE272*('Ввод исходных данных'!$D$83-BC272)</f>
        <v>0</v>
      </c>
    </row>
    <row r="273" spans="2:58" ht="15.75" customHeight="1" x14ac:dyDescent="0.25">
      <c r="B273" s="1052" t="s">
        <v>275</v>
      </c>
      <c r="C273" s="1052" t="s">
        <v>277</v>
      </c>
      <c r="D273" s="1053" t="str">
        <f t="shared" si="56"/>
        <v>Республика БурятияБаргузин</v>
      </c>
      <c r="E273" s="1054">
        <v>240</v>
      </c>
      <c r="F273" s="1055">
        <v>-11.7</v>
      </c>
      <c r="G273" s="1055">
        <v>-41</v>
      </c>
      <c r="H273" s="1057">
        <f>H272</f>
        <v>3.2</v>
      </c>
      <c r="I273" s="1058">
        <f>E273*('Ввод исходных данных'!$D$83-F273)</f>
        <v>7608</v>
      </c>
      <c r="J273" s="1059" t="str">
        <f t="shared" si="46"/>
        <v>7000-8000</v>
      </c>
      <c r="K273" s="1060">
        <v>18.600000000000001</v>
      </c>
      <c r="L273" s="1060"/>
      <c r="M273" s="1061">
        <f t="shared" si="48"/>
        <v>0</v>
      </c>
      <c r="N273" s="1062">
        <f>M273*('Ввод исходных данных'!$D$83-K273)</f>
        <v>0</v>
      </c>
      <c r="O273" s="1063">
        <v>16</v>
      </c>
      <c r="P273" s="1063"/>
      <c r="Q273" s="1063">
        <f t="shared" si="49"/>
        <v>0</v>
      </c>
      <c r="R273" s="1063">
        <f>Q273*('Ввод исходных данных'!$D$83-O273)</f>
        <v>0</v>
      </c>
      <c r="S273" s="1064">
        <v>8.6</v>
      </c>
      <c r="T273" s="1064"/>
      <c r="U273" s="1064">
        <f t="shared" si="50"/>
        <v>14</v>
      </c>
      <c r="V273" s="1064">
        <f>U273*('Ввод исходных данных'!$D$83-S273)</f>
        <v>159.6</v>
      </c>
      <c r="W273" s="1065">
        <v>-0.5</v>
      </c>
      <c r="X273" s="1065"/>
      <c r="Y273" s="1065">
        <f t="shared" si="51"/>
        <v>31</v>
      </c>
      <c r="Z273" s="1065">
        <f>Y273*('Ввод исходных данных'!$D$83-W273)</f>
        <v>635.5</v>
      </c>
      <c r="AA273" s="1066">
        <v>-12</v>
      </c>
      <c r="AB273" s="1066"/>
      <c r="AC273" s="1066">
        <f t="shared" si="52"/>
        <v>30</v>
      </c>
      <c r="AD273" s="1066">
        <f>AC273*('Ввод исходных данных'!$D$83-AA273)</f>
        <v>960</v>
      </c>
      <c r="AE273" s="1067">
        <v>-22.2</v>
      </c>
      <c r="AF273" s="1067"/>
      <c r="AG273" s="1067">
        <v>31</v>
      </c>
      <c r="AH273" s="1067">
        <f>AG273*('Ввод исходных данных'!$D$83-AE273)</f>
        <v>1308.2</v>
      </c>
      <c r="AI273" s="1068">
        <v>-27.4</v>
      </c>
      <c r="AJ273" s="1068"/>
      <c r="AK273" s="1068">
        <v>31</v>
      </c>
      <c r="AL273" s="1068">
        <f>AK273*('Ввод исходных данных'!$D$83-AI273)</f>
        <v>1469.3999999999999</v>
      </c>
      <c r="AM273" s="1069">
        <v>-22.6</v>
      </c>
      <c r="AN273" s="1069"/>
      <c r="AO273" s="1069">
        <v>28</v>
      </c>
      <c r="AP273" s="1069">
        <f>AO273*('Ввод исходных данных'!$D$83-AM273)</f>
        <v>1192.8</v>
      </c>
      <c r="AQ273" s="1064">
        <v>-10.9</v>
      </c>
      <c r="AR273" s="1064"/>
      <c r="AS273" s="1064">
        <f t="shared" si="53"/>
        <v>31</v>
      </c>
      <c r="AT273" s="1064">
        <f>AS273*('Ввод исходных данных'!$D$83-AQ273)</f>
        <v>957.9</v>
      </c>
      <c r="AU273" s="1070">
        <v>0.2</v>
      </c>
      <c r="AV273" s="1070"/>
      <c r="AW273" s="1070">
        <f t="shared" si="54"/>
        <v>30</v>
      </c>
      <c r="AX273" s="1070">
        <f>AW273*('Ввод исходных данных'!$D$83-AU273)</f>
        <v>594</v>
      </c>
      <c r="AY273" s="1071">
        <v>8.5</v>
      </c>
      <c r="AZ273" s="1071"/>
      <c r="BA273" s="1071">
        <f t="shared" si="55"/>
        <v>14</v>
      </c>
      <c r="BB273" s="1071">
        <f>BA273*('Ввод исходных данных'!$D$83-AY273)</f>
        <v>161</v>
      </c>
      <c r="BC273" s="1072">
        <v>15.5</v>
      </c>
      <c r="BD273" s="1072"/>
      <c r="BE273" s="1072">
        <f t="shared" si="47"/>
        <v>0</v>
      </c>
      <c r="BF273" s="1073">
        <f>BE273*('Ввод исходных данных'!$D$83-BC273)</f>
        <v>0</v>
      </c>
    </row>
    <row r="274" spans="2:58" ht="15.75" customHeight="1" x14ac:dyDescent="0.25">
      <c r="B274" s="1076" t="s">
        <v>275</v>
      </c>
      <c r="C274" s="1076" t="s">
        <v>279</v>
      </c>
      <c r="D274" s="1053" t="str">
        <f t="shared" si="56"/>
        <v>Республика БурятияКяхта</v>
      </c>
      <c r="E274" s="1054">
        <v>229</v>
      </c>
      <c r="F274" s="1055">
        <v>-8.6999999999999993</v>
      </c>
      <c r="G274" s="1055">
        <v>-31</v>
      </c>
      <c r="H274" s="1057">
        <v>2.2000000000000002</v>
      </c>
      <c r="I274" s="1058">
        <f>E274*('Ввод исходных данных'!$D$83-F274)</f>
        <v>6572.3</v>
      </c>
      <c r="J274" s="1059" t="str">
        <f t="shared" si="46"/>
        <v>6000-7000</v>
      </c>
      <c r="K274" s="1060">
        <v>18.899999999999999</v>
      </c>
      <c r="L274" s="1060"/>
      <c r="M274" s="1061">
        <f t="shared" si="48"/>
        <v>0</v>
      </c>
      <c r="N274" s="1062">
        <f>M274*('Ввод исходных данных'!$D$83-K274)</f>
        <v>0</v>
      </c>
      <c r="O274" s="1063">
        <v>16.399999999999999</v>
      </c>
      <c r="P274" s="1063"/>
      <c r="Q274" s="1063">
        <f t="shared" si="49"/>
        <v>0</v>
      </c>
      <c r="R274" s="1063">
        <f>Q274*('Ввод исходных данных'!$D$83-O274)</f>
        <v>0</v>
      </c>
      <c r="S274" s="1064">
        <v>9.5</v>
      </c>
      <c r="T274" s="1064"/>
      <c r="U274" s="1064">
        <f t="shared" si="50"/>
        <v>8.5</v>
      </c>
      <c r="V274" s="1064">
        <f>U274*('Ввод исходных данных'!$D$83-S274)</f>
        <v>89.25</v>
      </c>
      <c r="W274" s="1065">
        <v>0.9</v>
      </c>
      <c r="X274" s="1065"/>
      <c r="Y274" s="1065">
        <f t="shared" si="51"/>
        <v>31</v>
      </c>
      <c r="Z274" s="1065">
        <f>Y274*('Ввод исходных данных'!$D$83-W274)</f>
        <v>592.1</v>
      </c>
      <c r="AA274" s="1066">
        <v>-9.4</v>
      </c>
      <c r="AB274" s="1066"/>
      <c r="AC274" s="1066">
        <f t="shared" si="52"/>
        <v>30</v>
      </c>
      <c r="AD274" s="1066">
        <f>AC274*('Ввод исходных данных'!$D$83-AA274)</f>
        <v>882</v>
      </c>
      <c r="AE274" s="1067">
        <v>-17.600000000000001</v>
      </c>
      <c r="AF274" s="1067"/>
      <c r="AG274" s="1067">
        <v>31</v>
      </c>
      <c r="AH274" s="1067">
        <f>AG274*('Ввод исходных данных'!$D$83-AE274)</f>
        <v>1165.6000000000001</v>
      </c>
      <c r="AI274" s="1068">
        <v>-20.5</v>
      </c>
      <c r="AJ274" s="1068"/>
      <c r="AK274" s="1068">
        <v>31</v>
      </c>
      <c r="AL274" s="1068">
        <f>AK274*('Ввод исходных данных'!$D$83-AI274)</f>
        <v>1255.5</v>
      </c>
      <c r="AM274" s="1069">
        <v>-16.3</v>
      </c>
      <c r="AN274" s="1069"/>
      <c r="AO274" s="1069">
        <v>28</v>
      </c>
      <c r="AP274" s="1069">
        <f>AO274*('Ввод исходных данных'!$D$83-AM274)</f>
        <v>1016.3999999999999</v>
      </c>
      <c r="AQ274" s="1064">
        <v>-6.9</v>
      </c>
      <c r="AR274" s="1064"/>
      <c r="AS274" s="1064">
        <f t="shared" si="53"/>
        <v>31</v>
      </c>
      <c r="AT274" s="1064">
        <f>AS274*('Ввод исходных данных'!$D$83-AQ274)</f>
        <v>833.9</v>
      </c>
      <c r="AU274" s="1070">
        <v>2.6</v>
      </c>
      <c r="AV274" s="1070"/>
      <c r="AW274" s="1070">
        <f t="shared" si="54"/>
        <v>30</v>
      </c>
      <c r="AX274" s="1070">
        <f>AW274*('Ввод исходных данных'!$D$83-AU274)</f>
        <v>522</v>
      </c>
      <c r="AY274" s="1071">
        <v>10.4</v>
      </c>
      <c r="AZ274" s="1071"/>
      <c r="BA274" s="1071">
        <f t="shared" si="55"/>
        <v>8.5</v>
      </c>
      <c r="BB274" s="1071">
        <f>BA274*('Ввод исходных данных'!$D$83-AY274)</f>
        <v>81.599999999999994</v>
      </c>
      <c r="BC274" s="1072">
        <v>16.600000000000001</v>
      </c>
      <c r="BD274" s="1072"/>
      <c r="BE274" s="1072">
        <f t="shared" si="47"/>
        <v>0</v>
      </c>
      <c r="BF274" s="1073">
        <f>BE274*('Ввод исходных данных'!$D$83-BC274)</f>
        <v>0</v>
      </c>
    </row>
    <row r="275" spans="2:58" ht="15.75" customHeight="1" x14ac:dyDescent="0.25">
      <c r="B275" s="1052" t="s">
        <v>275</v>
      </c>
      <c r="C275" s="1052" t="s">
        <v>280</v>
      </c>
      <c r="D275" s="1053" t="str">
        <f t="shared" si="56"/>
        <v>Республика БурятияМонды</v>
      </c>
      <c r="E275" s="1054">
        <v>266</v>
      </c>
      <c r="F275" s="1055">
        <v>-8.1</v>
      </c>
      <c r="G275" s="1055">
        <v>-33</v>
      </c>
      <c r="H275" s="1057">
        <v>5.2</v>
      </c>
      <c r="I275" s="1058">
        <f>E275*('Ввод исходных данных'!$D$83-F275)</f>
        <v>7474.6</v>
      </c>
      <c r="J275" s="1059" t="str">
        <f t="shared" si="46"/>
        <v>7000-8000</v>
      </c>
      <c r="K275" s="1060">
        <v>14.2</v>
      </c>
      <c r="L275" s="1060"/>
      <c r="M275" s="1061">
        <f t="shared" si="48"/>
        <v>0</v>
      </c>
      <c r="N275" s="1062">
        <f>M275*('Ввод исходных данных'!$D$83-K275)</f>
        <v>0</v>
      </c>
      <c r="O275" s="1063">
        <v>12</v>
      </c>
      <c r="P275" s="1063"/>
      <c r="Q275" s="1063">
        <f t="shared" si="49"/>
        <v>0</v>
      </c>
      <c r="R275" s="1063">
        <f>Q275*('Ввод исходных данных'!$D$83-O275)</f>
        <v>0</v>
      </c>
      <c r="S275" s="1064">
        <v>5.5</v>
      </c>
      <c r="T275" s="1064"/>
      <c r="U275" s="1064">
        <f t="shared" si="50"/>
        <v>27</v>
      </c>
      <c r="V275" s="1064">
        <f>U275*('Ввод исходных данных'!$D$83-S275)</f>
        <v>391.5</v>
      </c>
      <c r="W275" s="1065">
        <v>-2.2000000000000002</v>
      </c>
      <c r="X275" s="1065"/>
      <c r="Y275" s="1065">
        <f t="shared" si="51"/>
        <v>31</v>
      </c>
      <c r="Z275" s="1065">
        <f>Y275*('Ввод исходных данных'!$D$83-W275)</f>
        <v>688.19999999999993</v>
      </c>
      <c r="AA275" s="1066">
        <v>-11.8</v>
      </c>
      <c r="AB275" s="1066"/>
      <c r="AC275" s="1066">
        <f t="shared" si="52"/>
        <v>30</v>
      </c>
      <c r="AD275" s="1066">
        <f>AC275*('Ввод исходных данных'!$D$83-AA275)</f>
        <v>954</v>
      </c>
      <c r="AE275" s="1067">
        <v>-18.2</v>
      </c>
      <c r="AF275" s="1067"/>
      <c r="AG275" s="1067">
        <v>31</v>
      </c>
      <c r="AH275" s="1067">
        <f>AG275*('Ввод исходных данных'!$D$83-AE275)</f>
        <v>1184.2</v>
      </c>
      <c r="AI275" s="1068">
        <v>-19.899999999999999</v>
      </c>
      <c r="AJ275" s="1068"/>
      <c r="AK275" s="1068">
        <v>31</v>
      </c>
      <c r="AL275" s="1068">
        <f>AK275*('Ввод исходных данных'!$D$83-AI275)</f>
        <v>1236.8999999999999</v>
      </c>
      <c r="AM275" s="1069">
        <v>-17.600000000000001</v>
      </c>
      <c r="AN275" s="1069"/>
      <c r="AO275" s="1069">
        <v>28</v>
      </c>
      <c r="AP275" s="1069">
        <f>AO275*('Ввод исходных данных'!$D$83-AM275)</f>
        <v>1052.8</v>
      </c>
      <c r="AQ275" s="1064">
        <v>-10.1</v>
      </c>
      <c r="AR275" s="1064"/>
      <c r="AS275" s="1064">
        <f t="shared" si="53"/>
        <v>31</v>
      </c>
      <c r="AT275" s="1064">
        <f>AS275*('Ввод исходных данных'!$D$83-AQ275)</f>
        <v>933.1</v>
      </c>
      <c r="AU275" s="1070">
        <v>-1.8</v>
      </c>
      <c r="AV275" s="1070"/>
      <c r="AW275" s="1070">
        <f t="shared" si="54"/>
        <v>30</v>
      </c>
      <c r="AX275" s="1070">
        <f>AW275*('Ввод исходных данных'!$D$83-AU275)</f>
        <v>654</v>
      </c>
      <c r="AY275" s="1071">
        <v>5.6</v>
      </c>
      <c r="AZ275" s="1071"/>
      <c r="BA275" s="1071">
        <f t="shared" si="55"/>
        <v>27</v>
      </c>
      <c r="BB275" s="1071">
        <f>BA275*('Ввод исходных данных'!$D$83-AY275)</f>
        <v>388.8</v>
      </c>
      <c r="BC275" s="1072">
        <v>12.1</v>
      </c>
      <c r="BD275" s="1072"/>
      <c r="BE275" s="1072">
        <f t="shared" si="47"/>
        <v>0</v>
      </c>
      <c r="BF275" s="1073">
        <f>BE275*('Ввод исходных данных'!$D$83-BC275)</f>
        <v>0</v>
      </c>
    </row>
    <row r="276" spans="2:58" ht="15.75" customHeight="1" x14ac:dyDescent="0.25">
      <c r="B276" s="1076" t="s">
        <v>275</v>
      </c>
      <c r="C276" s="1076" t="s">
        <v>281</v>
      </c>
      <c r="D276" s="1053" t="str">
        <f t="shared" si="56"/>
        <v>Республика БурятияНижнеангарск</v>
      </c>
      <c r="E276" s="1054">
        <v>255</v>
      </c>
      <c r="F276" s="1055">
        <v>-9.6</v>
      </c>
      <c r="G276" s="1055">
        <v>-32</v>
      </c>
      <c r="H276" s="1057">
        <v>1.9</v>
      </c>
      <c r="I276" s="1058">
        <f>E276*('Ввод исходных данных'!$D$83-F276)</f>
        <v>7548</v>
      </c>
      <c r="J276" s="1059" t="str">
        <f t="shared" si="46"/>
        <v>7000-8000</v>
      </c>
      <c r="K276" s="1060">
        <v>16.3</v>
      </c>
      <c r="L276" s="1060"/>
      <c r="M276" s="1061">
        <f t="shared" si="48"/>
        <v>0</v>
      </c>
      <c r="N276" s="1062">
        <f>M276*('Ввод исходных данных'!$D$83-K276)</f>
        <v>0</v>
      </c>
      <c r="O276" s="1063">
        <v>15</v>
      </c>
      <c r="P276" s="1063"/>
      <c r="Q276" s="1063">
        <f t="shared" si="49"/>
        <v>0</v>
      </c>
      <c r="R276" s="1063">
        <f>Q276*('Ввод исходных данных'!$D$83-O276)</f>
        <v>0</v>
      </c>
      <c r="S276" s="1064">
        <v>8.3000000000000007</v>
      </c>
      <c r="T276" s="1064"/>
      <c r="U276" s="1064">
        <f t="shared" si="50"/>
        <v>21.5</v>
      </c>
      <c r="V276" s="1064">
        <f>U276*('Ввод исходных данных'!$D$83-S276)</f>
        <v>251.54999999999998</v>
      </c>
      <c r="W276" s="1065">
        <v>-0.6</v>
      </c>
      <c r="X276" s="1065"/>
      <c r="Y276" s="1065">
        <f t="shared" si="51"/>
        <v>31</v>
      </c>
      <c r="Z276" s="1065">
        <f>Y276*('Ввод исходных данных'!$D$83-W276)</f>
        <v>638.6</v>
      </c>
      <c r="AA276" s="1066">
        <v>-10.7</v>
      </c>
      <c r="AB276" s="1066"/>
      <c r="AC276" s="1066">
        <f t="shared" si="52"/>
        <v>30</v>
      </c>
      <c r="AD276" s="1066">
        <f>AC276*('Ввод исходных данных'!$D$83-AA276)</f>
        <v>921</v>
      </c>
      <c r="AE276" s="1067">
        <v>-17.3</v>
      </c>
      <c r="AF276" s="1067"/>
      <c r="AG276" s="1067">
        <v>31</v>
      </c>
      <c r="AH276" s="1067">
        <f>AG276*('Ввод исходных данных'!$D$83-AE276)</f>
        <v>1156.3</v>
      </c>
      <c r="AI276" s="1068">
        <v>-21.9</v>
      </c>
      <c r="AJ276" s="1068"/>
      <c r="AK276" s="1068">
        <v>31</v>
      </c>
      <c r="AL276" s="1068">
        <f>AK276*('Ввод исходных данных'!$D$83-AI276)</f>
        <v>1298.8999999999999</v>
      </c>
      <c r="AM276" s="1069">
        <v>-20.3</v>
      </c>
      <c r="AN276" s="1069"/>
      <c r="AO276" s="1069">
        <v>28</v>
      </c>
      <c r="AP276" s="1069">
        <f>AO276*('Ввод исходных данных'!$D$83-AM276)</f>
        <v>1128.3999999999999</v>
      </c>
      <c r="AQ276" s="1064">
        <v>-12.5</v>
      </c>
      <c r="AR276" s="1064"/>
      <c r="AS276" s="1064">
        <f t="shared" si="53"/>
        <v>31</v>
      </c>
      <c r="AT276" s="1064">
        <f>AS276*('Ввод исходных данных'!$D$83-AQ276)</f>
        <v>1007.5</v>
      </c>
      <c r="AU276" s="1070">
        <v>-2.5</v>
      </c>
      <c r="AV276" s="1070"/>
      <c r="AW276" s="1070">
        <f t="shared" si="54"/>
        <v>30</v>
      </c>
      <c r="AX276" s="1070">
        <f>AW276*('Ввод исходных данных'!$D$83-AU276)</f>
        <v>675</v>
      </c>
      <c r="AY276" s="1071">
        <v>5.0999999999999996</v>
      </c>
      <c r="AZ276" s="1071"/>
      <c r="BA276" s="1071">
        <f t="shared" si="55"/>
        <v>21.5</v>
      </c>
      <c r="BB276" s="1071">
        <f>BA276*('Ввод исходных данных'!$D$83-AY276)</f>
        <v>320.35000000000002</v>
      </c>
      <c r="BC276" s="1072">
        <v>12.1</v>
      </c>
      <c r="BD276" s="1072"/>
      <c r="BE276" s="1072">
        <f t="shared" si="47"/>
        <v>0</v>
      </c>
      <c r="BF276" s="1073">
        <f>BE276*('Ввод исходных данных'!$D$83-BC276)</f>
        <v>0</v>
      </c>
    </row>
    <row r="277" spans="2:58" ht="15.75" customHeight="1" x14ac:dyDescent="0.25">
      <c r="B277" s="1052" t="s">
        <v>275</v>
      </c>
      <c r="C277" s="1052" t="s">
        <v>679</v>
      </c>
      <c r="D277" s="1053" t="str">
        <f t="shared" si="56"/>
        <v>Республика БурятияСосново- Озерское</v>
      </c>
      <c r="E277" s="1054">
        <v>258</v>
      </c>
      <c r="F277" s="1055">
        <v>-10.5</v>
      </c>
      <c r="G277" s="1055">
        <v>-36</v>
      </c>
      <c r="H277" s="1057">
        <v>5</v>
      </c>
      <c r="I277" s="1058">
        <f>E277*('Ввод исходных данных'!$D$83-F277)</f>
        <v>7869</v>
      </c>
      <c r="J277" s="1059" t="str">
        <f t="shared" si="46"/>
        <v>7000-8000</v>
      </c>
      <c r="K277" s="1060">
        <v>16.7</v>
      </c>
      <c r="L277" s="1060"/>
      <c r="M277" s="1061">
        <f t="shared" si="48"/>
        <v>0</v>
      </c>
      <c r="N277" s="1062">
        <f>M277*('Ввод исходных данных'!$D$83-K277)</f>
        <v>0</v>
      </c>
      <c r="O277" s="1063">
        <v>13.9</v>
      </c>
      <c r="P277" s="1063"/>
      <c r="Q277" s="1063">
        <f t="shared" si="49"/>
        <v>0</v>
      </c>
      <c r="R277" s="1063">
        <f>Q277*('Ввод исходных данных'!$D$83-O277)</f>
        <v>0</v>
      </c>
      <c r="S277" s="1064">
        <v>6.8</v>
      </c>
      <c r="T277" s="1064"/>
      <c r="U277" s="1064">
        <f t="shared" si="50"/>
        <v>23</v>
      </c>
      <c r="V277" s="1064">
        <f>U277*('Ввод исходных данных'!$D$83-S277)</f>
        <v>303.59999999999997</v>
      </c>
      <c r="W277" s="1065">
        <v>-2.2000000000000002</v>
      </c>
      <c r="X277" s="1065"/>
      <c r="Y277" s="1065">
        <f t="shared" si="51"/>
        <v>31</v>
      </c>
      <c r="Z277" s="1065">
        <f>Y277*('Ввод исходных данных'!$D$83-W277)</f>
        <v>688.19999999999993</v>
      </c>
      <c r="AA277" s="1066">
        <v>-12.9</v>
      </c>
      <c r="AB277" s="1066"/>
      <c r="AC277" s="1066">
        <f t="shared" si="52"/>
        <v>30</v>
      </c>
      <c r="AD277" s="1066">
        <f>AC277*('Ввод исходных данных'!$D$83-AA277)</f>
        <v>987</v>
      </c>
      <c r="AE277" s="1067">
        <v>-20.6</v>
      </c>
      <c r="AF277" s="1067"/>
      <c r="AG277" s="1067">
        <v>31</v>
      </c>
      <c r="AH277" s="1067">
        <f>AG277*('Ввод исходных данных'!$D$83-AE277)</f>
        <v>1258.6000000000001</v>
      </c>
      <c r="AI277" s="1068">
        <v>-24</v>
      </c>
      <c r="AJ277" s="1068"/>
      <c r="AK277" s="1068">
        <v>31</v>
      </c>
      <c r="AL277" s="1068">
        <f>AK277*('Ввод исходных данных'!$D$83-AI277)</f>
        <v>1364</v>
      </c>
      <c r="AM277" s="1069">
        <v>-20.2</v>
      </c>
      <c r="AN277" s="1069"/>
      <c r="AO277" s="1069">
        <v>28</v>
      </c>
      <c r="AP277" s="1069">
        <f>AO277*('Ввод исходных данных'!$D$83-AM277)</f>
        <v>1125.6000000000001</v>
      </c>
      <c r="AQ277" s="1064">
        <v>-12.1</v>
      </c>
      <c r="AR277" s="1064"/>
      <c r="AS277" s="1064">
        <f t="shared" si="53"/>
        <v>31</v>
      </c>
      <c r="AT277" s="1064">
        <f>AS277*('Ввод исходных данных'!$D$83-AQ277)</f>
        <v>995.1</v>
      </c>
      <c r="AU277" s="1070">
        <v>-2.2000000000000002</v>
      </c>
      <c r="AV277" s="1070"/>
      <c r="AW277" s="1070">
        <f t="shared" si="54"/>
        <v>30</v>
      </c>
      <c r="AX277" s="1070">
        <f>AW277*('Ввод исходных данных'!$D$83-AU277)</f>
        <v>666</v>
      </c>
      <c r="AY277" s="1071">
        <v>5.4</v>
      </c>
      <c r="AZ277" s="1071"/>
      <c r="BA277" s="1071">
        <f t="shared" si="55"/>
        <v>23</v>
      </c>
      <c r="BB277" s="1071">
        <f>BA277*('Ввод исходных данных'!$D$83-AY277)</f>
        <v>335.8</v>
      </c>
      <c r="BC277" s="1072">
        <v>14</v>
      </c>
      <c r="BD277" s="1072"/>
      <c r="BE277" s="1072">
        <f t="shared" si="47"/>
        <v>0</v>
      </c>
      <c r="BF277" s="1073">
        <f>BE277*('Ввод исходных данных'!$D$83-BC277)</f>
        <v>0</v>
      </c>
    </row>
    <row r="278" spans="2:58" ht="15.75" customHeight="1" x14ac:dyDescent="0.25">
      <c r="B278" s="1076" t="s">
        <v>275</v>
      </c>
      <c r="C278" s="1076" t="s">
        <v>680</v>
      </c>
      <c r="D278" s="1053" t="str">
        <f t="shared" si="56"/>
        <v>Республика БурятияУакит</v>
      </c>
      <c r="E278" s="1054">
        <v>274</v>
      </c>
      <c r="F278" s="1055">
        <v>-12.7</v>
      </c>
      <c r="G278" s="1055">
        <v>-40</v>
      </c>
      <c r="H278" s="1057">
        <f>H277</f>
        <v>5</v>
      </c>
      <c r="I278" s="1058">
        <f>E278*('Ввод исходных данных'!$D$83-F278)</f>
        <v>8959.8000000000011</v>
      </c>
      <c r="J278" s="1059" t="str">
        <f t="shared" si="46"/>
        <v>8000-9000</v>
      </c>
      <c r="K278" s="1060">
        <v>14.8</v>
      </c>
      <c r="L278" s="1060"/>
      <c r="M278" s="1061">
        <f t="shared" si="48"/>
        <v>0</v>
      </c>
      <c r="N278" s="1062">
        <f>M278*('Ввод исходных данных'!$D$83-K278)</f>
        <v>0</v>
      </c>
      <c r="O278" s="1063">
        <v>11.8</v>
      </c>
      <c r="P278" s="1063"/>
      <c r="Q278" s="1063">
        <f t="shared" si="49"/>
        <v>0.5</v>
      </c>
      <c r="R278" s="1063">
        <f>Q278*('Ввод исходных данных'!$D$83-O278)</f>
        <v>4.0999999999999996</v>
      </c>
      <c r="S278" s="1064">
        <v>4.7</v>
      </c>
      <c r="T278" s="1064"/>
      <c r="U278" s="1064">
        <f t="shared" si="50"/>
        <v>30</v>
      </c>
      <c r="V278" s="1064">
        <f>U278*('Ввод исходных данных'!$D$83-S278)</f>
        <v>459</v>
      </c>
      <c r="W278" s="1065">
        <v>-6</v>
      </c>
      <c r="X278" s="1065"/>
      <c r="Y278" s="1065">
        <f t="shared" si="51"/>
        <v>31</v>
      </c>
      <c r="Z278" s="1065">
        <f>Y278*('Ввод исходных данных'!$D$83-W278)</f>
        <v>806</v>
      </c>
      <c r="AA278" s="1066">
        <v>-18.7</v>
      </c>
      <c r="AB278" s="1066"/>
      <c r="AC278" s="1066">
        <f t="shared" si="52"/>
        <v>30</v>
      </c>
      <c r="AD278" s="1066">
        <f>AC278*('Ввод исходных данных'!$D$83-AA278)</f>
        <v>1161</v>
      </c>
      <c r="AE278" s="1067">
        <v>-26.5</v>
      </c>
      <c r="AF278" s="1067"/>
      <c r="AG278" s="1067">
        <v>31</v>
      </c>
      <c r="AH278" s="1067">
        <f>AG278*('Ввод исходных данных'!$D$83-AE278)</f>
        <v>1441.5</v>
      </c>
      <c r="AI278" s="1068">
        <v>-28.3</v>
      </c>
      <c r="AJ278" s="1068"/>
      <c r="AK278" s="1068">
        <v>31</v>
      </c>
      <c r="AL278" s="1068">
        <f>AK278*('Ввод исходных данных'!$D$83-AI278)</f>
        <v>1497.3</v>
      </c>
      <c r="AM278" s="1069">
        <v>-24.5</v>
      </c>
      <c r="AN278" s="1069"/>
      <c r="AO278" s="1069">
        <v>28</v>
      </c>
      <c r="AP278" s="1069">
        <f>AO278*('Ввод исходных данных'!$D$83-AM278)</f>
        <v>1246</v>
      </c>
      <c r="AQ278" s="1064">
        <v>-15.7</v>
      </c>
      <c r="AR278" s="1064"/>
      <c r="AS278" s="1064">
        <f t="shared" si="53"/>
        <v>31</v>
      </c>
      <c r="AT278" s="1064">
        <f>AS278*('Ввод исходных данных'!$D$83-AQ278)</f>
        <v>1106.7</v>
      </c>
      <c r="AU278" s="1070">
        <v>-5.2</v>
      </c>
      <c r="AV278" s="1070"/>
      <c r="AW278" s="1070">
        <f t="shared" si="54"/>
        <v>30</v>
      </c>
      <c r="AX278" s="1070">
        <f>AW278*('Ввод исходных данных'!$D$83-AU278)</f>
        <v>756</v>
      </c>
      <c r="AY278" s="1071">
        <v>3.5</v>
      </c>
      <c r="AZ278" s="1071"/>
      <c r="BA278" s="1071">
        <f t="shared" si="55"/>
        <v>31</v>
      </c>
      <c r="BB278" s="1071">
        <f>BA278*('Ввод исходных данных'!$D$83-AY278)</f>
        <v>511.5</v>
      </c>
      <c r="BC278" s="1072">
        <v>11.6</v>
      </c>
      <c r="BD278" s="1072"/>
      <c r="BE278" s="1072">
        <f t="shared" si="47"/>
        <v>0.5</v>
      </c>
      <c r="BF278" s="1073">
        <f>BE278*('Ввод исходных данных'!$D$83-BC278)</f>
        <v>4.2</v>
      </c>
    </row>
    <row r="279" spans="2:58" ht="15.75" customHeight="1" x14ac:dyDescent="0.25">
      <c r="B279" s="1052" t="s">
        <v>275</v>
      </c>
      <c r="C279" s="1052" t="s">
        <v>282</v>
      </c>
      <c r="D279" s="1053" t="str">
        <f t="shared" si="56"/>
        <v>Республика БурятияУлан-Удэ</v>
      </c>
      <c r="E279" s="1054">
        <v>230</v>
      </c>
      <c r="F279" s="1055">
        <v>-10.3</v>
      </c>
      <c r="G279" s="1055">
        <v>-35</v>
      </c>
      <c r="H279" s="1057">
        <v>2.1</v>
      </c>
      <c r="I279" s="1058">
        <f>E279*('Ввод исходных данных'!$D$83-F279)</f>
        <v>6969</v>
      </c>
      <c r="J279" s="1059" t="str">
        <f t="shared" si="46"/>
        <v>6000-7000</v>
      </c>
      <c r="K279" s="1060">
        <v>19.600000000000001</v>
      </c>
      <c r="L279" s="1060"/>
      <c r="M279" s="1061">
        <f t="shared" si="48"/>
        <v>0</v>
      </c>
      <c r="N279" s="1062">
        <f>M279*('Ввод исходных данных'!$D$83-K279)</f>
        <v>0</v>
      </c>
      <c r="O279" s="1063">
        <v>16.8</v>
      </c>
      <c r="P279" s="1063"/>
      <c r="Q279" s="1063">
        <f t="shared" si="49"/>
        <v>0</v>
      </c>
      <c r="R279" s="1063">
        <f>Q279*('Ввод исходных данных'!$D$83-O279)</f>
        <v>0</v>
      </c>
      <c r="S279" s="1064">
        <v>9.4</v>
      </c>
      <c r="T279" s="1064"/>
      <c r="U279" s="1064">
        <f t="shared" si="50"/>
        <v>9</v>
      </c>
      <c r="V279" s="1064">
        <f>U279*('Ввод исходных данных'!$D$83-S279)</f>
        <v>95.399999999999991</v>
      </c>
      <c r="W279" s="1065">
        <v>0.4</v>
      </c>
      <c r="X279" s="1065"/>
      <c r="Y279" s="1065">
        <f t="shared" si="51"/>
        <v>31</v>
      </c>
      <c r="Z279" s="1065">
        <f>Y279*('Ввод исходных данных'!$D$83-W279)</f>
        <v>607.6</v>
      </c>
      <c r="AA279" s="1066">
        <v>-10.5</v>
      </c>
      <c r="AB279" s="1066"/>
      <c r="AC279" s="1066">
        <f t="shared" si="52"/>
        <v>30</v>
      </c>
      <c r="AD279" s="1066">
        <f>AC279*('Ввод исходных данных'!$D$83-AA279)</f>
        <v>915</v>
      </c>
      <c r="AE279" s="1067">
        <v>-19.7</v>
      </c>
      <c r="AF279" s="1067"/>
      <c r="AG279" s="1067">
        <v>31</v>
      </c>
      <c r="AH279" s="1067">
        <f>AG279*('Ввод исходных данных'!$D$83-AE279)</f>
        <v>1230.7</v>
      </c>
      <c r="AI279" s="1068">
        <v>-23.8</v>
      </c>
      <c r="AJ279" s="1068"/>
      <c r="AK279" s="1068">
        <v>31</v>
      </c>
      <c r="AL279" s="1068">
        <f>AK279*('Ввод исходных данных'!$D$83-AI279)</f>
        <v>1357.8</v>
      </c>
      <c r="AM279" s="1069">
        <v>-19</v>
      </c>
      <c r="AN279" s="1069"/>
      <c r="AO279" s="1069">
        <v>28</v>
      </c>
      <c r="AP279" s="1069">
        <f>AO279*('Ввод исходных данных'!$D$83-AM279)</f>
        <v>1092</v>
      </c>
      <c r="AQ279" s="1064">
        <v>-8</v>
      </c>
      <c r="AR279" s="1064"/>
      <c r="AS279" s="1064">
        <f t="shared" si="53"/>
        <v>31</v>
      </c>
      <c r="AT279" s="1064">
        <f>AS279*('Ввод исходных данных'!$D$83-AQ279)</f>
        <v>868</v>
      </c>
      <c r="AU279" s="1070">
        <v>2</v>
      </c>
      <c r="AV279" s="1070"/>
      <c r="AW279" s="1070">
        <f t="shared" si="54"/>
        <v>30</v>
      </c>
      <c r="AX279" s="1070">
        <f>AW279*('Ввод исходных данных'!$D$83-AU279)</f>
        <v>540</v>
      </c>
      <c r="AY279" s="1071">
        <v>10.199999999999999</v>
      </c>
      <c r="AZ279" s="1071"/>
      <c r="BA279" s="1071">
        <f t="shared" si="55"/>
        <v>9</v>
      </c>
      <c r="BB279" s="1071">
        <f>BA279*('Ввод исходных данных'!$D$83-AY279)</f>
        <v>88.2</v>
      </c>
      <c r="BC279" s="1072">
        <v>16.899999999999999</v>
      </c>
      <c r="BD279" s="1072"/>
      <c r="BE279" s="1072">
        <f t="shared" si="47"/>
        <v>0</v>
      </c>
      <c r="BF279" s="1073">
        <f>BE279*('Ввод исходных данных'!$D$83-BC279)</f>
        <v>0</v>
      </c>
    </row>
    <row r="280" spans="2:58" ht="15.75" customHeight="1" x14ac:dyDescent="0.25">
      <c r="B280" s="1076" t="s">
        <v>275</v>
      </c>
      <c r="C280" s="1076" t="s">
        <v>278</v>
      </c>
      <c r="D280" s="1053" t="str">
        <f t="shared" si="56"/>
        <v>Республика БурятияХоринск</v>
      </c>
      <c r="E280" s="1054">
        <v>241</v>
      </c>
      <c r="F280" s="1055">
        <v>-10.8</v>
      </c>
      <c r="G280" s="1055">
        <v>-39</v>
      </c>
      <c r="H280" s="1057">
        <f>H279</f>
        <v>2.1</v>
      </c>
      <c r="I280" s="1058">
        <f>E280*('Ввод исходных данных'!$D$83-F280)</f>
        <v>7422.8</v>
      </c>
      <c r="J280" s="1059" t="str">
        <f t="shared" si="46"/>
        <v>7000-8000</v>
      </c>
      <c r="K280" s="1060">
        <v>18.8</v>
      </c>
      <c r="L280" s="1060"/>
      <c r="M280" s="1061">
        <f t="shared" si="48"/>
        <v>0</v>
      </c>
      <c r="N280" s="1062">
        <f>M280*('Ввод исходных данных'!$D$83-K280)</f>
        <v>0</v>
      </c>
      <c r="O280" s="1063">
        <v>15.8</v>
      </c>
      <c r="P280" s="1063"/>
      <c r="Q280" s="1063">
        <f t="shared" si="49"/>
        <v>0</v>
      </c>
      <c r="R280" s="1063">
        <f>Q280*('Ввод исходных данных'!$D$83-O280)</f>
        <v>0</v>
      </c>
      <c r="S280" s="1064">
        <v>8</v>
      </c>
      <c r="T280" s="1064"/>
      <c r="U280" s="1064">
        <f t="shared" si="50"/>
        <v>14.5</v>
      </c>
      <c r="V280" s="1064">
        <f>U280*('Ввод исходных данных'!$D$83-S280)</f>
        <v>174</v>
      </c>
      <c r="W280" s="1065">
        <v>-1.1000000000000001</v>
      </c>
      <c r="X280" s="1065"/>
      <c r="Y280" s="1065">
        <f t="shared" si="51"/>
        <v>31</v>
      </c>
      <c r="Z280" s="1065">
        <f>Y280*('Ввод исходных данных'!$D$83-W280)</f>
        <v>654.1</v>
      </c>
      <c r="AA280" s="1066">
        <v>-13.4</v>
      </c>
      <c r="AB280" s="1066"/>
      <c r="AC280" s="1066">
        <f t="shared" si="52"/>
        <v>30</v>
      </c>
      <c r="AD280" s="1066">
        <f>AC280*('Ввод исходных данных'!$D$83-AA280)</f>
        <v>1002</v>
      </c>
      <c r="AE280" s="1067">
        <v>-21.9</v>
      </c>
      <c r="AF280" s="1067"/>
      <c r="AG280" s="1067">
        <v>31</v>
      </c>
      <c r="AH280" s="1067">
        <f>AG280*('Ввод исходных данных'!$D$83-AE280)</f>
        <v>1298.8999999999999</v>
      </c>
      <c r="AI280" s="1068">
        <v>-25.6</v>
      </c>
      <c r="AJ280" s="1068"/>
      <c r="AK280" s="1068">
        <v>31</v>
      </c>
      <c r="AL280" s="1068">
        <f>AK280*('Ввод исходных данных'!$D$83-AI280)</f>
        <v>1413.6000000000001</v>
      </c>
      <c r="AM280" s="1069">
        <v>-22</v>
      </c>
      <c r="AN280" s="1069"/>
      <c r="AO280" s="1069">
        <v>28</v>
      </c>
      <c r="AP280" s="1069">
        <f>AO280*('Ввод исходных данных'!$D$83-AM280)</f>
        <v>1176</v>
      </c>
      <c r="AQ280" s="1064">
        <v>-10.7</v>
      </c>
      <c r="AR280" s="1064"/>
      <c r="AS280" s="1064">
        <f t="shared" si="53"/>
        <v>31</v>
      </c>
      <c r="AT280" s="1064">
        <f>AS280*('Ввод исходных данных'!$D$83-AQ280)</f>
        <v>951.69999999999993</v>
      </c>
      <c r="AU280" s="1070">
        <v>0.4</v>
      </c>
      <c r="AV280" s="1070"/>
      <c r="AW280" s="1070">
        <f t="shared" si="54"/>
        <v>30</v>
      </c>
      <c r="AX280" s="1070">
        <f>AW280*('Ввод исходных данных'!$D$83-AU280)</f>
        <v>588</v>
      </c>
      <c r="AY280" s="1071">
        <v>8.4</v>
      </c>
      <c r="AZ280" s="1071"/>
      <c r="BA280" s="1071">
        <f t="shared" si="55"/>
        <v>14.5</v>
      </c>
      <c r="BB280" s="1071">
        <f>BA280*('Ввод исходных данных'!$D$83-AY280)</f>
        <v>168.2</v>
      </c>
      <c r="BC280" s="1072">
        <v>16.2</v>
      </c>
      <c r="BD280" s="1072"/>
      <c r="BE280" s="1072">
        <f t="shared" si="47"/>
        <v>0</v>
      </c>
      <c r="BF280" s="1073">
        <f>BE280*('Ввод исходных данных'!$D$83-BC280)</f>
        <v>0</v>
      </c>
    </row>
    <row r="281" spans="2:58" ht="15.75" customHeight="1" x14ac:dyDescent="0.25">
      <c r="B281" s="1052" t="s">
        <v>2</v>
      </c>
      <c r="C281" s="1052" t="s">
        <v>283</v>
      </c>
      <c r="D281" s="1053" t="str">
        <f t="shared" si="56"/>
        <v>Республика ДагестанДербент</v>
      </c>
      <c r="E281" s="1054">
        <v>138</v>
      </c>
      <c r="F281" s="1055">
        <v>3.7</v>
      </c>
      <c r="G281" s="1055">
        <v>-9</v>
      </c>
      <c r="H281" s="1057">
        <v>5.2</v>
      </c>
      <c r="I281" s="1058">
        <f>E281*('Ввод исходных данных'!$D$83-F281)</f>
        <v>2249.4</v>
      </c>
      <c r="J281" s="1059" t="str">
        <f t="shared" si="46"/>
        <v>2000-3000</v>
      </c>
      <c r="K281" s="1060">
        <v>24.9</v>
      </c>
      <c r="L281" s="1060"/>
      <c r="M281" s="1061">
        <f t="shared" si="48"/>
        <v>0</v>
      </c>
      <c r="N281" s="1062">
        <f>M281*('Ввод исходных данных'!$D$83-K281)</f>
        <v>0</v>
      </c>
      <c r="O281" s="1063">
        <v>24.7</v>
      </c>
      <c r="P281" s="1063"/>
      <c r="Q281" s="1063">
        <f t="shared" si="49"/>
        <v>0</v>
      </c>
      <c r="R281" s="1063">
        <f>Q281*('Ввод исходных данных'!$D$83-O281)</f>
        <v>0</v>
      </c>
      <c r="S281" s="1064">
        <v>20.3</v>
      </c>
      <c r="T281" s="1064"/>
      <c r="U281" s="1064">
        <f t="shared" si="50"/>
        <v>0</v>
      </c>
      <c r="V281" s="1064">
        <f>U281*('Ввод исходных данных'!$D$83-S281)</f>
        <v>0</v>
      </c>
      <c r="W281" s="1065">
        <v>14.5</v>
      </c>
      <c r="X281" s="1065"/>
      <c r="Y281" s="1065">
        <f t="shared" si="51"/>
        <v>0</v>
      </c>
      <c r="Z281" s="1065">
        <f>Y281*('Ввод исходных данных'!$D$83-W281)</f>
        <v>0</v>
      </c>
      <c r="AA281" s="1066">
        <v>9.1</v>
      </c>
      <c r="AB281" s="1066"/>
      <c r="AC281" s="1066">
        <f t="shared" si="52"/>
        <v>24</v>
      </c>
      <c r="AD281" s="1066">
        <f>AC281*('Ввод исходных данных'!$D$83-AA281)</f>
        <v>261.60000000000002</v>
      </c>
      <c r="AE281" s="1067">
        <v>4.8</v>
      </c>
      <c r="AF281" s="1067"/>
      <c r="AG281" s="1067">
        <v>31</v>
      </c>
      <c r="AH281" s="1067">
        <f>AG281*('Ввод исходных данных'!$D$83-AE281)</f>
        <v>471.2</v>
      </c>
      <c r="AI281" s="1068">
        <v>2.5</v>
      </c>
      <c r="AJ281" s="1068"/>
      <c r="AK281" s="1068">
        <v>31</v>
      </c>
      <c r="AL281" s="1068">
        <f>AK281*('Ввод исходных данных'!$D$83-AI281)</f>
        <v>542.5</v>
      </c>
      <c r="AM281" s="1069">
        <v>2.2000000000000002</v>
      </c>
      <c r="AN281" s="1069"/>
      <c r="AO281" s="1069">
        <v>28</v>
      </c>
      <c r="AP281" s="1069">
        <f>AO281*('Ввод исходных данных'!$D$83-AM281)</f>
        <v>498.40000000000003</v>
      </c>
      <c r="AQ281" s="1064">
        <v>5</v>
      </c>
      <c r="AR281" s="1064"/>
      <c r="AS281" s="1064">
        <f t="shared" si="53"/>
        <v>24</v>
      </c>
      <c r="AT281" s="1064">
        <f>AS281*('Ввод исходных данных'!$D$83-AQ281)</f>
        <v>360</v>
      </c>
      <c r="AU281" s="1070">
        <v>10.3</v>
      </c>
      <c r="AV281" s="1070"/>
      <c r="AW281" s="1070">
        <f t="shared" si="54"/>
        <v>0</v>
      </c>
      <c r="AX281" s="1070">
        <f>AW281*('Ввод исходных данных'!$D$83-AU281)</f>
        <v>0</v>
      </c>
      <c r="AY281" s="1071">
        <v>16.3</v>
      </c>
      <c r="AZ281" s="1071"/>
      <c r="BA281" s="1071">
        <f t="shared" si="55"/>
        <v>0</v>
      </c>
      <c r="BB281" s="1071">
        <f>BA281*('Ввод исходных данных'!$D$83-AY281)</f>
        <v>0</v>
      </c>
      <c r="BC281" s="1072">
        <v>21.7</v>
      </c>
      <c r="BD281" s="1072"/>
      <c r="BE281" s="1072">
        <f t="shared" si="47"/>
        <v>0</v>
      </c>
      <c r="BF281" s="1073">
        <f>BE281*('Ввод исходных данных'!$D$83-BC281)</f>
        <v>0</v>
      </c>
    </row>
    <row r="282" spans="2:58" ht="15.75" customHeight="1" x14ac:dyDescent="0.25">
      <c r="B282" s="1076" t="s">
        <v>2</v>
      </c>
      <c r="C282" s="1076" t="s">
        <v>284</v>
      </c>
      <c r="D282" s="1053" t="str">
        <f t="shared" si="56"/>
        <v>Республика ДагестанМахачкала</v>
      </c>
      <c r="E282" s="1054">
        <v>144</v>
      </c>
      <c r="F282" s="1055">
        <v>2.7</v>
      </c>
      <c r="G282" s="1055">
        <v>-13</v>
      </c>
      <c r="H282" s="1057">
        <v>5.0999999999999996</v>
      </c>
      <c r="I282" s="1058">
        <f>E282*('Ввод исходных данных'!$D$83-F282)</f>
        <v>2491.2000000000003</v>
      </c>
      <c r="J282" s="1059" t="str">
        <f t="shared" si="46"/>
        <v>2000-3000</v>
      </c>
      <c r="K282" s="1060">
        <v>24.6</v>
      </c>
      <c r="L282" s="1060"/>
      <c r="M282" s="1061">
        <f t="shared" si="48"/>
        <v>0</v>
      </c>
      <c r="N282" s="1062">
        <f>M282*('Ввод исходных данных'!$D$83-K282)</f>
        <v>0</v>
      </c>
      <c r="O282" s="1063">
        <v>24.3</v>
      </c>
      <c r="P282" s="1063"/>
      <c r="Q282" s="1063">
        <f t="shared" si="49"/>
        <v>0</v>
      </c>
      <c r="R282" s="1063">
        <f>Q282*('Ввод исходных данных'!$D$83-O282)</f>
        <v>0</v>
      </c>
      <c r="S282" s="1064">
        <v>19.899999999999999</v>
      </c>
      <c r="T282" s="1064"/>
      <c r="U282" s="1064">
        <f t="shared" si="50"/>
        <v>0</v>
      </c>
      <c r="V282" s="1064">
        <f>U282*('Ввод исходных данных'!$D$83-S282)</f>
        <v>0</v>
      </c>
      <c r="W282" s="1065">
        <v>13.7</v>
      </c>
      <c r="X282" s="1065"/>
      <c r="Y282" s="1065">
        <f t="shared" si="51"/>
        <v>0</v>
      </c>
      <c r="Z282" s="1065">
        <f>Y282*('Ввод исходных данных'!$D$83-W282)</f>
        <v>0</v>
      </c>
      <c r="AA282" s="1066">
        <v>7.8</v>
      </c>
      <c r="AB282" s="1066"/>
      <c r="AC282" s="1066">
        <f t="shared" si="52"/>
        <v>27</v>
      </c>
      <c r="AD282" s="1066">
        <f>AC282*('Ввод исходных данных'!$D$83-AA282)</f>
        <v>329.4</v>
      </c>
      <c r="AE282" s="1067">
        <v>2.9</v>
      </c>
      <c r="AF282" s="1067"/>
      <c r="AG282" s="1067">
        <v>31</v>
      </c>
      <c r="AH282" s="1067">
        <f>AG282*('Ввод исходных данных'!$D$83-AE282)</f>
        <v>530.1</v>
      </c>
      <c r="AI282" s="1068">
        <v>0.6</v>
      </c>
      <c r="AJ282" s="1068"/>
      <c r="AK282" s="1068">
        <v>31</v>
      </c>
      <c r="AL282" s="1068">
        <f>AK282*('Ввод исходных данных'!$D$83-AI282)</f>
        <v>601.4</v>
      </c>
      <c r="AM282" s="1069">
        <v>0.8</v>
      </c>
      <c r="AN282" s="1069"/>
      <c r="AO282" s="1069">
        <v>28</v>
      </c>
      <c r="AP282" s="1069">
        <f>AO282*('Ввод исходных данных'!$D$83-AM282)</f>
        <v>537.6</v>
      </c>
      <c r="AQ282" s="1064">
        <v>4.4000000000000004</v>
      </c>
      <c r="AR282" s="1064"/>
      <c r="AS282" s="1064">
        <f t="shared" si="53"/>
        <v>27</v>
      </c>
      <c r="AT282" s="1064">
        <f>AS282*('Ввод исходных данных'!$D$83-AQ282)</f>
        <v>421.2</v>
      </c>
      <c r="AU282" s="1070">
        <v>10.3</v>
      </c>
      <c r="AV282" s="1070"/>
      <c r="AW282" s="1070">
        <f t="shared" si="54"/>
        <v>0</v>
      </c>
      <c r="AX282" s="1070">
        <f>AW282*('Ввод исходных данных'!$D$83-AU282)</f>
        <v>0</v>
      </c>
      <c r="AY282" s="1071">
        <v>16.2</v>
      </c>
      <c r="AZ282" s="1071"/>
      <c r="BA282" s="1071">
        <f t="shared" si="55"/>
        <v>0</v>
      </c>
      <c r="BB282" s="1071">
        <f>BA282*('Ввод исходных данных'!$D$83-AY282)</f>
        <v>0</v>
      </c>
      <c r="BC282" s="1072">
        <v>21.6</v>
      </c>
      <c r="BD282" s="1072"/>
      <c r="BE282" s="1072">
        <f t="shared" si="47"/>
        <v>0</v>
      </c>
      <c r="BF282" s="1073">
        <f>BE282*('Ввод исходных данных'!$D$83-BC282)</f>
        <v>0</v>
      </c>
    </row>
    <row r="283" spans="2:58" ht="15.75" customHeight="1" x14ac:dyDescent="0.25">
      <c r="B283" s="1052" t="s">
        <v>2</v>
      </c>
      <c r="C283" s="1052" t="s">
        <v>94</v>
      </c>
      <c r="D283" s="1053" t="str">
        <f t="shared" si="56"/>
        <v>Республика ДагестанЮжно-Сухокумск</v>
      </c>
      <c r="E283" s="1054">
        <v>162</v>
      </c>
      <c r="F283" s="1055">
        <v>0.8</v>
      </c>
      <c r="G283" s="1055">
        <v>-19</v>
      </c>
      <c r="H283" s="1057">
        <v>5.0999999999999996</v>
      </c>
      <c r="I283" s="1058">
        <f>E283*('Ввод исходных данных'!$D$83-F283)</f>
        <v>3110.4</v>
      </c>
      <c r="J283" s="1059" t="str">
        <f t="shared" si="46"/>
        <v>3000-4000</v>
      </c>
      <c r="K283" s="1060">
        <v>25.1</v>
      </c>
      <c r="L283" s="1060"/>
      <c r="M283" s="1061">
        <f t="shared" si="48"/>
        <v>0</v>
      </c>
      <c r="N283" s="1062">
        <f>M283*('Ввод исходных данных'!$D$83-K283)</f>
        <v>0</v>
      </c>
      <c r="O283" s="1063">
        <v>24.2</v>
      </c>
      <c r="P283" s="1063"/>
      <c r="Q283" s="1063">
        <f t="shared" si="49"/>
        <v>0</v>
      </c>
      <c r="R283" s="1063">
        <f>Q283*('Ввод исходных данных'!$D$83-O283)</f>
        <v>0</v>
      </c>
      <c r="S283" s="1064">
        <v>18.2</v>
      </c>
      <c r="T283" s="1064"/>
      <c r="U283" s="1064">
        <f t="shared" si="50"/>
        <v>0</v>
      </c>
      <c r="V283" s="1064">
        <f>U283*('Ввод исходных данных'!$D$83-S283)</f>
        <v>0</v>
      </c>
      <c r="W283" s="1065">
        <v>10.8</v>
      </c>
      <c r="X283" s="1065"/>
      <c r="Y283" s="1065">
        <f t="shared" si="51"/>
        <v>5.5</v>
      </c>
      <c r="Z283" s="1065">
        <f>Y283*('Ввод исходных данных'!$D$83-W283)</f>
        <v>50.599999999999994</v>
      </c>
      <c r="AA283" s="1066">
        <v>4.8</v>
      </c>
      <c r="AB283" s="1066"/>
      <c r="AC283" s="1066">
        <f t="shared" si="52"/>
        <v>30</v>
      </c>
      <c r="AD283" s="1066">
        <f>AC283*('Ввод исходных данных'!$D$83-AA283)</f>
        <v>456</v>
      </c>
      <c r="AE283" s="1067">
        <v>0.5</v>
      </c>
      <c r="AF283" s="1067"/>
      <c r="AG283" s="1067">
        <v>31</v>
      </c>
      <c r="AH283" s="1067">
        <f>AG283*('Ввод исходных данных'!$D$83-AE283)</f>
        <v>604.5</v>
      </c>
      <c r="AI283" s="1068">
        <v>-3.6</v>
      </c>
      <c r="AJ283" s="1068"/>
      <c r="AK283" s="1068">
        <v>31</v>
      </c>
      <c r="AL283" s="1068">
        <f>AK283*('Ввод исходных данных'!$D$83-AI283)</f>
        <v>731.6</v>
      </c>
      <c r="AM283" s="1069">
        <v>-2.5</v>
      </c>
      <c r="AN283" s="1069"/>
      <c r="AO283" s="1069">
        <v>28</v>
      </c>
      <c r="AP283" s="1069">
        <f>AO283*('Ввод исходных данных'!$D$83-AM283)</f>
        <v>630</v>
      </c>
      <c r="AQ283" s="1064">
        <v>2.4</v>
      </c>
      <c r="AR283" s="1064"/>
      <c r="AS283" s="1064">
        <f t="shared" si="53"/>
        <v>31</v>
      </c>
      <c r="AT283" s="1064">
        <f>AS283*('Ввод исходных данных'!$D$83-AQ283)</f>
        <v>545.6</v>
      </c>
      <c r="AU283" s="1070">
        <v>10.6</v>
      </c>
      <c r="AV283" s="1070"/>
      <c r="AW283" s="1070">
        <f t="shared" si="54"/>
        <v>5.5</v>
      </c>
      <c r="AX283" s="1070">
        <f>AW283*('Ввод исходных данных'!$D$83-AU283)</f>
        <v>51.7</v>
      </c>
      <c r="AY283" s="1071">
        <v>17.8</v>
      </c>
      <c r="AZ283" s="1071"/>
      <c r="BA283" s="1071">
        <f t="shared" si="55"/>
        <v>0</v>
      </c>
      <c r="BB283" s="1071">
        <f>BA283*('Ввод исходных данных'!$D$83-AY283)</f>
        <v>0</v>
      </c>
      <c r="BC283" s="1072">
        <v>22.4</v>
      </c>
      <c r="BD283" s="1072"/>
      <c r="BE283" s="1072">
        <f t="shared" si="47"/>
        <v>0</v>
      </c>
      <c r="BF283" s="1073">
        <f>BE283*('Ввод исходных данных'!$D$83-BC283)</f>
        <v>0</v>
      </c>
    </row>
    <row r="284" spans="2:58" ht="15.75" customHeight="1" x14ac:dyDescent="0.25">
      <c r="B284" s="1076" t="s">
        <v>68</v>
      </c>
      <c r="C284" s="1076" t="s">
        <v>69</v>
      </c>
      <c r="D284" s="1053" t="str">
        <f t="shared" si="56"/>
        <v>Республика ИнгушетияМагас</v>
      </c>
      <c r="E284" s="1054">
        <v>159</v>
      </c>
      <c r="F284" s="1055">
        <v>0.9</v>
      </c>
      <c r="G284" s="1055">
        <v>-17</v>
      </c>
      <c r="H284" s="1057">
        <v>5.2</v>
      </c>
      <c r="I284" s="1058">
        <f>E284*('Ввод исходных данных'!$D$83-F284)</f>
        <v>3036.9</v>
      </c>
      <c r="J284" s="1059" t="str">
        <f t="shared" si="46"/>
        <v>3000-4000</v>
      </c>
      <c r="K284" s="1060">
        <v>24</v>
      </c>
      <c r="L284" s="1060"/>
      <c r="M284" s="1061">
        <f t="shared" si="48"/>
        <v>0</v>
      </c>
      <c r="N284" s="1062">
        <f>M284*('Ввод исходных данных'!$D$83-K284)</f>
        <v>0</v>
      </c>
      <c r="O284" s="1063">
        <v>22.9</v>
      </c>
      <c r="P284" s="1063"/>
      <c r="Q284" s="1063">
        <f t="shared" si="49"/>
        <v>0</v>
      </c>
      <c r="R284" s="1063">
        <f>Q284*('Ввод исходных данных'!$D$83-O284)</f>
        <v>0</v>
      </c>
      <c r="S284" s="1064">
        <v>18</v>
      </c>
      <c r="T284" s="1064"/>
      <c r="U284" s="1064">
        <f t="shared" si="50"/>
        <v>0</v>
      </c>
      <c r="V284" s="1064">
        <f>U284*('Ввод исходных данных'!$D$83-S284)</f>
        <v>0</v>
      </c>
      <c r="W284" s="1065">
        <v>10.8</v>
      </c>
      <c r="X284" s="1065"/>
      <c r="Y284" s="1065">
        <f t="shared" si="51"/>
        <v>4</v>
      </c>
      <c r="Z284" s="1065">
        <f>Y284*('Ввод исходных данных'!$D$83-W284)</f>
        <v>36.799999999999997</v>
      </c>
      <c r="AA284" s="1066">
        <v>4.7</v>
      </c>
      <c r="AB284" s="1066"/>
      <c r="AC284" s="1066">
        <f t="shared" si="52"/>
        <v>30</v>
      </c>
      <c r="AD284" s="1066">
        <f>AC284*('Ввод исходных данных'!$D$83-AA284)</f>
        <v>459</v>
      </c>
      <c r="AE284" s="1067">
        <v>-0.3</v>
      </c>
      <c r="AF284" s="1067"/>
      <c r="AG284" s="1067">
        <v>31</v>
      </c>
      <c r="AH284" s="1067">
        <f>AG284*('Ввод исходных данных'!$D$83-AE284)</f>
        <v>629.30000000000007</v>
      </c>
      <c r="AI284" s="1068">
        <v>-2.2000000000000002</v>
      </c>
      <c r="AJ284" s="1068"/>
      <c r="AK284" s="1068">
        <v>31</v>
      </c>
      <c r="AL284" s="1068">
        <f>AK284*('Ввод исходных данных'!$D$83-AI284)</f>
        <v>688.19999999999993</v>
      </c>
      <c r="AM284" s="1069">
        <v>-1.9</v>
      </c>
      <c r="AN284" s="1069"/>
      <c r="AO284" s="1069">
        <v>28</v>
      </c>
      <c r="AP284" s="1069">
        <f>AO284*('Ввод исходных данных'!$D$83-AM284)</f>
        <v>613.19999999999993</v>
      </c>
      <c r="AQ284" s="1064">
        <v>3.5</v>
      </c>
      <c r="AR284" s="1064"/>
      <c r="AS284" s="1064">
        <f t="shared" si="53"/>
        <v>31</v>
      </c>
      <c r="AT284" s="1064">
        <f>AS284*('Ввод исходных данных'!$D$83-AQ284)</f>
        <v>511.5</v>
      </c>
      <c r="AU284" s="1070">
        <v>10.9</v>
      </c>
      <c r="AV284" s="1070"/>
      <c r="AW284" s="1070">
        <f t="shared" si="54"/>
        <v>4</v>
      </c>
      <c r="AX284" s="1070">
        <f>AW284*('Ввод исходных данных'!$D$83-AU284)</f>
        <v>36.4</v>
      </c>
      <c r="AY284" s="1071">
        <v>16.5</v>
      </c>
      <c r="AZ284" s="1071"/>
      <c r="BA284" s="1071">
        <f t="shared" si="55"/>
        <v>0</v>
      </c>
      <c r="BB284" s="1071">
        <f>BA284*('Ввод исходных данных'!$D$83-AY284)</f>
        <v>0</v>
      </c>
      <c r="BC284" s="1072">
        <v>21</v>
      </c>
      <c r="BD284" s="1072"/>
      <c r="BE284" s="1072">
        <f t="shared" si="47"/>
        <v>0</v>
      </c>
      <c r="BF284" s="1073">
        <f>BE284*('Ввод исходных данных'!$D$83-BC284)</f>
        <v>0</v>
      </c>
    </row>
    <row r="285" spans="2:58" ht="15.75" customHeight="1" x14ac:dyDescent="0.25">
      <c r="B285" s="1052" t="s">
        <v>68</v>
      </c>
      <c r="C285" s="1052" t="s">
        <v>70</v>
      </c>
      <c r="D285" s="1053" t="str">
        <f t="shared" si="56"/>
        <v>Республика ИнгушетияНазрань</v>
      </c>
      <c r="E285" s="1054">
        <v>159</v>
      </c>
      <c r="F285" s="1055">
        <v>0.9</v>
      </c>
      <c r="G285" s="1055">
        <v>-17</v>
      </c>
      <c r="H285" s="1057">
        <v>5.0999999999999996</v>
      </c>
      <c r="I285" s="1058">
        <f>E285*('Ввод исходных данных'!$D$83-F285)</f>
        <v>3036.9</v>
      </c>
      <c r="J285" s="1059" t="str">
        <f t="shared" si="46"/>
        <v>3000-4000</v>
      </c>
      <c r="K285" s="1060">
        <v>24</v>
      </c>
      <c r="L285" s="1060"/>
      <c r="M285" s="1061">
        <f t="shared" si="48"/>
        <v>0</v>
      </c>
      <c r="N285" s="1062">
        <f>M285*('Ввод исходных данных'!$D$83-K285)</f>
        <v>0</v>
      </c>
      <c r="O285" s="1063">
        <v>22.9</v>
      </c>
      <c r="P285" s="1063"/>
      <c r="Q285" s="1063">
        <f t="shared" si="49"/>
        <v>0</v>
      </c>
      <c r="R285" s="1063">
        <f>Q285*('Ввод исходных данных'!$D$83-O285)</f>
        <v>0</v>
      </c>
      <c r="S285" s="1064">
        <v>18</v>
      </c>
      <c r="T285" s="1064"/>
      <c r="U285" s="1064">
        <f t="shared" si="50"/>
        <v>0</v>
      </c>
      <c r="V285" s="1064">
        <f>U285*('Ввод исходных данных'!$D$83-S285)</f>
        <v>0</v>
      </c>
      <c r="W285" s="1065">
        <v>10.8</v>
      </c>
      <c r="X285" s="1065"/>
      <c r="Y285" s="1065">
        <f t="shared" si="51"/>
        <v>4</v>
      </c>
      <c r="Z285" s="1065">
        <f>Y285*('Ввод исходных данных'!$D$83-W285)</f>
        <v>36.799999999999997</v>
      </c>
      <c r="AA285" s="1066">
        <v>4.7</v>
      </c>
      <c r="AB285" s="1066"/>
      <c r="AC285" s="1066">
        <f t="shared" si="52"/>
        <v>30</v>
      </c>
      <c r="AD285" s="1066">
        <f>AC285*('Ввод исходных данных'!$D$83-AA285)</f>
        <v>459</v>
      </c>
      <c r="AE285" s="1067">
        <v>-0.3</v>
      </c>
      <c r="AF285" s="1067"/>
      <c r="AG285" s="1067">
        <v>31</v>
      </c>
      <c r="AH285" s="1067">
        <f>AG285*('Ввод исходных данных'!$D$83-AE285)</f>
        <v>629.30000000000007</v>
      </c>
      <c r="AI285" s="1068">
        <v>-2.2000000000000002</v>
      </c>
      <c r="AJ285" s="1068"/>
      <c r="AK285" s="1068">
        <v>31</v>
      </c>
      <c r="AL285" s="1068">
        <f>AK285*('Ввод исходных данных'!$D$83-AI285)</f>
        <v>688.19999999999993</v>
      </c>
      <c r="AM285" s="1069">
        <v>-1.9</v>
      </c>
      <c r="AN285" s="1069"/>
      <c r="AO285" s="1069">
        <v>28</v>
      </c>
      <c r="AP285" s="1069">
        <f>AO285*('Ввод исходных данных'!$D$83-AM285)</f>
        <v>613.19999999999993</v>
      </c>
      <c r="AQ285" s="1064">
        <v>3.5</v>
      </c>
      <c r="AR285" s="1064"/>
      <c r="AS285" s="1064">
        <f t="shared" si="53"/>
        <v>31</v>
      </c>
      <c r="AT285" s="1064">
        <f>AS285*('Ввод исходных данных'!$D$83-AQ285)</f>
        <v>511.5</v>
      </c>
      <c r="AU285" s="1070">
        <v>10.9</v>
      </c>
      <c r="AV285" s="1070"/>
      <c r="AW285" s="1070">
        <f t="shared" si="54"/>
        <v>4</v>
      </c>
      <c r="AX285" s="1070">
        <f>AW285*('Ввод исходных данных'!$D$83-AU285)</f>
        <v>36.4</v>
      </c>
      <c r="AY285" s="1071">
        <v>16.5</v>
      </c>
      <c r="AZ285" s="1071"/>
      <c r="BA285" s="1071">
        <f t="shared" si="55"/>
        <v>0</v>
      </c>
      <c r="BB285" s="1071">
        <f>BA285*('Ввод исходных данных'!$D$83-AY285)</f>
        <v>0</v>
      </c>
      <c r="BC285" s="1072">
        <v>21</v>
      </c>
      <c r="BD285" s="1072"/>
      <c r="BE285" s="1072">
        <f t="shared" si="47"/>
        <v>0</v>
      </c>
      <c r="BF285" s="1073">
        <f>BE285*('Ввод исходных данных'!$D$83-BC285)</f>
        <v>0</v>
      </c>
    </row>
    <row r="286" spans="2:58" ht="15.75" customHeight="1" x14ac:dyDescent="0.25">
      <c r="B286" s="1076" t="s">
        <v>98</v>
      </c>
      <c r="C286" s="1076" t="s">
        <v>99</v>
      </c>
      <c r="D286" s="1053" t="str">
        <f t="shared" si="56"/>
        <v>Республика Кабардино-БалкарияНальчик</v>
      </c>
      <c r="E286" s="1054">
        <v>159</v>
      </c>
      <c r="F286" s="1055">
        <v>0.9</v>
      </c>
      <c r="G286" s="1055">
        <v>-17</v>
      </c>
      <c r="H286" s="1057">
        <v>5.0999999999999996</v>
      </c>
      <c r="I286" s="1058">
        <f>E286*('Ввод исходных данных'!$D$83-F286)</f>
        <v>3036.9</v>
      </c>
      <c r="J286" s="1059" t="str">
        <f t="shared" si="46"/>
        <v>3000-4000</v>
      </c>
      <c r="K286" s="1060">
        <v>24</v>
      </c>
      <c r="L286" s="1060"/>
      <c r="M286" s="1061">
        <f t="shared" si="48"/>
        <v>0</v>
      </c>
      <c r="N286" s="1062">
        <f>M286*('Ввод исходных данных'!$D$83-K286)</f>
        <v>0</v>
      </c>
      <c r="O286" s="1063">
        <v>22.9</v>
      </c>
      <c r="P286" s="1063"/>
      <c r="Q286" s="1063">
        <f t="shared" si="49"/>
        <v>0</v>
      </c>
      <c r="R286" s="1063">
        <f>Q286*('Ввод исходных данных'!$D$83-O286)</f>
        <v>0</v>
      </c>
      <c r="S286" s="1064">
        <v>18</v>
      </c>
      <c r="T286" s="1064"/>
      <c r="U286" s="1064">
        <f t="shared" si="50"/>
        <v>0</v>
      </c>
      <c r="V286" s="1064">
        <f>U286*('Ввод исходных данных'!$D$83-S286)</f>
        <v>0</v>
      </c>
      <c r="W286" s="1065">
        <v>10.8</v>
      </c>
      <c r="X286" s="1065"/>
      <c r="Y286" s="1065">
        <f t="shared" si="51"/>
        <v>4</v>
      </c>
      <c r="Z286" s="1065">
        <f>Y286*('Ввод исходных данных'!$D$83-W286)</f>
        <v>36.799999999999997</v>
      </c>
      <c r="AA286" s="1066">
        <v>4.7</v>
      </c>
      <c r="AB286" s="1066"/>
      <c r="AC286" s="1066">
        <f t="shared" si="52"/>
        <v>30</v>
      </c>
      <c r="AD286" s="1066">
        <f>AC286*('Ввод исходных данных'!$D$83-AA286)</f>
        <v>459</v>
      </c>
      <c r="AE286" s="1067">
        <v>-0.3</v>
      </c>
      <c r="AF286" s="1067"/>
      <c r="AG286" s="1067">
        <v>31</v>
      </c>
      <c r="AH286" s="1067">
        <f>AG286*('Ввод исходных данных'!$D$83-AE286)</f>
        <v>629.30000000000007</v>
      </c>
      <c r="AI286" s="1068">
        <v>-2.2000000000000002</v>
      </c>
      <c r="AJ286" s="1068"/>
      <c r="AK286" s="1068">
        <v>31</v>
      </c>
      <c r="AL286" s="1068">
        <f>AK286*('Ввод исходных данных'!$D$83-AI286)</f>
        <v>688.19999999999993</v>
      </c>
      <c r="AM286" s="1069">
        <v>-1.9</v>
      </c>
      <c r="AN286" s="1069"/>
      <c r="AO286" s="1069">
        <v>28</v>
      </c>
      <c r="AP286" s="1069">
        <f>AO286*('Ввод исходных данных'!$D$83-AM286)</f>
        <v>613.19999999999993</v>
      </c>
      <c r="AQ286" s="1064">
        <v>3.5</v>
      </c>
      <c r="AR286" s="1064"/>
      <c r="AS286" s="1064">
        <f t="shared" si="53"/>
        <v>31</v>
      </c>
      <c r="AT286" s="1064">
        <f>AS286*('Ввод исходных данных'!$D$83-AQ286)</f>
        <v>511.5</v>
      </c>
      <c r="AU286" s="1070">
        <v>10.9</v>
      </c>
      <c r="AV286" s="1070"/>
      <c r="AW286" s="1070">
        <f t="shared" si="54"/>
        <v>4</v>
      </c>
      <c r="AX286" s="1070">
        <f>AW286*('Ввод исходных данных'!$D$83-AU286)</f>
        <v>36.4</v>
      </c>
      <c r="AY286" s="1071">
        <v>16.5</v>
      </c>
      <c r="AZ286" s="1071"/>
      <c r="BA286" s="1071">
        <f t="shared" si="55"/>
        <v>0</v>
      </c>
      <c r="BB286" s="1071">
        <f>BA286*('Ввод исходных данных'!$D$83-AY286)</f>
        <v>0</v>
      </c>
      <c r="BC286" s="1072">
        <v>21</v>
      </c>
      <c r="BD286" s="1072"/>
      <c r="BE286" s="1072">
        <f t="shared" si="47"/>
        <v>0</v>
      </c>
      <c r="BF286" s="1073">
        <f>BE286*('Ввод исходных данных'!$D$83-BC286)</f>
        <v>0</v>
      </c>
    </row>
    <row r="287" spans="2:58" ht="15.75" customHeight="1" x14ac:dyDescent="0.25">
      <c r="B287" s="1052" t="s">
        <v>458</v>
      </c>
      <c r="C287" s="1052" t="s">
        <v>285</v>
      </c>
      <c r="D287" s="1053" t="str">
        <f t="shared" si="56"/>
        <v>Республика КалмыкияЭлиста</v>
      </c>
      <c r="E287" s="1054">
        <v>169</v>
      </c>
      <c r="F287" s="1055">
        <v>-1</v>
      </c>
      <c r="G287" s="1055">
        <v>-23</v>
      </c>
      <c r="H287" s="1057">
        <v>8.5</v>
      </c>
      <c r="I287" s="1058">
        <f>E287*('Ввод исходных данных'!$D$83-F287)</f>
        <v>3549</v>
      </c>
      <c r="J287" s="1059" t="str">
        <f t="shared" si="46"/>
        <v>3000-4000</v>
      </c>
      <c r="K287" s="1060">
        <v>24.6</v>
      </c>
      <c r="L287" s="1060"/>
      <c r="M287" s="1061">
        <f t="shared" si="48"/>
        <v>0</v>
      </c>
      <c r="N287" s="1062">
        <f>M287*('Ввод исходных данных'!$D$83-K287)</f>
        <v>0</v>
      </c>
      <c r="O287" s="1063">
        <v>23.4</v>
      </c>
      <c r="P287" s="1063"/>
      <c r="Q287" s="1063">
        <f t="shared" si="49"/>
        <v>0</v>
      </c>
      <c r="R287" s="1063">
        <f>Q287*('Ввод исходных данных'!$D$83-O287)</f>
        <v>0</v>
      </c>
      <c r="S287" s="1064">
        <v>17.2</v>
      </c>
      <c r="T287" s="1064"/>
      <c r="U287" s="1064">
        <f t="shared" si="50"/>
        <v>0</v>
      </c>
      <c r="V287" s="1064">
        <f>U287*('Ввод исходных данных'!$D$83-S287)</f>
        <v>0</v>
      </c>
      <c r="W287" s="1065">
        <v>9.6</v>
      </c>
      <c r="X287" s="1065"/>
      <c r="Y287" s="1065">
        <f t="shared" si="51"/>
        <v>9</v>
      </c>
      <c r="Z287" s="1065">
        <f>Y287*('Ввод исходных данных'!$D$83-W287)</f>
        <v>93.600000000000009</v>
      </c>
      <c r="AA287" s="1066">
        <v>2.6</v>
      </c>
      <c r="AB287" s="1066"/>
      <c r="AC287" s="1066">
        <f t="shared" si="52"/>
        <v>30</v>
      </c>
      <c r="AD287" s="1066">
        <f>AC287*('Ввод исходных данных'!$D$83-AA287)</f>
        <v>522</v>
      </c>
      <c r="AE287" s="1067">
        <v>-2.5</v>
      </c>
      <c r="AF287" s="1067"/>
      <c r="AG287" s="1067">
        <v>31</v>
      </c>
      <c r="AH287" s="1067">
        <f>AG287*('Ввод исходных данных'!$D$83-AE287)</f>
        <v>697.5</v>
      </c>
      <c r="AI287" s="1068">
        <v>-5</v>
      </c>
      <c r="AJ287" s="1068"/>
      <c r="AK287" s="1068">
        <v>31</v>
      </c>
      <c r="AL287" s="1068">
        <f>AK287*('Ввод исходных данных'!$D$83-AI287)</f>
        <v>775</v>
      </c>
      <c r="AM287" s="1069">
        <v>-4.5999999999999996</v>
      </c>
      <c r="AN287" s="1069"/>
      <c r="AO287" s="1069">
        <v>28</v>
      </c>
      <c r="AP287" s="1069">
        <f>AO287*('Ввод исходных данных'!$D$83-AM287)</f>
        <v>688.80000000000007</v>
      </c>
      <c r="AQ287" s="1064">
        <v>1.3</v>
      </c>
      <c r="AR287" s="1064"/>
      <c r="AS287" s="1064">
        <f t="shared" si="53"/>
        <v>31</v>
      </c>
      <c r="AT287" s="1064">
        <f>AS287*('Ввод исходных данных'!$D$83-AQ287)</f>
        <v>579.69999999999993</v>
      </c>
      <c r="AU287" s="1070">
        <v>10.3</v>
      </c>
      <c r="AV287" s="1070"/>
      <c r="AW287" s="1070">
        <f t="shared" si="54"/>
        <v>9</v>
      </c>
      <c r="AX287" s="1070">
        <f>AW287*('Ввод исходных данных'!$D$83-AU287)</f>
        <v>87.3</v>
      </c>
      <c r="AY287" s="1071">
        <v>16.8</v>
      </c>
      <c r="AZ287" s="1071"/>
      <c r="BA287" s="1071">
        <f t="shared" si="55"/>
        <v>0</v>
      </c>
      <c r="BB287" s="1071">
        <f>BA287*('Ввод исходных данных'!$D$83-AY287)</f>
        <v>0</v>
      </c>
      <c r="BC287" s="1072">
        <v>21.6</v>
      </c>
      <c r="BD287" s="1072"/>
      <c r="BE287" s="1072">
        <f t="shared" si="47"/>
        <v>0</v>
      </c>
      <c r="BF287" s="1073">
        <f>BE287*('Ввод исходных данных'!$D$83-BC287)</f>
        <v>0</v>
      </c>
    </row>
    <row r="288" spans="2:58" ht="15.75" customHeight="1" x14ac:dyDescent="0.25">
      <c r="B288" s="1076" t="s">
        <v>329</v>
      </c>
      <c r="C288" s="1076" t="s">
        <v>330</v>
      </c>
      <c r="D288" s="1053" t="str">
        <f t="shared" si="56"/>
        <v>Республика КарелияКемь</v>
      </c>
      <c r="E288" s="1054">
        <v>255</v>
      </c>
      <c r="F288" s="1055">
        <v>-3.5</v>
      </c>
      <c r="G288" s="1055">
        <v>-28</v>
      </c>
      <c r="H288" s="1057">
        <v>4.7</v>
      </c>
      <c r="I288" s="1058">
        <f>E288*('Ввод исходных данных'!$D$83-F288)</f>
        <v>5992.5</v>
      </c>
      <c r="J288" s="1059" t="str">
        <f t="shared" si="46"/>
        <v>5000-6000</v>
      </c>
      <c r="K288" s="1060">
        <v>14.3</v>
      </c>
      <c r="L288" s="1060"/>
      <c r="M288" s="1061">
        <f t="shared" si="48"/>
        <v>0</v>
      </c>
      <c r="N288" s="1062">
        <f>M288*('Ввод исходных данных'!$D$83-K288)</f>
        <v>0</v>
      </c>
      <c r="O288" s="1063">
        <v>12.9</v>
      </c>
      <c r="P288" s="1063"/>
      <c r="Q288" s="1063">
        <f t="shared" si="49"/>
        <v>0</v>
      </c>
      <c r="R288" s="1063">
        <f>Q288*('Ввод исходных данных'!$D$83-O288)</f>
        <v>0</v>
      </c>
      <c r="S288" s="1064">
        <v>8.5</v>
      </c>
      <c r="T288" s="1064"/>
      <c r="U288" s="1064">
        <f t="shared" si="50"/>
        <v>21.5</v>
      </c>
      <c r="V288" s="1064">
        <f>U288*('Ввод исходных данных'!$D$83-S288)</f>
        <v>247.25</v>
      </c>
      <c r="W288" s="1065">
        <v>2.5</v>
      </c>
      <c r="X288" s="1065"/>
      <c r="Y288" s="1065">
        <f t="shared" si="51"/>
        <v>31</v>
      </c>
      <c r="Z288" s="1065">
        <f>Y288*('Ввод исходных данных'!$D$83-W288)</f>
        <v>542.5</v>
      </c>
      <c r="AA288" s="1066">
        <v>-3.2</v>
      </c>
      <c r="AB288" s="1066"/>
      <c r="AC288" s="1066">
        <f t="shared" si="52"/>
        <v>30</v>
      </c>
      <c r="AD288" s="1066">
        <f>AC288*('Ввод исходных данных'!$D$83-AA288)</f>
        <v>696</v>
      </c>
      <c r="AE288" s="1067">
        <v>-7.6</v>
      </c>
      <c r="AF288" s="1067"/>
      <c r="AG288" s="1067">
        <v>31</v>
      </c>
      <c r="AH288" s="1067">
        <f>AG288*('Ввод исходных данных'!$D$83-AE288)</f>
        <v>855.6</v>
      </c>
      <c r="AI288" s="1068">
        <v>-10.9</v>
      </c>
      <c r="AJ288" s="1068"/>
      <c r="AK288" s="1068">
        <v>31</v>
      </c>
      <c r="AL288" s="1068">
        <f>AK288*('Ввод исходных данных'!$D$83-AI288)</f>
        <v>957.9</v>
      </c>
      <c r="AM288" s="1069">
        <v>-10.5</v>
      </c>
      <c r="AN288" s="1069"/>
      <c r="AO288" s="1069">
        <v>28</v>
      </c>
      <c r="AP288" s="1069">
        <f>AO288*('Ввод исходных данных'!$D$83-AM288)</f>
        <v>854</v>
      </c>
      <c r="AQ288" s="1064">
        <v>-5.5</v>
      </c>
      <c r="AR288" s="1064"/>
      <c r="AS288" s="1064">
        <f t="shared" si="53"/>
        <v>31</v>
      </c>
      <c r="AT288" s="1064">
        <f>AS288*('Ввод исходных данных'!$D$83-AQ288)</f>
        <v>790.5</v>
      </c>
      <c r="AU288" s="1070">
        <v>-0.7</v>
      </c>
      <c r="AV288" s="1070"/>
      <c r="AW288" s="1070">
        <f t="shared" si="54"/>
        <v>30</v>
      </c>
      <c r="AX288" s="1070">
        <f>AW288*('Ввод исходных данных'!$D$83-AU288)</f>
        <v>621</v>
      </c>
      <c r="AY288" s="1071">
        <v>4.9000000000000004</v>
      </c>
      <c r="AZ288" s="1071"/>
      <c r="BA288" s="1071">
        <f t="shared" si="55"/>
        <v>21.5</v>
      </c>
      <c r="BB288" s="1071">
        <f>BA288*('Ввод исходных данных'!$D$83-AY288)</f>
        <v>324.64999999999998</v>
      </c>
      <c r="BC288" s="1072">
        <v>10.9</v>
      </c>
      <c r="BD288" s="1072"/>
      <c r="BE288" s="1072">
        <f t="shared" si="47"/>
        <v>0</v>
      </c>
      <c r="BF288" s="1073">
        <f>BE288*('Ввод исходных данных'!$D$83-BC288)</f>
        <v>0</v>
      </c>
    </row>
    <row r="289" spans="2:58" ht="15.75" customHeight="1" x14ac:dyDescent="0.25">
      <c r="B289" s="1052" t="s">
        <v>329</v>
      </c>
      <c r="C289" s="1052" t="s">
        <v>331</v>
      </c>
      <c r="D289" s="1053" t="str">
        <f t="shared" si="56"/>
        <v>Республика КарелияЛоухи</v>
      </c>
      <c r="E289" s="1054">
        <v>261</v>
      </c>
      <c r="F289" s="1055">
        <v>-4.2</v>
      </c>
      <c r="G289" s="1055">
        <v>-31</v>
      </c>
      <c r="H289" s="1057">
        <f>H288</f>
        <v>4.7</v>
      </c>
      <c r="I289" s="1058">
        <f>E289*('Ввод исходных данных'!$D$83-F289)</f>
        <v>6316.2</v>
      </c>
      <c r="J289" s="1059" t="str">
        <f t="shared" si="46"/>
        <v>6000-7000</v>
      </c>
      <c r="K289" s="1060">
        <v>14.8</v>
      </c>
      <c r="L289" s="1060"/>
      <c r="M289" s="1061">
        <f t="shared" si="48"/>
        <v>0</v>
      </c>
      <c r="N289" s="1062">
        <f>M289*('Ввод исходных данных'!$D$83-K289)</f>
        <v>0</v>
      </c>
      <c r="O289" s="1063">
        <v>12.8</v>
      </c>
      <c r="P289" s="1063"/>
      <c r="Q289" s="1063">
        <f t="shared" si="49"/>
        <v>0</v>
      </c>
      <c r="R289" s="1063">
        <f>Q289*('Ввод исходных данных'!$D$83-O289)</f>
        <v>0</v>
      </c>
      <c r="S289" s="1064">
        <v>7.2</v>
      </c>
      <c r="T289" s="1064"/>
      <c r="U289" s="1064">
        <f t="shared" si="50"/>
        <v>24.5</v>
      </c>
      <c r="V289" s="1064">
        <f>U289*('Ввод исходных данных'!$D$83-S289)</f>
        <v>313.60000000000002</v>
      </c>
      <c r="W289" s="1065">
        <v>1</v>
      </c>
      <c r="X289" s="1065"/>
      <c r="Y289" s="1065">
        <f t="shared" si="51"/>
        <v>31</v>
      </c>
      <c r="Z289" s="1065">
        <f>Y289*('Ввод исходных данных'!$D$83-W289)</f>
        <v>589</v>
      </c>
      <c r="AA289" s="1066">
        <v>-4.4000000000000004</v>
      </c>
      <c r="AB289" s="1066"/>
      <c r="AC289" s="1066">
        <f t="shared" si="52"/>
        <v>30</v>
      </c>
      <c r="AD289" s="1066">
        <f>AC289*('Ввод исходных данных'!$D$83-AA289)</f>
        <v>732</v>
      </c>
      <c r="AE289" s="1067">
        <v>-8.5</v>
      </c>
      <c r="AF289" s="1067"/>
      <c r="AG289" s="1067">
        <v>31</v>
      </c>
      <c r="AH289" s="1067">
        <f>AG289*('Ввод исходных данных'!$D$83-AE289)</f>
        <v>883.5</v>
      </c>
      <c r="AI289" s="1068">
        <v>-12.1</v>
      </c>
      <c r="AJ289" s="1068"/>
      <c r="AK289" s="1068">
        <v>31</v>
      </c>
      <c r="AL289" s="1068">
        <f>AK289*('Ввод исходных данных'!$D$83-AI289)</f>
        <v>995.1</v>
      </c>
      <c r="AM289" s="1069">
        <v>-12.4</v>
      </c>
      <c r="AN289" s="1069"/>
      <c r="AO289" s="1069">
        <v>28</v>
      </c>
      <c r="AP289" s="1069">
        <f>AO289*('Ввод исходных данных'!$D$83-AM289)</f>
        <v>907.19999999999993</v>
      </c>
      <c r="AQ289" s="1064">
        <v>-8.3000000000000007</v>
      </c>
      <c r="AR289" s="1064"/>
      <c r="AS289" s="1064">
        <f t="shared" si="53"/>
        <v>31</v>
      </c>
      <c r="AT289" s="1064">
        <f>AS289*('Ввод исходных данных'!$D$83-AQ289)</f>
        <v>877.30000000000007</v>
      </c>
      <c r="AU289" s="1070">
        <v>-1.7</v>
      </c>
      <c r="AV289" s="1070"/>
      <c r="AW289" s="1070">
        <f t="shared" si="54"/>
        <v>30</v>
      </c>
      <c r="AX289" s="1070">
        <f>AW289*('Ввод исходных данных'!$D$83-AU289)</f>
        <v>651</v>
      </c>
      <c r="AY289" s="1071">
        <v>4.7</v>
      </c>
      <c r="AZ289" s="1071"/>
      <c r="BA289" s="1071">
        <f t="shared" si="55"/>
        <v>24.5</v>
      </c>
      <c r="BB289" s="1071">
        <f>BA289*('Ввод исходных данных'!$D$83-AY289)</f>
        <v>374.85</v>
      </c>
      <c r="BC289" s="1072">
        <v>11.6</v>
      </c>
      <c r="BD289" s="1072"/>
      <c r="BE289" s="1072">
        <f t="shared" si="47"/>
        <v>0</v>
      </c>
      <c r="BF289" s="1073">
        <f>BE289*('Ввод исходных данных'!$D$83-BC289)</f>
        <v>0</v>
      </c>
    </row>
    <row r="290" spans="2:58" ht="15.75" customHeight="1" x14ac:dyDescent="0.25">
      <c r="B290" s="1076" t="s">
        <v>329</v>
      </c>
      <c r="C290" s="1076" t="s">
        <v>332</v>
      </c>
      <c r="D290" s="1053" t="str">
        <f t="shared" si="56"/>
        <v>Республика КарелияОлонец</v>
      </c>
      <c r="E290" s="1054">
        <v>233</v>
      </c>
      <c r="F290" s="1055">
        <v>-3.2</v>
      </c>
      <c r="G290" s="1055">
        <v>-29</v>
      </c>
      <c r="H290" s="1057">
        <v>6.5</v>
      </c>
      <c r="I290" s="1058">
        <f>E290*('Ввод исходных данных'!$D$83-F290)</f>
        <v>5405.5999999999995</v>
      </c>
      <c r="J290" s="1059" t="str">
        <f t="shared" si="46"/>
        <v>5000-6000</v>
      </c>
      <c r="K290" s="1060">
        <v>16.399999999999999</v>
      </c>
      <c r="L290" s="1060"/>
      <c r="M290" s="1061">
        <f t="shared" si="48"/>
        <v>0</v>
      </c>
      <c r="N290" s="1062">
        <f>M290*('Ввод исходных данных'!$D$83-K290)</f>
        <v>0</v>
      </c>
      <c r="O290" s="1063">
        <v>14.7</v>
      </c>
      <c r="P290" s="1063"/>
      <c r="Q290" s="1063">
        <f t="shared" si="49"/>
        <v>0</v>
      </c>
      <c r="R290" s="1063">
        <f>Q290*('Ввод исходных данных'!$D$83-O290)</f>
        <v>0</v>
      </c>
      <c r="S290" s="1064">
        <v>9.3000000000000007</v>
      </c>
      <c r="T290" s="1064"/>
      <c r="U290" s="1064">
        <f t="shared" si="50"/>
        <v>10.5</v>
      </c>
      <c r="V290" s="1064">
        <f>U290*('Ввод исходных данных'!$D$83-S290)</f>
        <v>112.35</v>
      </c>
      <c r="W290" s="1065">
        <v>3.4</v>
      </c>
      <c r="X290" s="1065"/>
      <c r="Y290" s="1065">
        <f t="shared" si="51"/>
        <v>31</v>
      </c>
      <c r="Z290" s="1065">
        <f>Y290*('Ввод исходных данных'!$D$83-W290)</f>
        <v>514.6</v>
      </c>
      <c r="AA290" s="1066">
        <v>-1.8</v>
      </c>
      <c r="AB290" s="1066"/>
      <c r="AC290" s="1066">
        <f t="shared" si="52"/>
        <v>30</v>
      </c>
      <c r="AD290" s="1066">
        <f>AC290*('Ввод исходных данных'!$D$83-AA290)</f>
        <v>654</v>
      </c>
      <c r="AE290" s="1067">
        <v>-7.1</v>
      </c>
      <c r="AF290" s="1067"/>
      <c r="AG290" s="1067">
        <v>31</v>
      </c>
      <c r="AH290" s="1067">
        <f>AG290*('Ввод исходных данных'!$D$83-AE290)</f>
        <v>840.1</v>
      </c>
      <c r="AI290" s="1068">
        <v>-10.3</v>
      </c>
      <c r="AJ290" s="1068"/>
      <c r="AK290" s="1068">
        <v>31</v>
      </c>
      <c r="AL290" s="1068">
        <f>AK290*('Ввод исходных данных'!$D$83-AI290)</f>
        <v>939.30000000000007</v>
      </c>
      <c r="AM290" s="1069">
        <v>-10.5</v>
      </c>
      <c r="AN290" s="1069"/>
      <c r="AO290" s="1069">
        <v>28</v>
      </c>
      <c r="AP290" s="1069">
        <f>AO290*('Ввод исходных данных'!$D$83-AM290)</f>
        <v>854</v>
      </c>
      <c r="AQ290" s="1064">
        <v>-6.3</v>
      </c>
      <c r="AR290" s="1064"/>
      <c r="AS290" s="1064">
        <f t="shared" si="53"/>
        <v>31</v>
      </c>
      <c r="AT290" s="1064">
        <f>AS290*('Ввод исходных данных'!$D$83-AQ290)</f>
        <v>815.30000000000007</v>
      </c>
      <c r="AU290" s="1070">
        <v>1.3</v>
      </c>
      <c r="AV290" s="1070"/>
      <c r="AW290" s="1070">
        <f t="shared" si="54"/>
        <v>30</v>
      </c>
      <c r="AX290" s="1070">
        <f>AW290*('Ввод исходных данных'!$D$83-AU290)</f>
        <v>561</v>
      </c>
      <c r="AY290" s="1071">
        <v>8.6</v>
      </c>
      <c r="AZ290" s="1071"/>
      <c r="BA290" s="1071">
        <f t="shared" si="55"/>
        <v>10.5</v>
      </c>
      <c r="BB290" s="1071">
        <f>BA290*('Ввод исходных данных'!$D$83-AY290)</f>
        <v>119.7</v>
      </c>
      <c r="BC290" s="1072">
        <v>13.6</v>
      </c>
      <c r="BD290" s="1072"/>
      <c r="BE290" s="1072">
        <f t="shared" si="47"/>
        <v>0</v>
      </c>
      <c r="BF290" s="1073">
        <f>BE290*('Ввод исходных данных'!$D$83-BC290)</f>
        <v>0</v>
      </c>
    </row>
    <row r="291" spans="2:58" ht="15.75" customHeight="1" x14ac:dyDescent="0.25">
      <c r="B291" s="1052" t="s">
        <v>329</v>
      </c>
      <c r="C291" s="1052" t="s">
        <v>333</v>
      </c>
      <c r="D291" s="1053" t="str">
        <f t="shared" si="56"/>
        <v>Республика КарелияПаданы</v>
      </c>
      <c r="E291" s="1054">
        <v>246</v>
      </c>
      <c r="F291" s="1055">
        <v>-3.7</v>
      </c>
      <c r="G291" s="1055">
        <v>-30</v>
      </c>
      <c r="H291" s="1057">
        <v>4</v>
      </c>
      <c r="I291" s="1058">
        <f>E291*('Ввод исходных данных'!$D$83-F291)</f>
        <v>5830.2</v>
      </c>
      <c r="J291" s="1059" t="str">
        <f t="shared" si="46"/>
        <v>5000-6000</v>
      </c>
      <c r="K291" s="1060">
        <v>16</v>
      </c>
      <c r="L291" s="1060"/>
      <c r="M291" s="1061">
        <f t="shared" si="48"/>
        <v>0</v>
      </c>
      <c r="N291" s="1062">
        <f>M291*('Ввод исходных данных'!$D$83-K291)</f>
        <v>0</v>
      </c>
      <c r="O291" s="1063">
        <v>14</v>
      </c>
      <c r="P291" s="1063"/>
      <c r="Q291" s="1063">
        <f t="shared" si="49"/>
        <v>0</v>
      </c>
      <c r="R291" s="1063">
        <f>Q291*('Ввод исходных данных'!$D$83-O291)</f>
        <v>0</v>
      </c>
      <c r="S291" s="1064">
        <v>8.8000000000000007</v>
      </c>
      <c r="T291" s="1064"/>
      <c r="U291" s="1064">
        <f t="shared" si="50"/>
        <v>17</v>
      </c>
      <c r="V291" s="1064">
        <f>U291*('Ввод исходных данных'!$D$83-S291)</f>
        <v>190.39999999999998</v>
      </c>
      <c r="W291" s="1065">
        <v>2.8</v>
      </c>
      <c r="X291" s="1065"/>
      <c r="Y291" s="1065">
        <f t="shared" si="51"/>
        <v>31</v>
      </c>
      <c r="Z291" s="1065">
        <f>Y291*('Ввод исходных данных'!$D$83-W291)</f>
        <v>533.19999999999993</v>
      </c>
      <c r="AA291" s="1066">
        <v>-3</v>
      </c>
      <c r="AB291" s="1066"/>
      <c r="AC291" s="1066">
        <f t="shared" si="52"/>
        <v>30</v>
      </c>
      <c r="AD291" s="1066">
        <f>AC291*('Ввод исходных данных'!$D$83-AA291)</f>
        <v>690</v>
      </c>
      <c r="AE291" s="1067">
        <v>-7.8</v>
      </c>
      <c r="AF291" s="1067"/>
      <c r="AG291" s="1067">
        <v>31</v>
      </c>
      <c r="AH291" s="1067">
        <f>AG291*('Ввод исходных данных'!$D$83-AE291)</f>
        <v>861.80000000000007</v>
      </c>
      <c r="AI291" s="1068">
        <v>-11.2</v>
      </c>
      <c r="AJ291" s="1068"/>
      <c r="AK291" s="1068">
        <v>31</v>
      </c>
      <c r="AL291" s="1068">
        <f>AK291*('Ввод исходных данных'!$D$83-AI291)</f>
        <v>967.19999999999993</v>
      </c>
      <c r="AM291" s="1069">
        <v>-10.7</v>
      </c>
      <c r="AN291" s="1069"/>
      <c r="AO291" s="1069">
        <v>28</v>
      </c>
      <c r="AP291" s="1069">
        <f>AO291*('Ввод исходных данных'!$D$83-AM291)</f>
        <v>859.6</v>
      </c>
      <c r="AQ291" s="1064">
        <v>-5.2</v>
      </c>
      <c r="AR291" s="1064"/>
      <c r="AS291" s="1064">
        <f t="shared" si="53"/>
        <v>31</v>
      </c>
      <c r="AT291" s="1064">
        <f>AS291*('Ввод исходных данных'!$D$83-AQ291)</f>
        <v>781.19999999999993</v>
      </c>
      <c r="AU291" s="1070">
        <v>0.2</v>
      </c>
      <c r="AV291" s="1070"/>
      <c r="AW291" s="1070">
        <f t="shared" si="54"/>
        <v>30</v>
      </c>
      <c r="AX291" s="1070">
        <f>AW291*('Ввод исходных данных'!$D$83-AU291)</f>
        <v>594</v>
      </c>
      <c r="AY291" s="1071">
        <v>6.5</v>
      </c>
      <c r="AZ291" s="1071"/>
      <c r="BA291" s="1071">
        <f t="shared" si="55"/>
        <v>17</v>
      </c>
      <c r="BB291" s="1071">
        <f>BA291*('Ввод исходных данных'!$D$83-AY291)</f>
        <v>229.5</v>
      </c>
      <c r="BC291" s="1072">
        <v>12.7</v>
      </c>
      <c r="BD291" s="1072"/>
      <c r="BE291" s="1072">
        <f t="shared" si="47"/>
        <v>0</v>
      </c>
      <c r="BF291" s="1073">
        <f>BE291*('Ввод исходных данных'!$D$83-BC291)</f>
        <v>0</v>
      </c>
    </row>
    <row r="292" spans="2:58" ht="15.75" customHeight="1" x14ac:dyDescent="0.25">
      <c r="B292" s="1076" t="s">
        <v>329</v>
      </c>
      <c r="C292" s="1076" t="s">
        <v>334</v>
      </c>
      <c r="D292" s="1053" t="str">
        <f t="shared" si="56"/>
        <v>Республика КарелияПетрозаводск</v>
      </c>
      <c r="E292" s="1054">
        <v>235</v>
      </c>
      <c r="F292" s="1055">
        <v>-3.2</v>
      </c>
      <c r="G292" s="1055">
        <v>-28</v>
      </c>
      <c r="H292" s="1057">
        <v>4.2</v>
      </c>
      <c r="I292" s="1058">
        <f>E292*('Ввод исходных данных'!$D$83-F292)</f>
        <v>5452</v>
      </c>
      <c r="J292" s="1059" t="str">
        <f t="shared" si="46"/>
        <v>5000-6000</v>
      </c>
      <c r="K292" s="1060">
        <v>16.5</v>
      </c>
      <c r="L292" s="1060"/>
      <c r="M292" s="1061">
        <f t="shared" si="48"/>
        <v>0</v>
      </c>
      <c r="N292" s="1062">
        <f>M292*('Ввод исходных данных'!$D$83-K292)</f>
        <v>0</v>
      </c>
      <c r="O292" s="1063">
        <v>14.3</v>
      </c>
      <c r="P292" s="1063"/>
      <c r="Q292" s="1063">
        <f t="shared" si="49"/>
        <v>0</v>
      </c>
      <c r="R292" s="1063">
        <f>Q292*('Ввод исходных данных'!$D$83-O292)</f>
        <v>0</v>
      </c>
      <c r="S292" s="1064">
        <v>9.1</v>
      </c>
      <c r="T292" s="1064"/>
      <c r="U292" s="1064">
        <f t="shared" si="50"/>
        <v>11.5</v>
      </c>
      <c r="V292" s="1064">
        <f>U292*('Ввод исходных данных'!$D$83-S292)</f>
        <v>125.35000000000001</v>
      </c>
      <c r="W292" s="1065">
        <v>3.3</v>
      </c>
      <c r="X292" s="1065"/>
      <c r="Y292" s="1065">
        <f t="shared" si="51"/>
        <v>31</v>
      </c>
      <c r="Z292" s="1065">
        <f>Y292*('Ввод исходных данных'!$D$83-W292)</f>
        <v>517.69999999999993</v>
      </c>
      <c r="AA292" s="1066">
        <v>-2.5</v>
      </c>
      <c r="AB292" s="1066"/>
      <c r="AC292" s="1066">
        <f t="shared" si="52"/>
        <v>30</v>
      </c>
      <c r="AD292" s="1066">
        <f>AC292*('Ввод исходных данных'!$D$83-AA292)</f>
        <v>675</v>
      </c>
      <c r="AE292" s="1067">
        <v>-7</v>
      </c>
      <c r="AF292" s="1067"/>
      <c r="AG292" s="1067">
        <v>31</v>
      </c>
      <c r="AH292" s="1067">
        <f>AG292*('Ввод исходных данных'!$D$83-AE292)</f>
        <v>837</v>
      </c>
      <c r="AI292" s="1068">
        <v>-10.3</v>
      </c>
      <c r="AJ292" s="1068"/>
      <c r="AK292" s="1068">
        <v>31</v>
      </c>
      <c r="AL292" s="1068">
        <f>AK292*('Ввод исходных данных'!$D$83-AI292)</f>
        <v>939.30000000000007</v>
      </c>
      <c r="AM292" s="1069">
        <v>-9.5</v>
      </c>
      <c r="AN292" s="1069"/>
      <c r="AO292" s="1069">
        <v>28</v>
      </c>
      <c r="AP292" s="1069">
        <f>AO292*('Ввод исходных данных'!$D$83-AM292)</f>
        <v>826</v>
      </c>
      <c r="AQ292" s="1064">
        <v>-3.8</v>
      </c>
      <c r="AR292" s="1064"/>
      <c r="AS292" s="1064">
        <f t="shared" si="53"/>
        <v>31</v>
      </c>
      <c r="AT292" s="1064">
        <f>AS292*('Ввод исходных данных'!$D$83-AQ292)</f>
        <v>737.80000000000007</v>
      </c>
      <c r="AU292" s="1070">
        <v>1.8</v>
      </c>
      <c r="AV292" s="1070"/>
      <c r="AW292" s="1070">
        <f t="shared" si="54"/>
        <v>30</v>
      </c>
      <c r="AX292" s="1070">
        <f>AW292*('Ввод исходных данных'!$D$83-AU292)</f>
        <v>546</v>
      </c>
      <c r="AY292" s="1071">
        <v>8.4</v>
      </c>
      <c r="AZ292" s="1071"/>
      <c r="BA292" s="1071">
        <f t="shared" si="55"/>
        <v>11.5</v>
      </c>
      <c r="BB292" s="1071">
        <f>BA292*('Ввод исходных данных'!$D$83-AY292)</f>
        <v>133.4</v>
      </c>
      <c r="BC292" s="1072">
        <v>13.7</v>
      </c>
      <c r="BD292" s="1072"/>
      <c r="BE292" s="1072">
        <f t="shared" si="47"/>
        <v>0</v>
      </c>
      <c r="BF292" s="1073">
        <f>BE292*('Ввод исходных данных'!$D$83-BC292)</f>
        <v>0</v>
      </c>
    </row>
    <row r="293" spans="2:58" ht="15.75" customHeight="1" x14ac:dyDescent="0.25">
      <c r="B293" s="1052" t="s">
        <v>329</v>
      </c>
      <c r="C293" s="1052" t="s">
        <v>681</v>
      </c>
      <c r="D293" s="1053" t="str">
        <f t="shared" si="56"/>
        <v>Республика КарелияРеболы</v>
      </c>
      <c r="E293" s="1054">
        <v>248</v>
      </c>
      <c r="F293" s="1055">
        <v>-4.2</v>
      </c>
      <c r="G293" s="1055">
        <v>-33</v>
      </c>
      <c r="H293" s="1057">
        <v>3.1</v>
      </c>
      <c r="I293" s="1058">
        <f>E293*('Ввод исходных данных'!$D$83-F293)</f>
        <v>6001.5999999999995</v>
      </c>
      <c r="J293" s="1059" t="str">
        <f t="shared" si="46"/>
        <v>6000-7000</v>
      </c>
      <c r="K293" s="1060">
        <v>16.100000000000001</v>
      </c>
      <c r="L293" s="1060"/>
      <c r="M293" s="1061">
        <f t="shared" si="48"/>
        <v>0</v>
      </c>
      <c r="N293" s="1062">
        <f>M293*('Ввод исходных данных'!$D$83-K293)</f>
        <v>0</v>
      </c>
      <c r="O293" s="1063">
        <v>13.5</v>
      </c>
      <c r="P293" s="1063"/>
      <c r="Q293" s="1063">
        <f t="shared" si="49"/>
        <v>0</v>
      </c>
      <c r="R293" s="1063">
        <f>Q293*('Ввод исходных данных'!$D$83-O293)</f>
        <v>0</v>
      </c>
      <c r="S293" s="1064">
        <v>8</v>
      </c>
      <c r="T293" s="1064"/>
      <c r="U293" s="1064">
        <f t="shared" si="50"/>
        <v>18</v>
      </c>
      <c r="V293" s="1064">
        <f>U293*('Ввод исходных данных'!$D$83-S293)</f>
        <v>216</v>
      </c>
      <c r="W293" s="1065">
        <v>1.9</v>
      </c>
      <c r="X293" s="1065"/>
      <c r="Y293" s="1065">
        <f t="shared" si="51"/>
        <v>31</v>
      </c>
      <c r="Z293" s="1065">
        <f>Y293*('Ввод исходных данных'!$D$83-W293)</f>
        <v>561.1</v>
      </c>
      <c r="AA293" s="1066">
        <v>-4</v>
      </c>
      <c r="AB293" s="1066"/>
      <c r="AC293" s="1066">
        <f t="shared" si="52"/>
        <v>30</v>
      </c>
      <c r="AD293" s="1066">
        <f>AC293*('Ввод исходных данных'!$D$83-AA293)</f>
        <v>720</v>
      </c>
      <c r="AE293" s="1067">
        <v>-8.8000000000000007</v>
      </c>
      <c r="AF293" s="1067"/>
      <c r="AG293" s="1067">
        <v>31</v>
      </c>
      <c r="AH293" s="1067">
        <f>AG293*('Ввод исходных данных'!$D$83-AE293)</f>
        <v>892.80000000000007</v>
      </c>
      <c r="AI293" s="1068">
        <v>-11.9</v>
      </c>
      <c r="AJ293" s="1068"/>
      <c r="AK293" s="1068">
        <v>31</v>
      </c>
      <c r="AL293" s="1068">
        <f>AK293*('Ввод исходных данных'!$D$83-AI293)</f>
        <v>988.9</v>
      </c>
      <c r="AM293" s="1069">
        <v>-11.5</v>
      </c>
      <c r="AN293" s="1069"/>
      <c r="AO293" s="1069">
        <v>28</v>
      </c>
      <c r="AP293" s="1069">
        <f>AO293*('Ввод исходных данных'!$D$83-AM293)</f>
        <v>882</v>
      </c>
      <c r="AQ293" s="1064">
        <v>-5.7</v>
      </c>
      <c r="AR293" s="1064"/>
      <c r="AS293" s="1064">
        <f t="shared" si="53"/>
        <v>31</v>
      </c>
      <c r="AT293" s="1064">
        <f>AS293*('Ввод исходных данных'!$D$83-AQ293)</f>
        <v>796.69999999999993</v>
      </c>
      <c r="AU293" s="1070">
        <v>0</v>
      </c>
      <c r="AV293" s="1070"/>
      <c r="AW293" s="1070">
        <f t="shared" si="54"/>
        <v>30</v>
      </c>
      <c r="AX293" s="1070">
        <f>AW293*('Ввод исходных данных'!$D$83-AU293)</f>
        <v>600</v>
      </c>
      <c r="AY293" s="1071">
        <v>6.9</v>
      </c>
      <c r="AZ293" s="1071"/>
      <c r="BA293" s="1071">
        <f t="shared" si="55"/>
        <v>18</v>
      </c>
      <c r="BB293" s="1071">
        <f>BA293*('Ввод исходных данных'!$D$83-AY293)</f>
        <v>235.79999999999998</v>
      </c>
      <c r="BC293" s="1072">
        <v>13.3</v>
      </c>
      <c r="BD293" s="1072"/>
      <c r="BE293" s="1072">
        <f t="shared" si="47"/>
        <v>0</v>
      </c>
      <c r="BF293" s="1073">
        <f>BE293*('Ввод исходных данных'!$D$83-BC293)</f>
        <v>0</v>
      </c>
    </row>
    <row r="294" spans="2:58" ht="15.75" customHeight="1" x14ac:dyDescent="0.25">
      <c r="B294" s="1076" t="s">
        <v>329</v>
      </c>
      <c r="C294" s="1076" t="s">
        <v>335</v>
      </c>
      <c r="D294" s="1053" t="str">
        <f t="shared" si="56"/>
        <v>Республика КарелияСортавала</v>
      </c>
      <c r="E294" s="1054">
        <v>232</v>
      </c>
      <c r="F294" s="1055">
        <v>-2.5</v>
      </c>
      <c r="G294" s="1055">
        <v>-29</v>
      </c>
      <c r="H294" s="1057">
        <v>4.3</v>
      </c>
      <c r="I294" s="1058">
        <f>E294*('Ввод исходных данных'!$D$83-F294)</f>
        <v>5220</v>
      </c>
      <c r="J294" s="1059" t="str">
        <f t="shared" si="46"/>
        <v>5000-6000</v>
      </c>
      <c r="K294" s="1060">
        <v>16.899999999999999</v>
      </c>
      <c r="L294" s="1060"/>
      <c r="M294" s="1061">
        <f t="shared" si="48"/>
        <v>0</v>
      </c>
      <c r="N294" s="1062">
        <f>M294*('Ввод исходных данных'!$D$83-K294)</f>
        <v>0</v>
      </c>
      <c r="O294" s="1063">
        <v>15</v>
      </c>
      <c r="P294" s="1063"/>
      <c r="Q294" s="1063">
        <f t="shared" si="49"/>
        <v>0</v>
      </c>
      <c r="R294" s="1063">
        <f>Q294*('Ввод исходных данных'!$D$83-O294)</f>
        <v>0</v>
      </c>
      <c r="S294" s="1064">
        <v>9.6</v>
      </c>
      <c r="T294" s="1064"/>
      <c r="U294" s="1064">
        <f t="shared" si="50"/>
        <v>10</v>
      </c>
      <c r="V294" s="1064">
        <f>U294*('Ввод исходных данных'!$D$83-S294)</f>
        <v>104</v>
      </c>
      <c r="W294" s="1065">
        <v>4.2</v>
      </c>
      <c r="X294" s="1065"/>
      <c r="Y294" s="1065">
        <f t="shared" si="51"/>
        <v>31</v>
      </c>
      <c r="Z294" s="1065">
        <f>Y294*('Ввод исходных данных'!$D$83-W294)</f>
        <v>489.8</v>
      </c>
      <c r="AA294" s="1066">
        <v>-1.1000000000000001</v>
      </c>
      <c r="AB294" s="1066"/>
      <c r="AC294" s="1066">
        <f t="shared" si="52"/>
        <v>30</v>
      </c>
      <c r="AD294" s="1066">
        <f>AC294*('Ввод исходных данных'!$D$83-AA294)</f>
        <v>633</v>
      </c>
      <c r="AE294" s="1067">
        <v>-5.8</v>
      </c>
      <c r="AF294" s="1067"/>
      <c r="AG294" s="1067">
        <v>31</v>
      </c>
      <c r="AH294" s="1067">
        <f>AG294*('Ввод исходных данных'!$D$83-AE294)</f>
        <v>799.80000000000007</v>
      </c>
      <c r="AI294" s="1068">
        <v>-9.1</v>
      </c>
      <c r="AJ294" s="1068"/>
      <c r="AK294" s="1068">
        <v>31</v>
      </c>
      <c r="AL294" s="1068">
        <f>AK294*('Ввод исходных данных'!$D$83-AI294)</f>
        <v>902.1</v>
      </c>
      <c r="AM294" s="1069">
        <v>-8.9</v>
      </c>
      <c r="AN294" s="1069"/>
      <c r="AO294" s="1069">
        <v>28</v>
      </c>
      <c r="AP294" s="1069">
        <f>AO294*('Ввод исходных данных'!$D$83-AM294)</f>
        <v>809.19999999999993</v>
      </c>
      <c r="AQ294" s="1064">
        <v>-3.8</v>
      </c>
      <c r="AR294" s="1064"/>
      <c r="AS294" s="1064">
        <f t="shared" si="53"/>
        <v>31</v>
      </c>
      <c r="AT294" s="1064">
        <f>AS294*('Ввод исходных данных'!$D$83-AQ294)</f>
        <v>737.80000000000007</v>
      </c>
      <c r="AU294" s="1070">
        <v>2</v>
      </c>
      <c r="AV294" s="1070"/>
      <c r="AW294" s="1070">
        <f t="shared" si="54"/>
        <v>30</v>
      </c>
      <c r="AX294" s="1070">
        <f>AW294*('Ввод исходных данных'!$D$83-AU294)</f>
        <v>540</v>
      </c>
      <c r="AY294" s="1071">
        <v>8.6</v>
      </c>
      <c r="AZ294" s="1071"/>
      <c r="BA294" s="1071">
        <f t="shared" si="55"/>
        <v>10</v>
      </c>
      <c r="BB294" s="1071">
        <f>BA294*('Ввод исходных данных'!$D$83-AY294)</f>
        <v>114</v>
      </c>
      <c r="BC294" s="1072">
        <v>14</v>
      </c>
      <c r="BD294" s="1072"/>
      <c r="BE294" s="1072">
        <f t="shared" si="47"/>
        <v>0</v>
      </c>
      <c r="BF294" s="1073">
        <f>BE294*('Ввод исходных данных'!$D$83-BC294)</f>
        <v>0</v>
      </c>
    </row>
    <row r="295" spans="2:58" ht="15.75" customHeight="1" x14ac:dyDescent="0.25">
      <c r="B295" s="1052" t="s">
        <v>145</v>
      </c>
      <c r="C295" s="1052" t="s">
        <v>153</v>
      </c>
      <c r="D295" s="1053" t="str">
        <f t="shared" si="56"/>
        <v>Республика КомиВендинга</v>
      </c>
      <c r="E295" s="1054">
        <v>257</v>
      </c>
      <c r="F295" s="1055">
        <v>-5.9</v>
      </c>
      <c r="G295" s="1055">
        <v>-39</v>
      </c>
      <c r="H295" s="1057">
        <v>3.8</v>
      </c>
      <c r="I295" s="1058">
        <f>E295*('Ввод исходных данных'!$D$83-F295)</f>
        <v>6656.2999999999993</v>
      </c>
      <c r="J295" s="1059" t="str">
        <f t="shared" si="46"/>
        <v>6000-7000</v>
      </c>
      <c r="K295" s="1060">
        <v>15.5</v>
      </c>
      <c r="L295" s="1060"/>
      <c r="M295" s="1061">
        <f t="shared" si="48"/>
        <v>0</v>
      </c>
      <c r="N295" s="1062">
        <f>M295*('Ввод исходных данных'!$D$83-K295)</f>
        <v>0</v>
      </c>
      <c r="O295" s="1063">
        <v>13</v>
      </c>
      <c r="P295" s="1063"/>
      <c r="Q295" s="1063">
        <f t="shared" si="49"/>
        <v>0</v>
      </c>
      <c r="R295" s="1063">
        <f>Q295*('Ввод исходных данных'!$D$83-O295)</f>
        <v>0</v>
      </c>
      <c r="S295" s="1064">
        <v>6.8</v>
      </c>
      <c r="T295" s="1064"/>
      <c r="U295" s="1064">
        <f t="shared" si="50"/>
        <v>22.5</v>
      </c>
      <c r="V295" s="1064">
        <f>U295*('Ввод исходных данных'!$D$83-S295)</f>
        <v>297</v>
      </c>
      <c r="W295" s="1065">
        <v>0</v>
      </c>
      <c r="X295" s="1065"/>
      <c r="Y295" s="1065">
        <f t="shared" si="51"/>
        <v>31</v>
      </c>
      <c r="Z295" s="1065">
        <f>Y295*('Ввод исходных данных'!$D$83-W295)</f>
        <v>620</v>
      </c>
      <c r="AA295" s="1066">
        <v>-6.7</v>
      </c>
      <c r="AB295" s="1066"/>
      <c r="AC295" s="1066">
        <f t="shared" si="52"/>
        <v>30</v>
      </c>
      <c r="AD295" s="1066">
        <f>AC295*('Ввод исходных данных'!$D$83-AA295)</f>
        <v>801</v>
      </c>
      <c r="AE295" s="1067">
        <v>-13.2</v>
      </c>
      <c r="AF295" s="1067"/>
      <c r="AG295" s="1067">
        <v>31</v>
      </c>
      <c r="AH295" s="1067">
        <f>AG295*('Ввод исходных данных'!$D$83-AE295)</f>
        <v>1029.2</v>
      </c>
      <c r="AI295" s="1068">
        <v>-15.8</v>
      </c>
      <c r="AJ295" s="1068"/>
      <c r="AK295" s="1068">
        <v>31</v>
      </c>
      <c r="AL295" s="1068">
        <f>AK295*('Ввод исходных данных'!$D$83-AI295)</f>
        <v>1109.8</v>
      </c>
      <c r="AM295" s="1069">
        <v>-15.1</v>
      </c>
      <c r="AN295" s="1069"/>
      <c r="AO295" s="1069">
        <v>28</v>
      </c>
      <c r="AP295" s="1069">
        <f>AO295*('Ввод исходных данных'!$D$83-AM295)</f>
        <v>982.80000000000007</v>
      </c>
      <c r="AQ295" s="1064">
        <v>-9.1</v>
      </c>
      <c r="AR295" s="1064"/>
      <c r="AS295" s="1064">
        <f t="shared" si="53"/>
        <v>31</v>
      </c>
      <c r="AT295" s="1064">
        <f>AS295*('Ввод исходных данных'!$D$83-AQ295)</f>
        <v>902.1</v>
      </c>
      <c r="AU295" s="1070">
        <v>-0.4</v>
      </c>
      <c r="AV295" s="1070"/>
      <c r="AW295" s="1070">
        <f t="shared" si="54"/>
        <v>30</v>
      </c>
      <c r="AX295" s="1070">
        <f>AW295*('Ввод исходных данных'!$D$83-AU295)</f>
        <v>612</v>
      </c>
      <c r="AY295" s="1071">
        <v>6.2</v>
      </c>
      <c r="AZ295" s="1071"/>
      <c r="BA295" s="1071">
        <f t="shared" si="55"/>
        <v>22.5</v>
      </c>
      <c r="BB295" s="1071">
        <f>BA295*('Ввод исходных данных'!$D$83-AY295)</f>
        <v>310.5</v>
      </c>
      <c r="BC295" s="1072">
        <v>12.4</v>
      </c>
      <c r="BD295" s="1072"/>
      <c r="BE295" s="1072">
        <f t="shared" si="47"/>
        <v>0</v>
      </c>
      <c r="BF295" s="1073">
        <f>BE295*('Ввод исходных данных'!$D$83-BC295)</f>
        <v>0</v>
      </c>
    </row>
    <row r="296" spans="2:58" ht="15.75" customHeight="1" x14ac:dyDescent="0.25">
      <c r="B296" s="1076" t="s">
        <v>145</v>
      </c>
      <c r="C296" s="1076" t="s">
        <v>154</v>
      </c>
      <c r="D296" s="1053" t="str">
        <f t="shared" si="56"/>
        <v>Республика КомиВоркута</v>
      </c>
      <c r="E296" s="1054">
        <v>306</v>
      </c>
      <c r="F296" s="1055">
        <v>-9.1</v>
      </c>
      <c r="G296" s="1055">
        <v>-41</v>
      </c>
      <c r="H296" s="1057">
        <v>10.1</v>
      </c>
      <c r="I296" s="1058">
        <f>E296*('Ввод исходных данных'!$D$83-F296)</f>
        <v>8904.6</v>
      </c>
      <c r="J296" s="1059" t="str">
        <f t="shared" si="46"/>
        <v>8000-9000</v>
      </c>
      <c r="K296" s="1060">
        <v>12.4</v>
      </c>
      <c r="L296" s="1060"/>
      <c r="M296" s="1061">
        <f t="shared" si="48"/>
        <v>0</v>
      </c>
      <c r="N296" s="1062">
        <f>M296*('Ввод исходных данных'!$D$83-K296)</f>
        <v>0</v>
      </c>
      <c r="O296" s="1063">
        <v>9.5</v>
      </c>
      <c r="P296" s="1063"/>
      <c r="Q296" s="1063">
        <f t="shared" si="49"/>
        <v>16.5</v>
      </c>
      <c r="R296" s="1063">
        <f>Q296*('Ввод исходных данных'!$D$83-O296)</f>
        <v>173.25</v>
      </c>
      <c r="S296" s="1064">
        <v>3.8</v>
      </c>
      <c r="T296" s="1064"/>
      <c r="U296" s="1064">
        <f t="shared" si="50"/>
        <v>30</v>
      </c>
      <c r="V296" s="1064">
        <f>U296*('Ввод исходных данных'!$D$83-S296)</f>
        <v>486</v>
      </c>
      <c r="W296" s="1065">
        <v>-5.0999999999999996</v>
      </c>
      <c r="X296" s="1065"/>
      <c r="Y296" s="1065">
        <f t="shared" si="51"/>
        <v>31</v>
      </c>
      <c r="Z296" s="1065">
        <f>Y296*('Ввод исходных данных'!$D$83-W296)</f>
        <v>778.1</v>
      </c>
      <c r="AA296" s="1066">
        <v>-13.6</v>
      </c>
      <c r="AB296" s="1066"/>
      <c r="AC296" s="1066">
        <f t="shared" si="52"/>
        <v>30</v>
      </c>
      <c r="AD296" s="1066">
        <f>AC296*('Ввод исходных данных'!$D$83-AA296)</f>
        <v>1008</v>
      </c>
      <c r="AE296" s="1067">
        <v>-15.7</v>
      </c>
      <c r="AF296" s="1067"/>
      <c r="AG296" s="1067">
        <v>31</v>
      </c>
      <c r="AH296" s="1067">
        <f>AG296*('Ввод исходных данных'!$D$83-AE296)</f>
        <v>1106.7</v>
      </c>
      <c r="AI296" s="1068">
        <v>-20.3</v>
      </c>
      <c r="AJ296" s="1068"/>
      <c r="AK296" s="1068">
        <v>31</v>
      </c>
      <c r="AL296" s="1068">
        <f>AK296*('Ввод исходных данных'!$D$83-AI296)</f>
        <v>1249.3</v>
      </c>
      <c r="AM296" s="1069">
        <v>-20.6</v>
      </c>
      <c r="AN296" s="1069"/>
      <c r="AO296" s="1069">
        <v>28</v>
      </c>
      <c r="AP296" s="1069">
        <f>AO296*('Ввод исходных данных'!$D$83-AM296)</f>
        <v>1136.8</v>
      </c>
      <c r="AQ296" s="1064">
        <v>-16.5</v>
      </c>
      <c r="AR296" s="1064"/>
      <c r="AS296" s="1064">
        <f t="shared" si="53"/>
        <v>31</v>
      </c>
      <c r="AT296" s="1064">
        <f>AS296*('Ввод исходных данных'!$D$83-AQ296)</f>
        <v>1131.5</v>
      </c>
      <c r="AU296" s="1070">
        <v>-9</v>
      </c>
      <c r="AV296" s="1070"/>
      <c r="AW296" s="1070">
        <f t="shared" si="54"/>
        <v>30</v>
      </c>
      <c r="AX296" s="1070">
        <f>AW296*('Ввод исходных данных'!$D$83-AU296)</f>
        <v>870</v>
      </c>
      <c r="AY296" s="1071">
        <v>-2.8</v>
      </c>
      <c r="AZ296" s="1071"/>
      <c r="BA296" s="1071">
        <f t="shared" si="55"/>
        <v>31</v>
      </c>
      <c r="BB296" s="1071">
        <f>BA296*('Ввод исходных данных'!$D$83-AY296)</f>
        <v>706.80000000000007</v>
      </c>
      <c r="BC296" s="1072">
        <v>5.8</v>
      </c>
      <c r="BD296" s="1072"/>
      <c r="BE296" s="1072">
        <f t="shared" si="47"/>
        <v>16.5</v>
      </c>
      <c r="BF296" s="1073">
        <f>BE296*('Ввод исходных данных'!$D$83-BC296)</f>
        <v>234.29999999999998</v>
      </c>
    </row>
    <row r="297" spans="2:58" ht="15.75" customHeight="1" x14ac:dyDescent="0.25">
      <c r="B297" s="1052" t="s">
        <v>145</v>
      </c>
      <c r="C297" s="1052" t="s">
        <v>682</v>
      </c>
      <c r="D297" s="1053" t="str">
        <f t="shared" si="56"/>
        <v>Республика КомиОбъячево</v>
      </c>
      <c r="E297" s="1054">
        <v>239</v>
      </c>
      <c r="F297" s="1055">
        <v>-5.3</v>
      </c>
      <c r="G297" s="1055">
        <v>-34</v>
      </c>
      <c r="H297" s="1057">
        <v>10.1</v>
      </c>
      <c r="I297" s="1058">
        <f>E297*('Ввод исходных данных'!$D$83-F297)</f>
        <v>6046.7</v>
      </c>
      <c r="J297" s="1059" t="str">
        <f t="shared" si="46"/>
        <v>6000-7000</v>
      </c>
      <c r="K297" s="1060">
        <v>16.600000000000001</v>
      </c>
      <c r="L297" s="1060"/>
      <c r="M297" s="1061">
        <f t="shared" si="48"/>
        <v>0</v>
      </c>
      <c r="N297" s="1062">
        <f>M297*('Ввод исходных данных'!$D$83-K297)</f>
        <v>0</v>
      </c>
      <c r="O297" s="1063">
        <v>14.3</v>
      </c>
      <c r="P297" s="1063"/>
      <c r="Q297" s="1063">
        <f t="shared" si="49"/>
        <v>0</v>
      </c>
      <c r="R297" s="1063">
        <f>Q297*('Ввод исходных данных'!$D$83-O297)</f>
        <v>0</v>
      </c>
      <c r="S297" s="1064">
        <v>8.1999999999999993</v>
      </c>
      <c r="T297" s="1064"/>
      <c r="U297" s="1064">
        <f t="shared" si="50"/>
        <v>13.5</v>
      </c>
      <c r="V297" s="1064">
        <f>U297*('Ввод исходных данных'!$D$83-S297)</f>
        <v>159.30000000000001</v>
      </c>
      <c r="W297" s="1065">
        <v>0.7</v>
      </c>
      <c r="X297" s="1065"/>
      <c r="Y297" s="1065">
        <f t="shared" si="51"/>
        <v>31</v>
      </c>
      <c r="Z297" s="1065">
        <f>Y297*('Ввод исходных данных'!$D$83-W297)</f>
        <v>598.30000000000007</v>
      </c>
      <c r="AA297" s="1066">
        <v>-5.7</v>
      </c>
      <c r="AB297" s="1066"/>
      <c r="AC297" s="1066">
        <f t="shared" si="52"/>
        <v>30</v>
      </c>
      <c r="AD297" s="1066">
        <f>AC297*('Ввод исходных данных'!$D$83-AA297)</f>
        <v>771</v>
      </c>
      <c r="AE297" s="1067">
        <v>-11.6</v>
      </c>
      <c r="AF297" s="1067"/>
      <c r="AG297" s="1067">
        <v>31</v>
      </c>
      <c r="AH297" s="1067">
        <f>AG297*('Ввод исходных данных'!$D$83-AE297)</f>
        <v>979.6</v>
      </c>
      <c r="AI297" s="1068">
        <v>-14.9</v>
      </c>
      <c r="AJ297" s="1068"/>
      <c r="AK297" s="1068">
        <v>31</v>
      </c>
      <c r="AL297" s="1068">
        <f>AK297*('Ввод исходных данных'!$D$83-AI297)</f>
        <v>1081.8999999999999</v>
      </c>
      <c r="AM297" s="1069">
        <v>-13</v>
      </c>
      <c r="AN297" s="1069"/>
      <c r="AO297" s="1069">
        <v>28</v>
      </c>
      <c r="AP297" s="1069">
        <f>AO297*('Ввод исходных данных'!$D$83-AM297)</f>
        <v>924</v>
      </c>
      <c r="AQ297" s="1064">
        <v>-6.6</v>
      </c>
      <c r="AR297" s="1064"/>
      <c r="AS297" s="1064">
        <f t="shared" si="53"/>
        <v>31</v>
      </c>
      <c r="AT297" s="1064">
        <f>AS297*('Ввод исходных данных'!$D$83-AQ297)</f>
        <v>824.6</v>
      </c>
      <c r="AU297" s="1070">
        <v>1.7</v>
      </c>
      <c r="AV297" s="1070"/>
      <c r="AW297" s="1070">
        <f t="shared" si="54"/>
        <v>30</v>
      </c>
      <c r="AX297" s="1070">
        <f>AW297*('Ввод исходных данных'!$D$83-AU297)</f>
        <v>549</v>
      </c>
      <c r="AY297" s="1071">
        <v>8.5</v>
      </c>
      <c r="AZ297" s="1071"/>
      <c r="BA297" s="1071">
        <f t="shared" si="55"/>
        <v>13.5</v>
      </c>
      <c r="BB297" s="1071">
        <f>BA297*('Ввод исходных данных'!$D$83-AY297)</f>
        <v>155.25</v>
      </c>
      <c r="BC297" s="1072">
        <v>14.4</v>
      </c>
      <c r="BD297" s="1072"/>
      <c r="BE297" s="1072">
        <f t="shared" si="47"/>
        <v>0</v>
      </c>
      <c r="BF297" s="1073">
        <f>BE297*('Ввод исходных данных'!$D$83-BC297)</f>
        <v>0</v>
      </c>
    </row>
    <row r="298" spans="2:58" ht="15.75" customHeight="1" x14ac:dyDescent="0.25">
      <c r="B298" s="1076" t="s">
        <v>145</v>
      </c>
      <c r="C298" s="1076" t="s">
        <v>147</v>
      </c>
      <c r="D298" s="1053" t="str">
        <f t="shared" si="56"/>
        <v>Республика КомиПетрунь</v>
      </c>
      <c r="E298" s="1054">
        <v>285</v>
      </c>
      <c r="F298" s="1055">
        <v>-8.8000000000000007</v>
      </c>
      <c r="G298" s="1055">
        <v>-43</v>
      </c>
      <c r="H298" s="1057">
        <v>5.4</v>
      </c>
      <c r="I298" s="1058">
        <f>E298*('Ввод исходных данных'!$D$83-F298)</f>
        <v>8208</v>
      </c>
      <c r="J298" s="1059" t="str">
        <f t="shared" si="46"/>
        <v>8000-9000</v>
      </c>
      <c r="K298" s="1060">
        <v>14.4</v>
      </c>
      <c r="L298" s="1060"/>
      <c r="M298" s="1061">
        <f t="shared" si="48"/>
        <v>0</v>
      </c>
      <c r="N298" s="1062">
        <f>M298*('Ввод исходных данных'!$D$83-K298)</f>
        <v>0</v>
      </c>
      <c r="O298" s="1063">
        <v>10.7</v>
      </c>
      <c r="P298" s="1063"/>
      <c r="Q298" s="1063">
        <f t="shared" si="49"/>
        <v>6</v>
      </c>
      <c r="R298" s="1063">
        <f>Q298*('Ввод исходных данных'!$D$83-O298)</f>
        <v>55.800000000000004</v>
      </c>
      <c r="S298" s="1064">
        <v>5.5</v>
      </c>
      <c r="T298" s="1064"/>
      <c r="U298" s="1064">
        <f t="shared" si="50"/>
        <v>30</v>
      </c>
      <c r="V298" s="1064">
        <f>U298*('Ввод исходных данных'!$D$83-S298)</f>
        <v>435</v>
      </c>
      <c r="W298" s="1065">
        <v>-2.9</v>
      </c>
      <c r="X298" s="1065"/>
      <c r="Y298" s="1065">
        <f t="shared" si="51"/>
        <v>31</v>
      </c>
      <c r="Z298" s="1065">
        <f>Y298*('Ввод исходных данных'!$D$83-W298)</f>
        <v>709.9</v>
      </c>
      <c r="AA298" s="1066">
        <v>-11.9</v>
      </c>
      <c r="AB298" s="1066"/>
      <c r="AC298" s="1066">
        <f t="shared" si="52"/>
        <v>30</v>
      </c>
      <c r="AD298" s="1066">
        <f>AC298*('Ввод исходных данных'!$D$83-AA298)</f>
        <v>957</v>
      </c>
      <c r="AE298" s="1067">
        <v>-16.5</v>
      </c>
      <c r="AF298" s="1067"/>
      <c r="AG298" s="1067">
        <v>31</v>
      </c>
      <c r="AH298" s="1067">
        <f>AG298*('Ввод исходных данных'!$D$83-AE298)</f>
        <v>1131.5</v>
      </c>
      <c r="AI298" s="1068">
        <v>-20</v>
      </c>
      <c r="AJ298" s="1068"/>
      <c r="AK298" s="1068">
        <v>31</v>
      </c>
      <c r="AL298" s="1068">
        <f>AK298*('Ввод исходных данных'!$D$83-AI298)</f>
        <v>1240</v>
      </c>
      <c r="AM298" s="1069">
        <v>-18.899999999999999</v>
      </c>
      <c r="AN298" s="1069"/>
      <c r="AO298" s="1069">
        <v>28</v>
      </c>
      <c r="AP298" s="1069">
        <f>AO298*('Ввод исходных данных'!$D$83-AM298)</f>
        <v>1089.2</v>
      </c>
      <c r="AQ298" s="1064">
        <v>-11.7</v>
      </c>
      <c r="AR298" s="1064"/>
      <c r="AS298" s="1064">
        <f t="shared" si="53"/>
        <v>31</v>
      </c>
      <c r="AT298" s="1064">
        <f>AS298*('Ввод исходных данных'!$D$83-AQ298)</f>
        <v>982.69999999999993</v>
      </c>
      <c r="AU298" s="1070">
        <v>-7.2</v>
      </c>
      <c r="AV298" s="1070"/>
      <c r="AW298" s="1070">
        <f t="shared" si="54"/>
        <v>30</v>
      </c>
      <c r="AX298" s="1070">
        <f>AW298*('Ввод исходных данных'!$D$83-AU298)</f>
        <v>816</v>
      </c>
      <c r="AY298" s="1071">
        <v>0.4</v>
      </c>
      <c r="AZ298" s="1071"/>
      <c r="BA298" s="1071">
        <f t="shared" si="55"/>
        <v>31</v>
      </c>
      <c r="BB298" s="1071">
        <f>BA298*('Ввод исходных данных'!$D$83-AY298)</f>
        <v>607.6</v>
      </c>
      <c r="BC298" s="1072">
        <v>9.1999999999999993</v>
      </c>
      <c r="BD298" s="1072"/>
      <c r="BE298" s="1072">
        <f t="shared" si="47"/>
        <v>6</v>
      </c>
      <c r="BF298" s="1073">
        <f>BE298*('Ввод исходных данных'!$D$83-BC298)</f>
        <v>64.800000000000011</v>
      </c>
    </row>
    <row r="299" spans="2:58" ht="15.75" customHeight="1" x14ac:dyDescent="0.25">
      <c r="B299" s="1052" t="s">
        <v>145</v>
      </c>
      <c r="C299" s="1052" t="s">
        <v>146</v>
      </c>
      <c r="D299" s="1053" t="str">
        <f t="shared" si="56"/>
        <v>Республика КомиПечора</v>
      </c>
      <c r="E299" s="1054">
        <v>268</v>
      </c>
      <c r="F299" s="1055">
        <v>-7.9</v>
      </c>
      <c r="G299" s="1055">
        <v>-43</v>
      </c>
      <c r="H299" s="1057">
        <v>4.5</v>
      </c>
      <c r="I299" s="1058">
        <f>E299*('Ввод исходных данных'!$D$83-F299)</f>
        <v>7477.2</v>
      </c>
      <c r="J299" s="1059" t="str">
        <f t="shared" si="46"/>
        <v>7000-8000</v>
      </c>
      <c r="K299" s="1060">
        <v>16</v>
      </c>
      <c r="L299" s="1060"/>
      <c r="M299" s="1061">
        <f t="shared" si="48"/>
        <v>0</v>
      </c>
      <c r="N299" s="1062">
        <f>M299*('Ввод исходных данных'!$D$83-K299)</f>
        <v>0</v>
      </c>
      <c r="O299" s="1063">
        <v>12</v>
      </c>
      <c r="P299" s="1063"/>
      <c r="Q299" s="1063">
        <f t="shared" si="49"/>
        <v>0</v>
      </c>
      <c r="R299" s="1063">
        <f>Q299*('Ввод исходных данных'!$D$83-O299)</f>
        <v>0</v>
      </c>
      <c r="S299" s="1064">
        <v>6.5</v>
      </c>
      <c r="T299" s="1064"/>
      <c r="U299" s="1064">
        <f t="shared" si="50"/>
        <v>28</v>
      </c>
      <c r="V299" s="1064">
        <f>U299*('Ввод исходных данных'!$D$83-S299)</f>
        <v>378</v>
      </c>
      <c r="W299" s="1065">
        <v>-1.3</v>
      </c>
      <c r="X299" s="1065"/>
      <c r="Y299" s="1065">
        <f t="shared" si="51"/>
        <v>31</v>
      </c>
      <c r="Z299" s="1065">
        <f>Y299*('Ввод исходных данных'!$D$83-W299)</f>
        <v>660.30000000000007</v>
      </c>
      <c r="AA299" s="1066">
        <v>-10.199999999999999</v>
      </c>
      <c r="AB299" s="1066"/>
      <c r="AC299" s="1066">
        <f t="shared" si="52"/>
        <v>30</v>
      </c>
      <c r="AD299" s="1066">
        <f>AC299*('Ввод исходных данных'!$D$83-AA299)</f>
        <v>906</v>
      </c>
      <c r="AE299" s="1067">
        <v>-15.6</v>
      </c>
      <c r="AF299" s="1067"/>
      <c r="AG299" s="1067">
        <v>31</v>
      </c>
      <c r="AH299" s="1067">
        <f>AG299*('Ввод исходных данных'!$D$83-AE299)</f>
        <v>1103.6000000000001</v>
      </c>
      <c r="AI299" s="1068">
        <v>-19.2</v>
      </c>
      <c r="AJ299" s="1068"/>
      <c r="AK299" s="1068">
        <v>31</v>
      </c>
      <c r="AL299" s="1068">
        <f>AK299*('Ввод исходных данных'!$D$83-AI299)</f>
        <v>1215.2</v>
      </c>
      <c r="AM299" s="1069">
        <v>-17.7</v>
      </c>
      <c r="AN299" s="1069"/>
      <c r="AO299" s="1069">
        <v>28</v>
      </c>
      <c r="AP299" s="1069">
        <f>AO299*('Ввод исходных данных'!$D$83-AM299)</f>
        <v>1055.6000000000001</v>
      </c>
      <c r="AQ299" s="1064">
        <v>-9</v>
      </c>
      <c r="AR299" s="1064"/>
      <c r="AS299" s="1064">
        <f t="shared" si="53"/>
        <v>31</v>
      </c>
      <c r="AT299" s="1064">
        <f>AS299*('Ввод исходных данных'!$D$83-AQ299)</f>
        <v>899</v>
      </c>
      <c r="AU299" s="1070">
        <v>-3.4</v>
      </c>
      <c r="AV299" s="1070"/>
      <c r="AW299" s="1070">
        <f t="shared" si="54"/>
        <v>30</v>
      </c>
      <c r="AX299" s="1070">
        <f>AW299*('Ввод исходных данных'!$D$83-AU299)</f>
        <v>702</v>
      </c>
      <c r="AY299" s="1071">
        <v>3.6</v>
      </c>
      <c r="AZ299" s="1071"/>
      <c r="BA299" s="1071">
        <f t="shared" si="55"/>
        <v>28</v>
      </c>
      <c r="BB299" s="1071">
        <f>BA299*('Ввод исходных данных'!$D$83-AY299)</f>
        <v>459.19999999999993</v>
      </c>
      <c r="BC299" s="1072">
        <v>11.7</v>
      </c>
      <c r="BD299" s="1072"/>
      <c r="BE299" s="1072">
        <f t="shared" si="47"/>
        <v>0</v>
      </c>
      <c r="BF299" s="1073">
        <f>BE299*('Ввод исходных данных'!$D$83-BC299)</f>
        <v>0</v>
      </c>
    </row>
    <row r="300" spans="2:58" ht="15.75" customHeight="1" x14ac:dyDescent="0.25">
      <c r="B300" s="1076" t="s">
        <v>145</v>
      </c>
      <c r="C300" s="1076" t="s">
        <v>148</v>
      </c>
      <c r="D300" s="1053" t="str">
        <f t="shared" si="56"/>
        <v>Республика КомиСыктывкар</v>
      </c>
      <c r="E300" s="1054">
        <v>243</v>
      </c>
      <c r="F300" s="1055">
        <v>-5.6</v>
      </c>
      <c r="G300" s="1055">
        <v>-36</v>
      </c>
      <c r="H300" s="1057">
        <v>5</v>
      </c>
      <c r="I300" s="1058">
        <f>E300*('Ввод исходных данных'!$D$83-F300)</f>
        <v>6220.8</v>
      </c>
      <c r="J300" s="1059" t="str">
        <f t="shared" si="46"/>
        <v>6000-7000</v>
      </c>
      <c r="K300" s="1060">
        <v>17.2</v>
      </c>
      <c r="L300" s="1060"/>
      <c r="M300" s="1061">
        <f t="shared" si="48"/>
        <v>0</v>
      </c>
      <c r="N300" s="1062">
        <f>M300*('Ввод исходных данных'!$D$83-K300)</f>
        <v>0</v>
      </c>
      <c r="O300" s="1063">
        <v>13.6</v>
      </c>
      <c r="P300" s="1063"/>
      <c r="Q300" s="1063">
        <f t="shared" si="49"/>
        <v>0</v>
      </c>
      <c r="R300" s="1063">
        <f>Q300*('Ввод исходных данных'!$D$83-O300)</f>
        <v>0</v>
      </c>
      <c r="S300" s="1064">
        <v>7.9</v>
      </c>
      <c r="T300" s="1064"/>
      <c r="U300" s="1064">
        <f t="shared" si="50"/>
        <v>15.5</v>
      </c>
      <c r="V300" s="1064">
        <f>U300*('Ввод исходных данных'!$D$83-S300)</f>
        <v>187.54999999999998</v>
      </c>
      <c r="W300" s="1065">
        <v>1</v>
      </c>
      <c r="X300" s="1065"/>
      <c r="Y300" s="1065">
        <f t="shared" si="51"/>
        <v>31</v>
      </c>
      <c r="Z300" s="1065">
        <f>Y300*('Ввод исходных данных'!$D$83-W300)</f>
        <v>589</v>
      </c>
      <c r="AA300" s="1066">
        <v>-6.5</v>
      </c>
      <c r="AB300" s="1066"/>
      <c r="AC300" s="1066">
        <f t="shared" si="52"/>
        <v>30</v>
      </c>
      <c r="AD300" s="1066">
        <f>AC300*('Ввод исходных данных'!$D$83-AA300)</f>
        <v>795</v>
      </c>
      <c r="AE300" s="1067">
        <v>-11.9</v>
      </c>
      <c r="AF300" s="1067"/>
      <c r="AG300" s="1067">
        <v>31</v>
      </c>
      <c r="AH300" s="1067">
        <f>AG300*('Ввод исходных данных'!$D$83-AE300)</f>
        <v>988.9</v>
      </c>
      <c r="AI300" s="1068">
        <v>-15.2</v>
      </c>
      <c r="AJ300" s="1068"/>
      <c r="AK300" s="1068">
        <v>31</v>
      </c>
      <c r="AL300" s="1068">
        <f>AK300*('Ввод исходных данных'!$D$83-AI300)</f>
        <v>1091.2</v>
      </c>
      <c r="AM300" s="1069">
        <v>-13.2</v>
      </c>
      <c r="AN300" s="1069"/>
      <c r="AO300" s="1069">
        <v>28</v>
      </c>
      <c r="AP300" s="1069">
        <f>AO300*('Ввод исходных данных'!$D$83-AM300)</f>
        <v>929.60000000000014</v>
      </c>
      <c r="AQ300" s="1064">
        <v>-5.3</v>
      </c>
      <c r="AR300" s="1064"/>
      <c r="AS300" s="1064">
        <f t="shared" si="53"/>
        <v>31</v>
      </c>
      <c r="AT300" s="1064">
        <f>AS300*('Ввод исходных данных'!$D$83-AQ300)</f>
        <v>784.30000000000007</v>
      </c>
      <c r="AU300" s="1070">
        <v>1.5</v>
      </c>
      <c r="AV300" s="1070"/>
      <c r="AW300" s="1070">
        <f t="shared" si="54"/>
        <v>30</v>
      </c>
      <c r="AX300" s="1070">
        <f>AW300*('Ввод исходных данных'!$D$83-AU300)</f>
        <v>555</v>
      </c>
      <c r="AY300" s="1071">
        <v>8.1999999999999993</v>
      </c>
      <c r="AZ300" s="1071"/>
      <c r="BA300" s="1071">
        <f t="shared" si="55"/>
        <v>15.5</v>
      </c>
      <c r="BB300" s="1071">
        <f>BA300*('Ввод исходных данных'!$D$83-AY300)</f>
        <v>182.9</v>
      </c>
      <c r="BC300" s="1072">
        <v>14.3</v>
      </c>
      <c r="BD300" s="1072"/>
      <c r="BE300" s="1072">
        <f t="shared" si="47"/>
        <v>0</v>
      </c>
      <c r="BF300" s="1073">
        <f>BE300*('Ввод исходных данных'!$D$83-BC300)</f>
        <v>0</v>
      </c>
    </row>
    <row r="301" spans="2:58" ht="15.75" customHeight="1" x14ac:dyDescent="0.25">
      <c r="B301" s="1052" t="s">
        <v>145</v>
      </c>
      <c r="C301" s="1052" t="s">
        <v>683</v>
      </c>
      <c r="D301" s="1053" t="str">
        <f t="shared" si="56"/>
        <v>Республика КомиТроицко- Печорское</v>
      </c>
      <c r="E301" s="1054">
        <v>258</v>
      </c>
      <c r="F301" s="1055">
        <v>-6.9</v>
      </c>
      <c r="G301" s="1055">
        <v>-41</v>
      </c>
      <c r="H301" s="1057">
        <v>3.6</v>
      </c>
      <c r="I301" s="1058">
        <f>E301*('Ввод исходных данных'!$D$83-F301)</f>
        <v>6940.2</v>
      </c>
      <c r="J301" s="1059" t="str">
        <f t="shared" si="46"/>
        <v>6000-7000</v>
      </c>
      <c r="K301" s="1060">
        <v>16.3</v>
      </c>
      <c r="L301" s="1060"/>
      <c r="M301" s="1061">
        <f t="shared" si="48"/>
        <v>0</v>
      </c>
      <c r="N301" s="1062">
        <f>M301*('Ввод исходных данных'!$D$83-K301)</f>
        <v>0</v>
      </c>
      <c r="O301" s="1063">
        <v>12.5</v>
      </c>
      <c r="P301" s="1063"/>
      <c r="Q301" s="1063">
        <f t="shared" si="49"/>
        <v>0</v>
      </c>
      <c r="R301" s="1063">
        <f>Q301*('Ввод исходных данных'!$D$83-O301)</f>
        <v>0</v>
      </c>
      <c r="S301" s="1064">
        <v>6.8</v>
      </c>
      <c r="T301" s="1064"/>
      <c r="U301" s="1064">
        <f t="shared" si="50"/>
        <v>23</v>
      </c>
      <c r="V301" s="1064">
        <f>U301*('Ввод исходных данных'!$D$83-S301)</f>
        <v>303.59999999999997</v>
      </c>
      <c r="W301" s="1065">
        <v>-0.5</v>
      </c>
      <c r="X301" s="1065"/>
      <c r="Y301" s="1065">
        <f t="shared" si="51"/>
        <v>31</v>
      </c>
      <c r="Z301" s="1065">
        <f>Y301*('Ввод исходных данных'!$D$83-W301)</f>
        <v>635.5</v>
      </c>
      <c r="AA301" s="1066">
        <v>-8.8000000000000007</v>
      </c>
      <c r="AB301" s="1066"/>
      <c r="AC301" s="1066">
        <f t="shared" si="52"/>
        <v>30</v>
      </c>
      <c r="AD301" s="1066">
        <f>AC301*('Ввод исходных данных'!$D$83-AA301)</f>
        <v>864</v>
      </c>
      <c r="AE301" s="1067">
        <v>-14.6</v>
      </c>
      <c r="AF301" s="1067"/>
      <c r="AG301" s="1067">
        <v>31</v>
      </c>
      <c r="AH301" s="1067">
        <f>AG301*('Ввод исходных данных'!$D$83-AE301)</f>
        <v>1072.6000000000001</v>
      </c>
      <c r="AI301" s="1068">
        <v>-17.899999999999999</v>
      </c>
      <c r="AJ301" s="1068"/>
      <c r="AK301" s="1068">
        <v>31</v>
      </c>
      <c r="AL301" s="1068">
        <f>AK301*('Ввод исходных данных'!$D$83-AI301)</f>
        <v>1174.8999999999999</v>
      </c>
      <c r="AM301" s="1069">
        <v>-15.9</v>
      </c>
      <c r="AN301" s="1069"/>
      <c r="AO301" s="1069">
        <v>28</v>
      </c>
      <c r="AP301" s="1069">
        <f>AO301*('Ввод исходных данных'!$D$83-AM301)</f>
        <v>1005.1999999999999</v>
      </c>
      <c r="AQ301" s="1064">
        <v>-6.9</v>
      </c>
      <c r="AR301" s="1064"/>
      <c r="AS301" s="1064">
        <f t="shared" si="53"/>
        <v>31</v>
      </c>
      <c r="AT301" s="1064">
        <f>AS301*('Ввод исходных данных'!$D$83-AQ301)</f>
        <v>833.9</v>
      </c>
      <c r="AU301" s="1070">
        <v>-0.4</v>
      </c>
      <c r="AV301" s="1070"/>
      <c r="AW301" s="1070">
        <f t="shared" si="54"/>
        <v>30</v>
      </c>
      <c r="AX301" s="1070">
        <f>AW301*('Ввод исходных данных'!$D$83-AU301)</f>
        <v>612</v>
      </c>
      <c r="AY301" s="1071">
        <v>6.1</v>
      </c>
      <c r="AZ301" s="1071"/>
      <c r="BA301" s="1071">
        <f t="shared" si="55"/>
        <v>23</v>
      </c>
      <c r="BB301" s="1071">
        <f>BA301*('Ввод исходных данных'!$D$83-AY301)</f>
        <v>319.7</v>
      </c>
      <c r="BC301" s="1072">
        <v>13</v>
      </c>
      <c r="BD301" s="1072"/>
      <c r="BE301" s="1072">
        <f t="shared" si="47"/>
        <v>0</v>
      </c>
      <c r="BF301" s="1073">
        <f>BE301*('Ввод исходных данных'!$D$83-BC301)</f>
        <v>0</v>
      </c>
    </row>
    <row r="302" spans="2:58" ht="15.75" customHeight="1" x14ac:dyDescent="0.25">
      <c r="B302" s="1076" t="s">
        <v>145</v>
      </c>
      <c r="C302" s="1076" t="s">
        <v>152</v>
      </c>
      <c r="D302" s="1053" t="str">
        <f t="shared" si="56"/>
        <v>Республика КомиУсть-Уса</v>
      </c>
      <c r="E302" s="1054">
        <v>278</v>
      </c>
      <c r="F302" s="1055">
        <v>-7.9</v>
      </c>
      <c r="G302" s="1055">
        <v>-41</v>
      </c>
      <c r="H302" s="1057">
        <v>4.2</v>
      </c>
      <c r="I302" s="1058">
        <f>E302*('Ввод исходных данных'!$D$83-F302)</f>
        <v>7756.2</v>
      </c>
      <c r="J302" s="1059" t="str">
        <f t="shared" si="46"/>
        <v>7000-8000</v>
      </c>
      <c r="K302" s="1060">
        <v>14.8</v>
      </c>
      <c r="L302" s="1060"/>
      <c r="M302" s="1061">
        <f t="shared" si="48"/>
        <v>0</v>
      </c>
      <c r="N302" s="1062">
        <f>M302*('Ввод исходных данных'!$D$83-K302)</f>
        <v>0</v>
      </c>
      <c r="O302" s="1063">
        <v>11</v>
      </c>
      <c r="P302" s="1063"/>
      <c r="Q302" s="1063">
        <f t="shared" si="49"/>
        <v>2.5</v>
      </c>
      <c r="R302" s="1063">
        <f>Q302*('Ввод исходных данных'!$D$83-O302)</f>
        <v>22.5</v>
      </c>
      <c r="S302" s="1064">
        <v>5.9</v>
      </c>
      <c r="T302" s="1064"/>
      <c r="U302" s="1064">
        <f t="shared" si="50"/>
        <v>30</v>
      </c>
      <c r="V302" s="1064">
        <f>U302*('Ввод исходных данных'!$D$83-S302)</f>
        <v>423</v>
      </c>
      <c r="W302" s="1065">
        <v>-1.9</v>
      </c>
      <c r="X302" s="1065"/>
      <c r="Y302" s="1065">
        <f t="shared" si="51"/>
        <v>31</v>
      </c>
      <c r="Z302" s="1065">
        <f>Y302*('Ввод исходных данных'!$D$83-W302)</f>
        <v>678.9</v>
      </c>
      <c r="AA302" s="1066">
        <v>-10.4</v>
      </c>
      <c r="AB302" s="1066"/>
      <c r="AC302" s="1066">
        <f t="shared" si="52"/>
        <v>30</v>
      </c>
      <c r="AD302" s="1066">
        <f>AC302*('Ввод исходных данных'!$D$83-AA302)</f>
        <v>912</v>
      </c>
      <c r="AE302" s="1067">
        <v>-15.4</v>
      </c>
      <c r="AF302" s="1067"/>
      <c r="AG302" s="1067">
        <v>31</v>
      </c>
      <c r="AH302" s="1067">
        <f>AG302*('Ввод исходных данных'!$D$83-AE302)</f>
        <v>1097.3999999999999</v>
      </c>
      <c r="AI302" s="1068">
        <v>-19</v>
      </c>
      <c r="AJ302" s="1068"/>
      <c r="AK302" s="1068">
        <v>31</v>
      </c>
      <c r="AL302" s="1068">
        <f>AK302*('Ввод исходных данных'!$D$83-AI302)</f>
        <v>1209</v>
      </c>
      <c r="AM302" s="1069">
        <v>-17.8</v>
      </c>
      <c r="AN302" s="1069"/>
      <c r="AO302" s="1069">
        <v>28</v>
      </c>
      <c r="AP302" s="1069">
        <f>AO302*('Ввод исходных данных'!$D$83-AM302)</f>
        <v>1058.3999999999999</v>
      </c>
      <c r="AQ302" s="1064">
        <v>-9.6999999999999993</v>
      </c>
      <c r="AR302" s="1064"/>
      <c r="AS302" s="1064">
        <f t="shared" si="53"/>
        <v>31</v>
      </c>
      <c r="AT302" s="1064">
        <f>AS302*('Ввод исходных данных'!$D$83-AQ302)</f>
        <v>920.69999999999993</v>
      </c>
      <c r="AU302" s="1070">
        <v>-4.8</v>
      </c>
      <c r="AV302" s="1070"/>
      <c r="AW302" s="1070">
        <f t="shared" si="54"/>
        <v>30</v>
      </c>
      <c r="AX302" s="1070">
        <f>AW302*('Ввод исходных данных'!$D$83-AU302)</f>
        <v>744</v>
      </c>
      <c r="AY302" s="1071">
        <v>1.9</v>
      </c>
      <c r="AZ302" s="1071"/>
      <c r="BA302" s="1071">
        <f t="shared" si="55"/>
        <v>31</v>
      </c>
      <c r="BB302" s="1071">
        <f>BA302*('Ввод исходных данных'!$D$83-AY302)</f>
        <v>561.1</v>
      </c>
      <c r="BC302" s="1072">
        <v>10.1</v>
      </c>
      <c r="BD302" s="1072"/>
      <c r="BE302" s="1072">
        <f t="shared" si="47"/>
        <v>2.5</v>
      </c>
      <c r="BF302" s="1073">
        <f>BE302*('Ввод исходных данных'!$D$83-BC302)</f>
        <v>24.75</v>
      </c>
    </row>
    <row r="303" spans="2:58" ht="15.75" customHeight="1" x14ac:dyDescent="0.25">
      <c r="B303" s="1052" t="s">
        <v>145</v>
      </c>
      <c r="C303" s="1052" t="s">
        <v>151</v>
      </c>
      <c r="D303" s="1053" t="str">
        <f t="shared" si="56"/>
        <v>Республика КомиУсть-Цильма</v>
      </c>
      <c r="E303" s="1054">
        <v>270</v>
      </c>
      <c r="F303" s="1055">
        <v>-6.9</v>
      </c>
      <c r="G303" s="1055">
        <v>-39</v>
      </c>
      <c r="H303" s="1057">
        <v>4.8</v>
      </c>
      <c r="I303" s="1058">
        <f>E303*('Ввод исходных данных'!$D$83-F303)</f>
        <v>7263</v>
      </c>
      <c r="J303" s="1059" t="str">
        <f t="shared" si="46"/>
        <v>7000-8000</v>
      </c>
      <c r="K303" s="1060">
        <v>15.3</v>
      </c>
      <c r="L303" s="1060"/>
      <c r="M303" s="1061">
        <f t="shared" si="48"/>
        <v>0</v>
      </c>
      <c r="N303" s="1062">
        <f>M303*('Ввод исходных данных'!$D$83-K303)</f>
        <v>0</v>
      </c>
      <c r="O303" s="1063">
        <v>11.7</v>
      </c>
      <c r="P303" s="1063"/>
      <c r="Q303" s="1063">
        <f t="shared" si="49"/>
        <v>0</v>
      </c>
      <c r="R303" s="1063">
        <f>Q303*('Ввод исходных данных'!$D$83-O303)</f>
        <v>0</v>
      </c>
      <c r="S303" s="1064">
        <v>6.4</v>
      </c>
      <c r="T303" s="1064"/>
      <c r="U303" s="1064">
        <f t="shared" si="50"/>
        <v>29</v>
      </c>
      <c r="V303" s="1064">
        <f>U303*('Ввод исходных данных'!$D$83-S303)</f>
        <v>394.4</v>
      </c>
      <c r="W303" s="1065">
        <v>-0.9</v>
      </c>
      <c r="X303" s="1065"/>
      <c r="Y303" s="1065">
        <f t="shared" si="51"/>
        <v>31</v>
      </c>
      <c r="Z303" s="1065">
        <f>Y303*('Ввод исходных данных'!$D$83-W303)</f>
        <v>647.9</v>
      </c>
      <c r="AA303" s="1066">
        <v>-8.9</v>
      </c>
      <c r="AB303" s="1066"/>
      <c r="AC303" s="1066">
        <f t="shared" si="52"/>
        <v>30</v>
      </c>
      <c r="AD303" s="1066">
        <f>AC303*('Ввод исходных данных'!$D$83-AA303)</f>
        <v>867</v>
      </c>
      <c r="AE303" s="1067">
        <v>-13.8</v>
      </c>
      <c r="AF303" s="1067"/>
      <c r="AG303" s="1067">
        <v>31</v>
      </c>
      <c r="AH303" s="1067">
        <f>AG303*('Ввод исходных данных'!$D$83-AE303)</f>
        <v>1047.8</v>
      </c>
      <c r="AI303" s="1068">
        <v>-17.7</v>
      </c>
      <c r="AJ303" s="1068"/>
      <c r="AK303" s="1068">
        <v>31</v>
      </c>
      <c r="AL303" s="1068">
        <f>AK303*('Ввод исходных данных'!$D$83-AI303)</f>
        <v>1168.7</v>
      </c>
      <c r="AM303" s="1069">
        <v>-15.8</v>
      </c>
      <c r="AN303" s="1069"/>
      <c r="AO303" s="1069">
        <v>28</v>
      </c>
      <c r="AP303" s="1069">
        <f>AO303*('Ввод исходных данных'!$D$83-AM303)</f>
        <v>1002.3999999999999</v>
      </c>
      <c r="AQ303" s="1064">
        <v>-8.1</v>
      </c>
      <c r="AR303" s="1064"/>
      <c r="AS303" s="1064">
        <f t="shared" si="53"/>
        <v>31</v>
      </c>
      <c r="AT303" s="1064">
        <f>AS303*('Ввод исходных данных'!$D$83-AQ303)</f>
        <v>871.1</v>
      </c>
      <c r="AU303" s="1070">
        <v>-2.8</v>
      </c>
      <c r="AV303" s="1070"/>
      <c r="AW303" s="1070">
        <f t="shared" si="54"/>
        <v>30</v>
      </c>
      <c r="AX303" s="1070">
        <f>AW303*('Ввод исходных данных'!$D$83-AU303)</f>
        <v>684</v>
      </c>
      <c r="AY303" s="1071">
        <v>3.7</v>
      </c>
      <c r="AZ303" s="1071"/>
      <c r="BA303" s="1071">
        <f t="shared" si="55"/>
        <v>29</v>
      </c>
      <c r="BB303" s="1071">
        <f>BA303*('Ввод исходных данных'!$D$83-AY303)</f>
        <v>472.70000000000005</v>
      </c>
      <c r="BC303" s="1072">
        <v>11.2</v>
      </c>
      <c r="BD303" s="1072"/>
      <c r="BE303" s="1072">
        <f t="shared" si="47"/>
        <v>0</v>
      </c>
      <c r="BF303" s="1073">
        <f>BE303*('Ввод исходных данных'!$D$83-BC303)</f>
        <v>0</v>
      </c>
    </row>
    <row r="304" spans="2:58" ht="15.75" customHeight="1" x14ac:dyDescent="0.25">
      <c r="B304" s="1076" t="s">
        <v>145</v>
      </c>
      <c r="C304" s="1076" t="s">
        <v>150</v>
      </c>
      <c r="D304" s="1053" t="str">
        <f t="shared" si="56"/>
        <v>Республика КомиУсть-Щугор</v>
      </c>
      <c r="E304" s="1054">
        <v>268</v>
      </c>
      <c r="F304" s="1055">
        <v>-7.9</v>
      </c>
      <c r="G304" s="1055">
        <v>-45</v>
      </c>
      <c r="H304" s="1057">
        <v>5</v>
      </c>
      <c r="I304" s="1058">
        <f>E304*('Ввод исходных данных'!$D$83-F304)</f>
        <v>7477.2</v>
      </c>
      <c r="J304" s="1059" t="str">
        <f t="shared" si="46"/>
        <v>7000-8000</v>
      </c>
      <c r="K304" s="1060">
        <v>15.2</v>
      </c>
      <c r="L304" s="1060"/>
      <c r="M304" s="1061">
        <f t="shared" si="48"/>
        <v>0</v>
      </c>
      <c r="N304" s="1062">
        <f>M304*('Ввод исходных данных'!$D$83-K304)</f>
        <v>0</v>
      </c>
      <c r="O304" s="1063">
        <v>12.3</v>
      </c>
      <c r="P304" s="1063"/>
      <c r="Q304" s="1063">
        <f t="shared" si="49"/>
        <v>0</v>
      </c>
      <c r="R304" s="1063">
        <f>Q304*('Ввод исходных данных'!$D$83-O304)</f>
        <v>0</v>
      </c>
      <c r="S304" s="1064">
        <v>6.4</v>
      </c>
      <c r="T304" s="1064"/>
      <c r="U304" s="1064">
        <f t="shared" si="50"/>
        <v>28</v>
      </c>
      <c r="V304" s="1064">
        <f>U304*('Ввод исходных данных'!$D$83-S304)</f>
        <v>380.8</v>
      </c>
      <c r="W304" s="1065">
        <v>-1.8</v>
      </c>
      <c r="X304" s="1065"/>
      <c r="Y304" s="1065">
        <f t="shared" si="51"/>
        <v>31</v>
      </c>
      <c r="Z304" s="1065">
        <f>Y304*('Ввод исходных данных'!$D$83-W304)</f>
        <v>675.80000000000007</v>
      </c>
      <c r="AA304" s="1066">
        <v>-10.199999999999999</v>
      </c>
      <c r="AB304" s="1066"/>
      <c r="AC304" s="1066">
        <f t="shared" si="52"/>
        <v>30</v>
      </c>
      <c r="AD304" s="1066">
        <f>AC304*('Ввод исходных данных'!$D$83-AA304)</f>
        <v>906</v>
      </c>
      <c r="AE304" s="1067">
        <v>-16.899999999999999</v>
      </c>
      <c r="AF304" s="1067"/>
      <c r="AG304" s="1067">
        <v>31</v>
      </c>
      <c r="AH304" s="1067">
        <f>AG304*('Ввод исходных данных'!$D$83-AE304)</f>
        <v>1143.8999999999999</v>
      </c>
      <c r="AI304" s="1068">
        <v>-19.7</v>
      </c>
      <c r="AJ304" s="1068"/>
      <c r="AK304" s="1068">
        <v>31</v>
      </c>
      <c r="AL304" s="1068">
        <f>AK304*('Ввод исходных данных'!$D$83-AI304)</f>
        <v>1230.7</v>
      </c>
      <c r="AM304" s="1069">
        <v>-17.7</v>
      </c>
      <c r="AN304" s="1069"/>
      <c r="AO304" s="1069">
        <v>28</v>
      </c>
      <c r="AP304" s="1069">
        <f>AO304*('Ввод исходных данных'!$D$83-AM304)</f>
        <v>1055.6000000000001</v>
      </c>
      <c r="AQ304" s="1064">
        <v>-12</v>
      </c>
      <c r="AR304" s="1064"/>
      <c r="AS304" s="1064">
        <f t="shared" si="53"/>
        <v>31</v>
      </c>
      <c r="AT304" s="1064">
        <f>AS304*('Ввод исходных данных'!$D$83-AQ304)</f>
        <v>992</v>
      </c>
      <c r="AU304" s="1070">
        <v>-2.4</v>
      </c>
      <c r="AV304" s="1070"/>
      <c r="AW304" s="1070">
        <f t="shared" si="54"/>
        <v>30</v>
      </c>
      <c r="AX304" s="1070">
        <f>AW304*('Ввод исходных данных'!$D$83-AU304)</f>
        <v>672</v>
      </c>
      <c r="AY304" s="1071">
        <v>3.7</v>
      </c>
      <c r="AZ304" s="1071"/>
      <c r="BA304" s="1071">
        <f t="shared" si="55"/>
        <v>28</v>
      </c>
      <c r="BB304" s="1071">
        <f>BA304*('Ввод исходных данных'!$D$83-AY304)</f>
        <v>456.40000000000003</v>
      </c>
      <c r="BC304" s="1072">
        <v>11.4</v>
      </c>
      <c r="BD304" s="1072"/>
      <c r="BE304" s="1072">
        <f t="shared" si="47"/>
        <v>0</v>
      </c>
      <c r="BF304" s="1073">
        <f>BE304*('Ввод исходных данных'!$D$83-BC304)</f>
        <v>0</v>
      </c>
    </row>
    <row r="305" spans="2:58" ht="15.75" customHeight="1" x14ac:dyDescent="0.25">
      <c r="B305" s="1052" t="s">
        <v>145</v>
      </c>
      <c r="C305" s="1052" t="s">
        <v>149</v>
      </c>
      <c r="D305" s="1053" t="str">
        <f>CONCATENATE(B305,C305)</f>
        <v>Республика КомиУхта</v>
      </c>
      <c r="E305" s="1054">
        <v>261</v>
      </c>
      <c r="F305" s="1055">
        <v>-6.4</v>
      </c>
      <c r="G305" s="1055">
        <v>-39</v>
      </c>
      <c r="H305" s="1057">
        <v>4.8</v>
      </c>
      <c r="I305" s="1058">
        <f>E305*('Ввод исходных данных'!$D$83-F305)</f>
        <v>6890.4</v>
      </c>
      <c r="J305" s="1059" t="str">
        <f t="shared" si="46"/>
        <v>6000-7000</v>
      </c>
      <c r="K305" s="1060">
        <v>15.7</v>
      </c>
      <c r="L305" s="1060"/>
      <c r="M305" s="1061">
        <f t="shared" si="48"/>
        <v>0</v>
      </c>
      <c r="N305" s="1062">
        <f>M305*('Ввод исходных данных'!$D$83-K305)</f>
        <v>0</v>
      </c>
      <c r="O305" s="1063">
        <v>12.7</v>
      </c>
      <c r="P305" s="1063"/>
      <c r="Q305" s="1063">
        <f t="shared" si="49"/>
        <v>0</v>
      </c>
      <c r="R305" s="1063">
        <f>Q305*('Ввод исходных данных'!$D$83-O305)</f>
        <v>0</v>
      </c>
      <c r="S305" s="1064">
        <v>6.6</v>
      </c>
      <c r="T305" s="1064"/>
      <c r="U305" s="1064">
        <f t="shared" si="50"/>
        <v>24.5</v>
      </c>
      <c r="V305" s="1064">
        <f>U305*('Ввод исходных данных'!$D$83-S305)</f>
        <v>328.3</v>
      </c>
      <c r="W305" s="1065">
        <v>-1.4</v>
      </c>
      <c r="X305" s="1065"/>
      <c r="Y305" s="1065">
        <f t="shared" si="51"/>
        <v>31</v>
      </c>
      <c r="Z305" s="1065">
        <f>Y305*('Ввод исходных данных'!$D$83-W305)</f>
        <v>663.4</v>
      </c>
      <c r="AA305" s="1066">
        <v>-8.5</v>
      </c>
      <c r="AB305" s="1066"/>
      <c r="AC305" s="1066">
        <f t="shared" si="52"/>
        <v>30</v>
      </c>
      <c r="AD305" s="1066">
        <f>AC305*('Ввод исходных данных'!$D$83-AA305)</f>
        <v>855</v>
      </c>
      <c r="AE305" s="1067">
        <v>-13.6</v>
      </c>
      <c r="AF305" s="1067"/>
      <c r="AG305" s="1067">
        <v>31</v>
      </c>
      <c r="AH305" s="1067">
        <f>AG305*('Ввод исходных данных'!$D$83-AE305)</f>
        <v>1041.6000000000001</v>
      </c>
      <c r="AI305" s="1068">
        <v>-17.3</v>
      </c>
      <c r="AJ305" s="1068"/>
      <c r="AK305" s="1068">
        <v>31</v>
      </c>
      <c r="AL305" s="1068">
        <f>AK305*('Ввод исходных данных'!$D$83-AI305)</f>
        <v>1156.3</v>
      </c>
      <c r="AM305" s="1069">
        <v>-15.8</v>
      </c>
      <c r="AN305" s="1069"/>
      <c r="AO305" s="1069">
        <v>28</v>
      </c>
      <c r="AP305" s="1069">
        <f>AO305*('Ввод исходных данных'!$D$83-AM305)</f>
        <v>1002.3999999999999</v>
      </c>
      <c r="AQ305" s="1064">
        <v>-8.9</v>
      </c>
      <c r="AR305" s="1064"/>
      <c r="AS305" s="1064">
        <f t="shared" si="53"/>
        <v>31</v>
      </c>
      <c r="AT305" s="1064">
        <f>AS305*('Ввод исходных данных'!$D$83-AQ305)</f>
        <v>895.9</v>
      </c>
      <c r="AU305" s="1070">
        <v>-0.5</v>
      </c>
      <c r="AV305" s="1070"/>
      <c r="AW305" s="1070">
        <f t="shared" si="54"/>
        <v>30</v>
      </c>
      <c r="AX305" s="1070">
        <f>AW305*('Ввод исходных данных'!$D$83-AU305)</f>
        <v>615</v>
      </c>
      <c r="AY305" s="1071">
        <v>5.4</v>
      </c>
      <c r="AZ305" s="1071"/>
      <c r="BA305" s="1071">
        <f t="shared" si="55"/>
        <v>24.5</v>
      </c>
      <c r="BB305" s="1071">
        <f>BA305*('Ввод исходных данных'!$D$83-AY305)</f>
        <v>357.7</v>
      </c>
      <c r="BC305" s="1072">
        <v>12.1</v>
      </c>
      <c r="BD305" s="1072"/>
      <c r="BE305" s="1072">
        <f t="shared" si="47"/>
        <v>0</v>
      </c>
      <c r="BF305" s="1073">
        <f>BE305*('Ввод исходных данных'!$D$83-BC305)</f>
        <v>0</v>
      </c>
    </row>
    <row r="306" spans="2:58" ht="15.75" customHeight="1" x14ac:dyDescent="0.25">
      <c r="B306" s="1076" t="s">
        <v>197</v>
      </c>
      <c r="C306" s="1076" t="s">
        <v>198</v>
      </c>
      <c r="D306" s="1053" t="str">
        <f>CONCATENATE(B306,C306)</f>
        <v>Республика Марий ЭлЙошкар-Ола</v>
      </c>
      <c r="E306" s="1054">
        <v>215</v>
      </c>
      <c r="F306" s="1055">
        <v>-4.9000000000000004</v>
      </c>
      <c r="G306" s="1055">
        <v>-33</v>
      </c>
      <c r="H306" s="1057">
        <v>4.9000000000000004</v>
      </c>
      <c r="I306" s="1058">
        <f>E306*('Ввод исходных данных'!$D$83-F306)</f>
        <v>5353.5</v>
      </c>
      <c r="J306" s="1059" t="str">
        <f t="shared" si="46"/>
        <v>5000-6000</v>
      </c>
      <c r="K306" s="1060">
        <v>18.600000000000001</v>
      </c>
      <c r="L306" s="1060"/>
      <c r="M306" s="1061">
        <f t="shared" si="48"/>
        <v>0</v>
      </c>
      <c r="N306" s="1062">
        <f>M306*('Ввод исходных данных'!$D$83-K306)</f>
        <v>0</v>
      </c>
      <c r="O306" s="1063">
        <v>16.100000000000001</v>
      </c>
      <c r="P306" s="1063"/>
      <c r="Q306" s="1063">
        <f t="shared" si="49"/>
        <v>0</v>
      </c>
      <c r="R306" s="1063">
        <f>Q306*('Ввод исходных данных'!$D$83-O306)</f>
        <v>0</v>
      </c>
      <c r="S306" s="1064">
        <v>10.3</v>
      </c>
      <c r="T306" s="1064"/>
      <c r="U306" s="1064">
        <f t="shared" si="50"/>
        <v>1.5</v>
      </c>
      <c r="V306" s="1064">
        <f>U306*('Ввод исходных данных'!$D$83-S306)</f>
        <v>14.549999999999999</v>
      </c>
      <c r="W306" s="1065">
        <v>3.4</v>
      </c>
      <c r="X306" s="1065"/>
      <c r="Y306" s="1065">
        <f t="shared" si="51"/>
        <v>31</v>
      </c>
      <c r="Z306" s="1065">
        <f>Y306*('Ввод исходных данных'!$D$83-W306)</f>
        <v>514.6</v>
      </c>
      <c r="AA306" s="1066">
        <v>-3.7</v>
      </c>
      <c r="AB306" s="1066"/>
      <c r="AC306" s="1066">
        <f t="shared" si="52"/>
        <v>30</v>
      </c>
      <c r="AD306" s="1066">
        <f>AC306*('Ввод исходных данных'!$D$83-AA306)</f>
        <v>711</v>
      </c>
      <c r="AE306" s="1067">
        <v>-9.4</v>
      </c>
      <c r="AF306" s="1067"/>
      <c r="AG306" s="1067">
        <v>31</v>
      </c>
      <c r="AH306" s="1067">
        <f>AG306*('Ввод исходных данных'!$D$83-AE306)</f>
        <v>911.4</v>
      </c>
      <c r="AI306" s="1068">
        <v>-12.1</v>
      </c>
      <c r="AJ306" s="1068"/>
      <c r="AK306" s="1068">
        <v>31</v>
      </c>
      <c r="AL306" s="1068">
        <f>AK306*('Ввод исходных данных'!$D$83-AI306)</f>
        <v>995.1</v>
      </c>
      <c r="AM306" s="1069">
        <v>-11.4</v>
      </c>
      <c r="AN306" s="1069"/>
      <c r="AO306" s="1069">
        <v>28</v>
      </c>
      <c r="AP306" s="1069">
        <f>AO306*('Ввод исходных данных'!$D$83-AM306)</f>
        <v>879.19999999999993</v>
      </c>
      <c r="AQ306" s="1064">
        <v>-4.5999999999999996</v>
      </c>
      <c r="AR306" s="1064"/>
      <c r="AS306" s="1064">
        <f t="shared" si="53"/>
        <v>31</v>
      </c>
      <c r="AT306" s="1064">
        <f>AS306*('Ввод исходных данных'!$D$83-AQ306)</f>
        <v>762.6</v>
      </c>
      <c r="AU306" s="1070">
        <v>4.7</v>
      </c>
      <c r="AV306" s="1070"/>
      <c r="AW306" s="1070">
        <f t="shared" si="54"/>
        <v>30</v>
      </c>
      <c r="AX306" s="1070">
        <f>AW306*('Ввод исходных данных'!$D$83-AU306)</f>
        <v>459</v>
      </c>
      <c r="AY306" s="1071">
        <v>12</v>
      </c>
      <c r="AZ306" s="1071"/>
      <c r="BA306" s="1071">
        <f t="shared" si="55"/>
        <v>1.5</v>
      </c>
      <c r="BB306" s="1071">
        <f>BA306*('Ввод исходных данных'!$D$83-AY306)</f>
        <v>12</v>
      </c>
      <c r="BC306" s="1072">
        <v>16.5</v>
      </c>
      <c r="BD306" s="1072"/>
      <c r="BE306" s="1072">
        <f t="shared" si="47"/>
        <v>0</v>
      </c>
      <c r="BF306" s="1073">
        <f>BE306*('Ввод исходных данных'!$D$83-BC306)</f>
        <v>0</v>
      </c>
    </row>
    <row r="307" spans="2:58" ht="15.75" customHeight="1" x14ac:dyDescent="0.25">
      <c r="B307" s="1052" t="s">
        <v>288</v>
      </c>
      <c r="C307" s="1052" t="s">
        <v>289</v>
      </c>
      <c r="D307" s="1053" t="str">
        <f t="shared" si="56"/>
        <v>Республика МордовияСаранск</v>
      </c>
      <c r="E307" s="1054">
        <v>209</v>
      </c>
      <c r="F307" s="1055">
        <v>-4.5</v>
      </c>
      <c r="G307" s="1055">
        <v>-30</v>
      </c>
      <c r="H307" s="1057">
        <v>6.9</v>
      </c>
      <c r="I307" s="1058">
        <f>E307*('Ввод исходных данных'!$D$83-F307)</f>
        <v>5120.5</v>
      </c>
      <c r="J307" s="1059" t="str">
        <f t="shared" si="46"/>
        <v>5000-6000</v>
      </c>
      <c r="K307" s="1060">
        <v>19.2</v>
      </c>
      <c r="L307" s="1060"/>
      <c r="M307" s="1061">
        <f t="shared" si="48"/>
        <v>0</v>
      </c>
      <c r="N307" s="1062">
        <f>M307*('Ввод исходных данных'!$D$83-K307)</f>
        <v>0</v>
      </c>
      <c r="O307" s="1063">
        <v>17.7</v>
      </c>
      <c r="P307" s="1063"/>
      <c r="Q307" s="1063">
        <f t="shared" si="49"/>
        <v>0</v>
      </c>
      <c r="R307" s="1063">
        <f>Q307*('Ввод исходных данных'!$D$83-O307)</f>
        <v>0</v>
      </c>
      <c r="S307" s="1064">
        <v>11.6</v>
      </c>
      <c r="T307" s="1064"/>
      <c r="U307" s="1064">
        <f t="shared" si="50"/>
        <v>0</v>
      </c>
      <c r="V307" s="1064">
        <f>U307*('Ввод исходных данных'!$D$83-S307)</f>
        <v>0</v>
      </c>
      <c r="W307" s="1065">
        <v>4.0999999999999996</v>
      </c>
      <c r="X307" s="1065"/>
      <c r="Y307" s="1065">
        <f t="shared" si="51"/>
        <v>29</v>
      </c>
      <c r="Z307" s="1065">
        <f>Y307*('Ввод исходных данных'!$D$83-W307)</f>
        <v>461.1</v>
      </c>
      <c r="AA307" s="1066">
        <v>-3</v>
      </c>
      <c r="AB307" s="1066"/>
      <c r="AC307" s="1066">
        <f t="shared" si="52"/>
        <v>30</v>
      </c>
      <c r="AD307" s="1066">
        <f>AC307*('Ввод исходных данных'!$D$83-AA307)</f>
        <v>690</v>
      </c>
      <c r="AE307" s="1067">
        <v>-8.6999999999999993</v>
      </c>
      <c r="AF307" s="1067"/>
      <c r="AG307" s="1067">
        <v>31</v>
      </c>
      <c r="AH307" s="1067">
        <f>AG307*('Ввод исходных данных'!$D$83-AE307)</f>
        <v>889.69999999999993</v>
      </c>
      <c r="AI307" s="1068">
        <v>-12.3</v>
      </c>
      <c r="AJ307" s="1068"/>
      <c r="AK307" s="1068">
        <v>31</v>
      </c>
      <c r="AL307" s="1068">
        <f>AK307*('Ввод исходных данных'!$D$83-AI307)</f>
        <v>1001.3</v>
      </c>
      <c r="AM307" s="1069">
        <v>-11.7</v>
      </c>
      <c r="AN307" s="1069"/>
      <c r="AO307" s="1069">
        <v>28</v>
      </c>
      <c r="AP307" s="1069">
        <f>AO307*('Ввод исходных данных'!$D$83-AM307)</f>
        <v>887.6</v>
      </c>
      <c r="AQ307" s="1064">
        <v>-5.9</v>
      </c>
      <c r="AR307" s="1064"/>
      <c r="AS307" s="1064">
        <f t="shared" si="53"/>
        <v>31</v>
      </c>
      <c r="AT307" s="1064">
        <f>AS307*('Ввод исходных данных'!$D$83-AQ307)</f>
        <v>802.9</v>
      </c>
      <c r="AU307" s="1070">
        <v>4.8</v>
      </c>
      <c r="AV307" s="1070"/>
      <c r="AW307" s="1070">
        <f t="shared" si="54"/>
        <v>29</v>
      </c>
      <c r="AX307" s="1070">
        <f>AW307*('Ввод исходных данных'!$D$83-AU307)</f>
        <v>440.79999999999995</v>
      </c>
      <c r="AY307" s="1071">
        <v>13.1</v>
      </c>
      <c r="AZ307" s="1071"/>
      <c r="BA307" s="1071">
        <f t="shared" si="55"/>
        <v>0</v>
      </c>
      <c r="BB307" s="1071">
        <f>BA307*('Ввод исходных данных'!$D$83-AY307)</f>
        <v>0</v>
      </c>
      <c r="BC307" s="1072">
        <v>17.3</v>
      </c>
      <c r="BD307" s="1072"/>
      <c r="BE307" s="1072">
        <f t="shared" si="47"/>
        <v>0</v>
      </c>
      <c r="BF307" s="1073">
        <f>BE307*('Ввод исходных данных'!$D$83-BC307)</f>
        <v>0</v>
      </c>
    </row>
    <row r="308" spans="2:58" ht="15.75" customHeight="1" x14ac:dyDescent="0.25">
      <c r="B308" s="1076" t="s">
        <v>336</v>
      </c>
      <c r="C308" s="1076" t="s">
        <v>337</v>
      </c>
      <c r="D308" s="1053" t="str">
        <f t="shared" si="56"/>
        <v>Республика Саха (Якутия)Алдан</v>
      </c>
      <c r="E308" s="1054">
        <v>263</v>
      </c>
      <c r="F308" s="1055">
        <v>-13.6</v>
      </c>
      <c r="G308" s="1055">
        <v>-41</v>
      </c>
      <c r="H308" s="1057">
        <v>2.2999999999999998</v>
      </c>
      <c r="I308" s="1058">
        <f>E308*('Ввод исходных данных'!$D$83-F308)</f>
        <v>8836.8000000000011</v>
      </c>
      <c r="J308" s="1059" t="str">
        <f t="shared" si="46"/>
        <v>8000-9000</v>
      </c>
      <c r="K308" s="1060">
        <v>16.399999999999999</v>
      </c>
      <c r="L308" s="1060"/>
      <c r="M308" s="1061">
        <f t="shared" si="48"/>
        <v>0</v>
      </c>
      <c r="N308" s="1062">
        <f>M308*('Ввод исходных данных'!$D$83-K308)</f>
        <v>0</v>
      </c>
      <c r="O308" s="1063">
        <v>13.2</v>
      </c>
      <c r="P308" s="1063"/>
      <c r="Q308" s="1063">
        <f t="shared" si="49"/>
        <v>0</v>
      </c>
      <c r="R308" s="1063">
        <f>Q308*('Ввод исходных данных'!$D$83-O308)</f>
        <v>0</v>
      </c>
      <c r="S308" s="1064">
        <v>4.9000000000000004</v>
      </c>
      <c r="T308" s="1064"/>
      <c r="U308" s="1064">
        <f t="shared" si="50"/>
        <v>25.5</v>
      </c>
      <c r="V308" s="1064">
        <f>U308*('Ввод исходных данных'!$D$83-S308)</f>
        <v>385.05</v>
      </c>
      <c r="W308" s="1065">
        <v>-6.5</v>
      </c>
      <c r="X308" s="1065"/>
      <c r="Y308" s="1065">
        <f t="shared" si="51"/>
        <v>31</v>
      </c>
      <c r="Z308" s="1065">
        <f>Y308*('Ввод исходных данных'!$D$83-W308)</f>
        <v>821.5</v>
      </c>
      <c r="AA308" s="1066">
        <v>-19</v>
      </c>
      <c r="AB308" s="1066"/>
      <c r="AC308" s="1066">
        <f t="shared" si="52"/>
        <v>30</v>
      </c>
      <c r="AD308" s="1066">
        <f>AC308*('Ввод исходных данных'!$D$83-AA308)</f>
        <v>1170</v>
      </c>
      <c r="AE308" s="1067">
        <v>-25.4</v>
      </c>
      <c r="AF308" s="1067"/>
      <c r="AG308" s="1067">
        <v>31</v>
      </c>
      <c r="AH308" s="1067">
        <f>AG308*('Ввод исходных данных'!$D$83-AE308)</f>
        <v>1407.3999999999999</v>
      </c>
      <c r="AI308" s="1068">
        <v>-26.7</v>
      </c>
      <c r="AJ308" s="1068"/>
      <c r="AK308" s="1068">
        <v>31</v>
      </c>
      <c r="AL308" s="1068">
        <f>AK308*('Ввод исходных данных'!$D$83-AI308)</f>
        <v>1447.7</v>
      </c>
      <c r="AM308" s="1069">
        <v>-24.3</v>
      </c>
      <c r="AN308" s="1069"/>
      <c r="AO308" s="1069">
        <v>28</v>
      </c>
      <c r="AP308" s="1069">
        <f>AO308*('Ввод исходных данных'!$D$83-AM308)</f>
        <v>1240.3999999999999</v>
      </c>
      <c r="AQ308" s="1064">
        <v>-15.5</v>
      </c>
      <c r="AR308" s="1064"/>
      <c r="AS308" s="1064">
        <f t="shared" si="53"/>
        <v>31</v>
      </c>
      <c r="AT308" s="1064">
        <f>AS308*('Ввод исходных данных'!$D$83-AQ308)</f>
        <v>1100.5</v>
      </c>
      <c r="AU308" s="1070">
        <v>-4.5</v>
      </c>
      <c r="AV308" s="1070"/>
      <c r="AW308" s="1070">
        <f t="shared" si="54"/>
        <v>30</v>
      </c>
      <c r="AX308" s="1070">
        <f>AW308*('Ввод исходных данных'!$D$83-AU308)</f>
        <v>735</v>
      </c>
      <c r="AY308" s="1071">
        <v>4.9000000000000004</v>
      </c>
      <c r="AZ308" s="1071"/>
      <c r="BA308" s="1071">
        <f t="shared" si="55"/>
        <v>25.5</v>
      </c>
      <c r="BB308" s="1071">
        <f>BA308*('Ввод исходных данных'!$D$83-AY308)</f>
        <v>385.05</v>
      </c>
      <c r="BC308" s="1072">
        <v>13.5</v>
      </c>
      <c r="BD308" s="1072"/>
      <c r="BE308" s="1072">
        <f t="shared" si="47"/>
        <v>0</v>
      </c>
      <c r="BF308" s="1073">
        <f>BE308*('Ввод исходных данных'!$D$83-BC308)</f>
        <v>0</v>
      </c>
    </row>
    <row r="309" spans="2:58" ht="15.75" customHeight="1" x14ac:dyDescent="0.25">
      <c r="B309" s="1052" t="s">
        <v>336</v>
      </c>
      <c r="C309" s="1052" t="s">
        <v>338</v>
      </c>
      <c r="D309" s="1053" t="str">
        <f t="shared" si="56"/>
        <v>Республика Саха (Якутия)Аллах-Юнь</v>
      </c>
      <c r="E309" s="1054">
        <v>280</v>
      </c>
      <c r="F309" s="1055">
        <v>-21.4</v>
      </c>
      <c r="G309" s="1055">
        <v>-54</v>
      </c>
      <c r="H309" s="1057">
        <v>3.2</v>
      </c>
      <c r="I309" s="1058">
        <f>E309*('Ввод исходных данных'!$D$83-F309)</f>
        <v>11592</v>
      </c>
      <c r="J309" s="1059" t="str">
        <f t="shared" si="46"/>
        <v>11000-12000</v>
      </c>
      <c r="K309" s="1060">
        <v>14.7</v>
      </c>
      <c r="L309" s="1060"/>
      <c r="M309" s="1061">
        <f t="shared" si="48"/>
        <v>0</v>
      </c>
      <c r="N309" s="1062">
        <f>M309*('Ввод исходных данных'!$D$83-K309)</f>
        <v>0</v>
      </c>
      <c r="O309" s="1063">
        <v>11.4</v>
      </c>
      <c r="P309" s="1063"/>
      <c r="Q309" s="1063">
        <f t="shared" si="49"/>
        <v>3.5</v>
      </c>
      <c r="R309" s="1063">
        <f>Q309*('Ввод исходных данных'!$D$83-O309)</f>
        <v>30.099999999999998</v>
      </c>
      <c r="S309" s="1064">
        <v>3.5</v>
      </c>
      <c r="T309" s="1064"/>
      <c r="U309" s="1064">
        <f t="shared" si="50"/>
        <v>30</v>
      </c>
      <c r="V309" s="1064">
        <f>U309*('Ввод исходных данных'!$D$83-S309)</f>
        <v>495</v>
      </c>
      <c r="W309" s="1065">
        <v>-12.2</v>
      </c>
      <c r="X309" s="1065"/>
      <c r="Y309" s="1065">
        <f t="shared" si="51"/>
        <v>31</v>
      </c>
      <c r="Z309" s="1065">
        <f>Y309*('Ввод исходных данных'!$D$83-W309)</f>
        <v>998.2</v>
      </c>
      <c r="AA309" s="1066">
        <v>-32.200000000000003</v>
      </c>
      <c r="AB309" s="1066"/>
      <c r="AC309" s="1066">
        <f t="shared" si="52"/>
        <v>30</v>
      </c>
      <c r="AD309" s="1066">
        <f>AC309*('Ввод исходных данных'!$D$83-AA309)</f>
        <v>1566</v>
      </c>
      <c r="AE309" s="1067">
        <v>-42.7</v>
      </c>
      <c r="AF309" s="1067"/>
      <c r="AG309" s="1067">
        <v>31</v>
      </c>
      <c r="AH309" s="1067">
        <f>AG309*('Ввод исходных данных'!$D$83-AE309)</f>
        <v>1943.7</v>
      </c>
      <c r="AI309" s="1068">
        <v>-44.1</v>
      </c>
      <c r="AJ309" s="1068"/>
      <c r="AK309" s="1068">
        <v>31</v>
      </c>
      <c r="AL309" s="1068">
        <f>AK309*('Ввод исходных данных'!$D$83-AI309)</f>
        <v>1987.1</v>
      </c>
      <c r="AM309" s="1069">
        <v>-39.200000000000003</v>
      </c>
      <c r="AN309" s="1069"/>
      <c r="AO309" s="1069">
        <v>28</v>
      </c>
      <c r="AP309" s="1069">
        <f>AO309*('Ввод исходных данных'!$D$83-AM309)</f>
        <v>1657.6000000000001</v>
      </c>
      <c r="AQ309" s="1064">
        <v>-26.6</v>
      </c>
      <c r="AR309" s="1064"/>
      <c r="AS309" s="1064">
        <f t="shared" si="53"/>
        <v>31</v>
      </c>
      <c r="AT309" s="1064">
        <f>AS309*('Ввод исходных данных'!$D$83-AQ309)</f>
        <v>1444.6000000000001</v>
      </c>
      <c r="AU309" s="1070">
        <v>-11.4</v>
      </c>
      <c r="AV309" s="1070"/>
      <c r="AW309" s="1070">
        <f t="shared" si="54"/>
        <v>30</v>
      </c>
      <c r="AX309" s="1070">
        <f>AW309*('Ввод исходных данных'!$D$83-AU309)</f>
        <v>942</v>
      </c>
      <c r="AY309" s="1071">
        <v>2.2999999999999998</v>
      </c>
      <c r="AZ309" s="1071"/>
      <c r="BA309" s="1071">
        <f t="shared" si="55"/>
        <v>31</v>
      </c>
      <c r="BB309" s="1071">
        <f>BA309*('Ввод исходных данных'!$D$83-AY309)</f>
        <v>548.69999999999993</v>
      </c>
      <c r="BC309" s="1072">
        <v>10.9</v>
      </c>
      <c r="BD309" s="1072"/>
      <c r="BE309" s="1072">
        <f t="shared" si="47"/>
        <v>3.5</v>
      </c>
      <c r="BF309" s="1073">
        <f>BE309*('Ввод исходных данных'!$D$83-BC309)</f>
        <v>31.849999999999998</v>
      </c>
    </row>
    <row r="310" spans="2:58" ht="15.75" customHeight="1" x14ac:dyDescent="0.25">
      <c r="B310" s="1076" t="s">
        <v>336</v>
      </c>
      <c r="C310" s="1076" t="s">
        <v>339</v>
      </c>
      <c r="D310" s="1053" t="str">
        <f t="shared" si="56"/>
        <v>Республика Саха (Якутия)Амга</v>
      </c>
      <c r="E310" s="1054">
        <v>259</v>
      </c>
      <c r="F310" s="1055">
        <v>-21.3</v>
      </c>
      <c r="G310" s="1055">
        <v>-55</v>
      </c>
      <c r="H310" s="1057">
        <v>2.5</v>
      </c>
      <c r="I310" s="1058">
        <f>E310*('Ввод исходных данных'!$D$83-F310)</f>
        <v>10696.699999999999</v>
      </c>
      <c r="J310" s="1059" t="str">
        <f t="shared" si="46"/>
        <v>10000-11000</v>
      </c>
      <c r="K310" s="1060">
        <v>17.7</v>
      </c>
      <c r="L310" s="1060"/>
      <c r="M310" s="1061">
        <f t="shared" si="48"/>
        <v>0</v>
      </c>
      <c r="N310" s="1062">
        <f>M310*('Ввод исходных данных'!$D$83-K310)</f>
        <v>0</v>
      </c>
      <c r="O310" s="1063">
        <v>14.1</v>
      </c>
      <c r="P310" s="1063"/>
      <c r="Q310" s="1063">
        <f t="shared" si="49"/>
        <v>0</v>
      </c>
      <c r="R310" s="1063">
        <f>Q310*('Ввод исходных данных'!$D$83-O310)</f>
        <v>0</v>
      </c>
      <c r="S310" s="1064">
        <v>5.3</v>
      </c>
      <c r="T310" s="1064"/>
      <c r="U310" s="1064">
        <f t="shared" si="50"/>
        <v>23.5</v>
      </c>
      <c r="V310" s="1064">
        <f>U310*('Ввод исходных данных'!$D$83-S310)</f>
        <v>345.45</v>
      </c>
      <c r="W310" s="1065">
        <v>-8.9</v>
      </c>
      <c r="X310" s="1065"/>
      <c r="Y310" s="1065">
        <f t="shared" si="51"/>
        <v>31</v>
      </c>
      <c r="Z310" s="1065">
        <f>Y310*('Ввод исходных данных'!$D$83-W310)</f>
        <v>895.9</v>
      </c>
      <c r="AA310" s="1066">
        <v>-29.6</v>
      </c>
      <c r="AB310" s="1066"/>
      <c r="AC310" s="1066">
        <f t="shared" si="52"/>
        <v>30</v>
      </c>
      <c r="AD310" s="1066">
        <f>AC310*('Ввод исходных данных'!$D$83-AA310)</f>
        <v>1488</v>
      </c>
      <c r="AE310" s="1067">
        <v>-40.6</v>
      </c>
      <c r="AF310" s="1067"/>
      <c r="AG310" s="1067">
        <v>31</v>
      </c>
      <c r="AH310" s="1067">
        <f>AG310*('Ввод исходных данных'!$D$83-AE310)</f>
        <v>1878.6000000000001</v>
      </c>
      <c r="AI310" s="1068">
        <v>-42.9</v>
      </c>
      <c r="AJ310" s="1068"/>
      <c r="AK310" s="1068">
        <v>31</v>
      </c>
      <c r="AL310" s="1068">
        <f>AK310*('Ввод исходных данных'!$D$83-AI310)</f>
        <v>1949.8999999999999</v>
      </c>
      <c r="AM310" s="1069">
        <v>-38</v>
      </c>
      <c r="AN310" s="1069"/>
      <c r="AO310" s="1069">
        <v>28</v>
      </c>
      <c r="AP310" s="1069">
        <f>AO310*('Ввод исходных данных'!$D$83-AM310)</f>
        <v>1624</v>
      </c>
      <c r="AQ310" s="1064">
        <v>-24</v>
      </c>
      <c r="AR310" s="1064"/>
      <c r="AS310" s="1064">
        <f t="shared" si="53"/>
        <v>31</v>
      </c>
      <c r="AT310" s="1064">
        <f>AS310*('Ввод исходных данных'!$D$83-AQ310)</f>
        <v>1364</v>
      </c>
      <c r="AU310" s="1070">
        <v>-7.5</v>
      </c>
      <c r="AV310" s="1070"/>
      <c r="AW310" s="1070">
        <f t="shared" si="54"/>
        <v>30</v>
      </c>
      <c r="AX310" s="1070">
        <f>AW310*('Ввод исходных данных'!$D$83-AU310)</f>
        <v>825</v>
      </c>
      <c r="AY310" s="1071">
        <v>6.1</v>
      </c>
      <c r="AZ310" s="1071"/>
      <c r="BA310" s="1071">
        <f t="shared" si="55"/>
        <v>23.5</v>
      </c>
      <c r="BB310" s="1071">
        <f>BA310*('Ввод исходных данных'!$D$83-AY310)</f>
        <v>326.65000000000003</v>
      </c>
      <c r="BC310" s="1072">
        <v>14.5</v>
      </c>
      <c r="BD310" s="1072"/>
      <c r="BE310" s="1072">
        <f t="shared" si="47"/>
        <v>0</v>
      </c>
      <c r="BF310" s="1073">
        <f>BE310*('Ввод исходных данных'!$D$83-BC310)</f>
        <v>0</v>
      </c>
    </row>
    <row r="311" spans="2:58" ht="15.75" customHeight="1" x14ac:dyDescent="0.25">
      <c r="B311" s="1052" t="s">
        <v>336</v>
      </c>
      <c r="C311" s="1052" t="s">
        <v>340</v>
      </c>
      <c r="D311" s="1053" t="str">
        <f t="shared" si="56"/>
        <v>Республика Саха (Якутия)Батамай</v>
      </c>
      <c r="E311" s="1054">
        <v>265</v>
      </c>
      <c r="F311" s="1055">
        <v>-20.8</v>
      </c>
      <c r="G311" s="1055">
        <v>-52</v>
      </c>
      <c r="H311" s="1057">
        <f>H309</f>
        <v>3.2</v>
      </c>
      <c r="I311" s="1058">
        <f>E311*('Ввод исходных данных'!$D$83-F311)</f>
        <v>10812</v>
      </c>
      <c r="J311" s="1059" t="str">
        <f t="shared" si="46"/>
        <v>10000-11000</v>
      </c>
      <c r="K311" s="1060">
        <v>17.100000000000001</v>
      </c>
      <c r="L311" s="1060"/>
      <c r="M311" s="1061">
        <f t="shared" si="48"/>
        <v>0</v>
      </c>
      <c r="N311" s="1062">
        <f>M311*('Ввод исходных данных'!$D$83-K311)</f>
        <v>0</v>
      </c>
      <c r="O311" s="1063">
        <v>13.6</v>
      </c>
      <c r="P311" s="1063"/>
      <c r="Q311" s="1063">
        <f t="shared" si="49"/>
        <v>0</v>
      </c>
      <c r="R311" s="1063">
        <f>Q311*('Ввод исходных данных'!$D$83-O311)</f>
        <v>0</v>
      </c>
      <c r="S311" s="1064">
        <v>5</v>
      </c>
      <c r="T311" s="1064"/>
      <c r="U311" s="1064">
        <f t="shared" si="50"/>
        <v>26.5</v>
      </c>
      <c r="V311" s="1064">
        <f>U311*('Ввод исходных данных'!$D$83-S311)</f>
        <v>397.5</v>
      </c>
      <c r="W311" s="1065">
        <v>-9.6</v>
      </c>
      <c r="X311" s="1065"/>
      <c r="Y311" s="1065">
        <f t="shared" si="51"/>
        <v>31</v>
      </c>
      <c r="Z311" s="1065">
        <f>Y311*('Ввод исходных данных'!$D$83-W311)</f>
        <v>917.6</v>
      </c>
      <c r="AA311" s="1066">
        <v>-30.6</v>
      </c>
      <c r="AB311" s="1066"/>
      <c r="AC311" s="1066">
        <f t="shared" si="52"/>
        <v>30</v>
      </c>
      <c r="AD311" s="1066">
        <f>AC311*('Ввод исходных данных'!$D$83-AA311)</f>
        <v>1518</v>
      </c>
      <c r="AE311" s="1067">
        <v>-40.1</v>
      </c>
      <c r="AF311" s="1067"/>
      <c r="AG311" s="1067">
        <v>31</v>
      </c>
      <c r="AH311" s="1067">
        <f>AG311*('Ввод исходных данных'!$D$83-AE311)</f>
        <v>1863.1000000000001</v>
      </c>
      <c r="AI311" s="1068">
        <v>-41.8</v>
      </c>
      <c r="AJ311" s="1068"/>
      <c r="AK311" s="1068">
        <v>31</v>
      </c>
      <c r="AL311" s="1068">
        <f>AK311*('Ввод исходных данных'!$D$83-AI311)</f>
        <v>1915.8</v>
      </c>
      <c r="AM311" s="1069">
        <v>-37.4</v>
      </c>
      <c r="AN311" s="1069"/>
      <c r="AO311" s="1069">
        <v>28</v>
      </c>
      <c r="AP311" s="1069">
        <f>AO311*('Ввод исходных данных'!$D$83-AM311)</f>
        <v>1607.2</v>
      </c>
      <c r="AQ311" s="1064">
        <v>-23.8</v>
      </c>
      <c r="AR311" s="1064"/>
      <c r="AS311" s="1064">
        <f t="shared" si="53"/>
        <v>31</v>
      </c>
      <c r="AT311" s="1064">
        <f>AS311*('Ввод исходных данных'!$D$83-AQ311)</f>
        <v>1357.8</v>
      </c>
      <c r="AU311" s="1070">
        <v>-8.8000000000000007</v>
      </c>
      <c r="AV311" s="1070"/>
      <c r="AW311" s="1070">
        <f t="shared" si="54"/>
        <v>30</v>
      </c>
      <c r="AX311" s="1070">
        <f>AW311*('Ввод исходных данных'!$D$83-AU311)</f>
        <v>864</v>
      </c>
      <c r="AY311" s="1071">
        <v>4.2</v>
      </c>
      <c r="AZ311" s="1071"/>
      <c r="BA311" s="1071">
        <f t="shared" si="55"/>
        <v>26.5</v>
      </c>
      <c r="BB311" s="1071">
        <f>BA311*('Ввод исходных данных'!$D$83-AY311)</f>
        <v>418.70000000000005</v>
      </c>
      <c r="BC311" s="1072">
        <v>13.7</v>
      </c>
      <c r="BD311" s="1072"/>
      <c r="BE311" s="1072">
        <f t="shared" si="47"/>
        <v>0</v>
      </c>
      <c r="BF311" s="1073">
        <f>BE311*('Ввод исходных данных'!$D$83-BC311)</f>
        <v>0</v>
      </c>
    </row>
    <row r="312" spans="2:58" ht="15.75" customHeight="1" x14ac:dyDescent="0.25">
      <c r="B312" s="1076" t="s">
        <v>336</v>
      </c>
      <c r="C312" s="1076" t="s">
        <v>341</v>
      </c>
      <c r="D312" s="1053" t="str">
        <f t="shared" si="56"/>
        <v>Республика Саха (Якутия)Бердигястях</v>
      </c>
      <c r="E312" s="1054">
        <v>268</v>
      </c>
      <c r="F312" s="1055">
        <v>-19.600000000000001</v>
      </c>
      <c r="G312" s="1055">
        <v>-54</v>
      </c>
      <c r="H312" s="1057">
        <f t="shared" ref="H312:H313" si="57">H310</f>
        <v>2.5</v>
      </c>
      <c r="I312" s="1058">
        <f>E312*('Ввод исходных данных'!$D$83-F312)</f>
        <v>10612.800000000001</v>
      </c>
      <c r="J312" s="1059" t="str">
        <f t="shared" si="46"/>
        <v>10000-11000</v>
      </c>
      <c r="K312" s="1060">
        <v>16.3</v>
      </c>
      <c r="L312" s="1060"/>
      <c r="M312" s="1061">
        <f t="shared" si="48"/>
        <v>0</v>
      </c>
      <c r="N312" s="1062">
        <f>M312*('Ввод исходных данных'!$D$83-K312)</f>
        <v>0</v>
      </c>
      <c r="O312" s="1063">
        <v>12.6</v>
      </c>
      <c r="P312" s="1063"/>
      <c r="Q312" s="1063">
        <f t="shared" si="49"/>
        <v>0</v>
      </c>
      <c r="R312" s="1063">
        <f>Q312*('Ввод исходных данных'!$D$83-O312)</f>
        <v>0</v>
      </c>
      <c r="S312" s="1064">
        <v>3.9</v>
      </c>
      <c r="T312" s="1064"/>
      <c r="U312" s="1064">
        <f t="shared" si="50"/>
        <v>28</v>
      </c>
      <c r="V312" s="1064">
        <f>U312*('Ввод исходных данных'!$D$83-S312)</f>
        <v>450.80000000000007</v>
      </c>
      <c r="W312" s="1065">
        <v>-8.6999999999999993</v>
      </c>
      <c r="X312" s="1065"/>
      <c r="Y312" s="1065">
        <f t="shared" si="51"/>
        <v>31</v>
      </c>
      <c r="Z312" s="1065">
        <f>Y312*('Ввод исходных данных'!$D$83-W312)</f>
        <v>889.69999999999993</v>
      </c>
      <c r="AA312" s="1066">
        <v>-28.2</v>
      </c>
      <c r="AB312" s="1066"/>
      <c r="AC312" s="1066">
        <f t="shared" si="52"/>
        <v>30</v>
      </c>
      <c r="AD312" s="1066">
        <f>AC312*('Ввод исходных данных'!$D$83-AA312)</f>
        <v>1446</v>
      </c>
      <c r="AE312" s="1067">
        <v>-38.9</v>
      </c>
      <c r="AF312" s="1067"/>
      <c r="AG312" s="1067">
        <v>31</v>
      </c>
      <c r="AH312" s="1067">
        <f>AG312*('Ввод исходных данных'!$D$83-AE312)</f>
        <v>1825.8999999999999</v>
      </c>
      <c r="AI312" s="1068">
        <v>-40.5</v>
      </c>
      <c r="AJ312" s="1068"/>
      <c r="AK312" s="1068">
        <v>31</v>
      </c>
      <c r="AL312" s="1068">
        <f>AK312*('Ввод исходных данных'!$D$83-AI312)</f>
        <v>1875.5</v>
      </c>
      <c r="AM312" s="1069">
        <v>-35.700000000000003</v>
      </c>
      <c r="AN312" s="1069"/>
      <c r="AO312" s="1069">
        <v>28</v>
      </c>
      <c r="AP312" s="1069">
        <f>AO312*('Ввод исходных данных'!$D$83-AM312)</f>
        <v>1559.6000000000001</v>
      </c>
      <c r="AQ312" s="1064">
        <v>-22.9</v>
      </c>
      <c r="AR312" s="1064"/>
      <c r="AS312" s="1064">
        <f t="shared" si="53"/>
        <v>31</v>
      </c>
      <c r="AT312" s="1064">
        <f>AS312*('Ввод исходных данных'!$D$83-AQ312)</f>
        <v>1329.8999999999999</v>
      </c>
      <c r="AU312" s="1070">
        <v>-8.3000000000000007</v>
      </c>
      <c r="AV312" s="1070"/>
      <c r="AW312" s="1070">
        <f t="shared" si="54"/>
        <v>30</v>
      </c>
      <c r="AX312" s="1070">
        <f>AW312*('Ввод исходных данных'!$D$83-AU312)</f>
        <v>849</v>
      </c>
      <c r="AY312" s="1071">
        <v>4.7</v>
      </c>
      <c r="AZ312" s="1071"/>
      <c r="BA312" s="1071">
        <f t="shared" si="55"/>
        <v>28</v>
      </c>
      <c r="BB312" s="1071">
        <f>BA312*('Ввод исходных данных'!$D$83-AY312)</f>
        <v>428.40000000000003</v>
      </c>
      <c r="BC312" s="1072">
        <v>13.5</v>
      </c>
      <c r="BD312" s="1072"/>
      <c r="BE312" s="1072">
        <f t="shared" si="47"/>
        <v>0</v>
      </c>
      <c r="BF312" s="1073">
        <f>BE312*('Ввод исходных данных'!$D$83-BC312)</f>
        <v>0</v>
      </c>
    </row>
    <row r="313" spans="2:58" ht="15.75" customHeight="1" x14ac:dyDescent="0.25">
      <c r="B313" s="1052" t="s">
        <v>336</v>
      </c>
      <c r="C313" s="1052" t="s">
        <v>342</v>
      </c>
      <c r="D313" s="1053" t="str">
        <f t="shared" si="56"/>
        <v>Республика Саха (Якутия)Буяга</v>
      </c>
      <c r="E313" s="1054">
        <v>266</v>
      </c>
      <c r="F313" s="1055">
        <v>-18.2</v>
      </c>
      <c r="G313" s="1055">
        <v>-52</v>
      </c>
      <c r="H313" s="1057">
        <f t="shared" si="57"/>
        <v>3.2</v>
      </c>
      <c r="I313" s="1058">
        <f>E313*('Ввод исходных данных'!$D$83-F313)</f>
        <v>10161.200000000001</v>
      </c>
      <c r="J313" s="1059" t="str">
        <f t="shared" si="46"/>
        <v>10000-11000</v>
      </c>
      <c r="K313" s="1060">
        <v>16.5</v>
      </c>
      <c r="L313" s="1060"/>
      <c r="M313" s="1061">
        <f t="shared" si="48"/>
        <v>0</v>
      </c>
      <c r="N313" s="1062">
        <f>M313*('Ввод исходных данных'!$D$83-K313)</f>
        <v>0</v>
      </c>
      <c r="O313" s="1063">
        <v>13</v>
      </c>
      <c r="P313" s="1063"/>
      <c r="Q313" s="1063">
        <f t="shared" si="49"/>
        <v>0</v>
      </c>
      <c r="R313" s="1063">
        <f>Q313*('Ввод исходных данных'!$D$83-O313)</f>
        <v>0</v>
      </c>
      <c r="S313" s="1064">
        <v>4.7</v>
      </c>
      <c r="T313" s="1064"/>
      <c r="U313" s="1064">
        <f t="shared" si="50"/>
        <v>27</v>
      </c>
      <c r="V313" s="1064">
        <f>U313*('Ввод исходных данных'!$D$83-S313)</f>
        <v>413.1</v>
      </c>
      <c r="W313" s="1065">
        <v>-7.5</v>
      </c>
      <c r="X313" s="1065"/>
      <c r="Y313" s="1065">
        <f t="shared" si="51"/>
        <v>31</v>
      </c>
      <c r="Z313" s="1065">
        <f>Y313*('Ввод исходных данных'!$D$83-W313)</f>
        <v>852.5</v>
      </c>
      <c r="AA313" s="1066">
        <v>-26</v>
      </c>
      <c r="AB313" s="1066"/>
      <c r="AC313" s="1066">
        <f t="shared" si="52"/>
        <v>30</v>
      </c>
      <c r="AD313" s="1066">
        <f>AC313*('Ввод исходных данных'!$D$83-AA313)</f>
        <v>1380</v>
      </c>
      <c r="AE313" s="1067">
        <v>-36.4</v>
      </c>
      <c r="AF313" s="1067"/>
      <c r="AG313" s="1067">
        <v>31</v>
      </c>
      <c r="AH313" s="1067">
        <f>AG313*('Ввод исходных данных'!$D$83-AE313)</f>
        <v>1748.3999999999999</v>
      </c>
      <c r="AI313" s="1068">
        <v>-37.6</v>
      </c>
      <c r="AJ313" s="1068"/>
      <c r="AK313" s="1068">
        <v>31</v>
      </c>
      <c r="AL313" s="1068">
        <f>AK313*('Ввод исходных данных'!$D$83-AI313)</f>
        <v>1785.6000000000001</v>
      </c>
      <c r="AM313" s="1069">
        <v>-33.6</v>
      </c>
      <c r="AN313" s="1069"/>
      <c r="AO313" s="1069">
        <v>28</v>
      </c>
      <c r="AP313" s="1069">
        <f>AO313*('Ввод исходных данных'!$D$83-AM313)</f>
        <v>1500.8</v>
      </c>
      <c r="AQ313" s="1064">
        <v>-21.6</v>
      </c>
      <c r="AR313" s="1064"/>
      <c r="AS313" s="1064">
        <f t="shared" si="53"/>
        <v>31</v>
      </c>
      <c r="AT313" s="1064">
        <f>AS313*('Ввод исходных данных'!$D$83-AQ313)</f>
        <v>1289.6000000000001</v>
      </c>
      <c r="AU313" s="1070">
        <v>-6.9</v>
      </c>
      <c r="AV313" s="1070"/>
      <c r="AW313" s="1070">
        <f t="shared" si="54"/>
        <v>30</v>
      </c>
      <c r="AX313" s="1070">
        <f>AW313*('Ввод исходных данных'!$D$83-AU313)</f>
        <v>807</v>
      </c>
      <c r="AY313" s="1071">
        <v>5.0999999999999996</v>
      </c>
      <c r="AZ313" s="1071"/>
      <c r="BA313" s="1071">
        <f t="shared" si="55"/>
        <v>27</v>
      </c>
      <c r="BB313" s="1071">
        <f>BA313*('Ввод исходных данных'!$D$83-AY313)</f>
        <v>402.3</v>
      </c>
      <c r="BC313" s="1072">
        <v>13.2</v>
      </c>
      <c r="BD313" s="1072"/>
      <c r="BE313" s="1072">
        <f t="shared" si="47"/>
        <v>0</v>
      </c>
      <c r="BF313" s="1073">
        <f>BE313*('Ввод исходных данных'!$D$83-BC313)</f>
        <v>0</v>
      </c>
    </row>
    <row r="314" spans="2:58" ht="15.75" customHeight="1" x14ac:dyDescent="0.25">
      <c r="B314" s="1076" t="s">
        <v>336</v>
      </c>
      <c r="C314" s="1076" t="s">
        <v>374</v>
      </c>
      <c r="D314" s="1053" t="str">
        <f t="shared" si="56"/>
        <v>Республика Саха (Якутия)Верхоянск</v>
      </c>
      <c r="E314" s="1054">
        <v>272</v>
      </c>
      <c r="F314" s="1055">
        <v>-25</v>
      </c>
      <c r="G314" s="1055">
        <v>-58</v>
      </c>
      <c r="H314" s="1057">
        <v>1.5</v>
      </c>
      <c r="I314" s="1058">
        <f>E314*('Ввод исходных данных'!$D$83-F314)</f>
        <v>12240</v>
      </c>
      <c r="J314" s="1059" t="str">
        <f t="shared" si="46"/>
        <v>12000-13000</v>
      </c>
      <c r="K314" s="1060">
        <v>16</v>
      </c>
      <c r="L314" s="1060"/>
      <c r="M314" s="1061">
        <f t="shared" si="48"/>
        <v>0</v>
      </c>
      <c r="N314" s="1062">
        <f>M314*('Ввод исходных данных'!$D$83-K314)</f>
        <v>0</v>
      </c>
      <c r="O314" s="1063">
        <v>11.3</v>
      </c>
      <c r="P314" s="1063"/>
      <c r="Q314" s="1063">
        <f t="shared" si="49"/>
        <v>0</v>
      </c>
      <c r="R314" s="1063">
        <f>Q314*('Ввод исходных данных'!$D$83-O314)</f>
        <v>0</v>
      </c>
      <c r="S314" s="1064">
        <v>2.5</v>
      </c>
      <c r="T314" s="1064"/>
      <c r="U314" s="1064">
        <f t="shared" si="50"/>
        <v>30</v>
      </c>
      <c r="V314" s="1064">
        <f>U314*('Ввод исходных данных'!$D$83-S314)</f>
        <v>525</v>
      </c>
      <c r="W314" s="1065">
        <v>-14.6</v>
      </c>
      <c r="X314" s="1065"/>
      <c r="Y314" s="1065">
        <f t="shared" si="51"/>
        <v>31</v>
      </c>
      <c r="Z314" s="1065">
        <f>Y314*('Ввод исходных данных'!$D$83-W314)</f>
        <v>1072.6000000000001</v>
      </c>
      <c r="AA314" s="1066">
        <v>-35.700000000000003</v>
      </c>
      <c r="AB314" s="1066"/>
      <c r="AC314" s="1066">
        <f t="shared" si="52"/>
        <v>30</v>
      </c>
      <c r="AD314" s="1066">
        <f>AC314*('Ввод исходных данных'!$D$83-AA314)</f>
        <v>1671</v>
      </c>
      <c r="AE314" s="1067">
        <v>-43.4</v>
      </c>
      <c r="AF314" s="1067"/>
      <c r="AG314" s="1067">
        <v>31</v>
      </c>
      <c r="AH314" s="1067">
        <f>AG314*('Ввод исходных данных'!$D$83-AE314)</f>
        <v>1965.3999999999999</v>
      </c>
      <c r="AI314" s="1068">
        <v>-46</v>
      </c>
      <c r="AJ314" s="1068"/>
      <c r="AK314" s="1068">
        <v>31</v>
      </c>
      <c r="AL314" s="1068">
        <f>AK314*('Ввод исходных данных'!$D$83-AI314)</f>
        <v>2046</v>
      </c>
      <c r="AM314" s="1069">
        <v>-42.5</v>
      </c>
      <c r="AN314" s="1069"/>
      <c r="AO314" s="1069">
        <v>28</v>
      </c>
      <c r="AP314" s="1069">
        <f>AO314*('Ввод исходных данных'!$D$83-AM314)</f>
        <v>1750</v>
      </c>
      <c r="AQ314" s="1064">
        <v>-29.9</v>
      </c>
      <c r="AR314" s="1064"/>
      <c r="AS314" s="1064">
        <f t="shared" si="53"/>
        <v>31</v>
      </c>
      <c r="AT314" s="1064">
        <f>AS314*('Ввод исходных данных'!$D$83-AQ314)</f>
        <v>1546.8999999999999</v>
      </c>
      <c r="AU314" s="1070">
        <v>-12.5</v>
      </c>
      <c r="AV314" s="1070"/>
      <c r="AW314" s="1070">
        <f t="shared" si="54"/>
        <v>30</v>
      </c>
      <c r="AX314" s="1070">
        <f>AW314*('Ввод исходных данных'!$D$83-AU314)</f>
        <v>975</v>
      </c>
      <c r="AY314" s="1071">
        <v>3.5</v>
      </c>
      <c r="AZ314" s="1071"/>
      <c r="BA314" s="1071">
        <f t="shared" si="55"/>
        <v>30</v>
      </c>
      <c r="BB314" s="1071">
        <f>BA314*('Ввод исходных данных'!$D$83-AY314)</f>
        <v>495</v>
      </c>
      <c r="BC314" s="1072">
        <v>13.3</v>
      </c>
      <c r="BD314" s="1072"/>
      <c r="BE314" s="1072">
        <f t="shared" si="47"/>
        <v>0</v>
      </c>
      <c r="BF314" s="1073">
        <f>BE314*('Ввод исходных данных'!$D$83-BC314)</f>
        <v>0</v>
      </c>
    </row>
    <row r="315" spans="2:58" ht="15.75" customHeight="1" x14ac:dyDescent="0.25">
      <c r="B315" s="1052" t="s">
        <v>336</v>
      </c>
      <c r="C315" s="1052" t="s">
        <v>375</v>
      </c>
      <c r="D315" s="1053" t="str">
        <f t="shared" si="56"/>
        <v>Республика Саха (Якутия)Вилюйск</v>
      </c>
      <c r="E315" s="1054">
        <v>259</v>
      </c>
      <c r="F315" s="1055">
        <v>-18.8</v>
      </c>
      <c r="G315" s="1055">
        <v>-51</v>
      </c>
      <c r="H315" s="1057">
        <v>2.1</v>
      </c>
      <c r="I315" s="1058">
        <f>E315*('Ввод исходных данных'!$D$83-F315)</f>
        <v>10049.199999999999</v>
      </c>
      <c r="J315" s="1059" t="str">
        <f t="shared" si="46"/>
        <v>10000-11000</v>
      </c>
      <c r="K315" s="1060">
        <v>18.5</v>
      </c>
      <c r="L315" s="1060"/>
      <c r="M315" s="1061">
        <f t="shared" si="48"/>
        <v>0</v>
      </c>
      <c r="N315" s="1062">
        <f>M315*('Ввод исходных данных'!$D$83-K315)</f>
        <v>0</v>
      </c>
      <c r="O315" s="1063">
        <v>14.3</v>
      </c>
      <c r="P315" s="1063"/>
      <c r="Q315" s="1063">
        <f t="shared" si="49"/>
        <v>0</v>
      </c>
      <c r="R315" s="1063">
        <f>Q315*('Ввод исходных данных'!$D$83-O315)</f>
        <v>0</v>
      </c>
      <c r="S315" s="1064">
        <v>5.4</v>
      </c>
      <c r="T315" s="1064"/>
      <c r="U315" s="1064">
        <f t="shared" si="50"/>
        <v>23.5</v>
      </c>
      <c r="V315" s="1064">
        <f>U315*('Ввод исходных данных'!$D$83-S315)</f>
        <v>343.09999999999997</v>
      </c>
      <c r="W315" s="1065">
        <v>-7.7</v>
      </c>
      <c r="X315" s="1065"/>
      <c r="Y315" s="1065">
        <f t="shared" si="51"/>
        <v>31</v>
      </c>
      <c r="Z315" s="1065">
        <f>Y315*('Ввод исходных данных'!$D$83-W315)</f>
        <v>858.69999999999993</v>
      </c>
      <c r="AA315" s="1066">
        <v>-26.5</v>
      </c>
      <c r="AB315" s="1066"/>
      <c r="AC315" s="1066">
        <f t="shared" si="52"/>
        <v>30</v>
      </c>
      <c r="AD315" s="1066">
        <f>AC315*('Ввод исходных данных'!$D$83-AA315)</f>
        <v>1395</v>
      </c>
      <c r="AE315" s="1067">
        <v>-34.6</v>
      </c>
      <c r="AF315" s="1067"/>
      <c r="AG315" s="1067">
        <v>31</v>
      </c>
      <c r="AH315" s="1067">
        <f>AG315*('Ввод исходных данных'!$D$83-AE315)</f>
        <v>1692.6000000000001</v>
      </c>
      <c r="AI315" s="1068">
        <v>-36.700000000000003</v>
      </c>
      <c r="AJ315" s="1068"/>
      <c r="AK315" s="1068">
        <v>31</v>
      </c>
      <c r="AL315" s="1068">
        <f>AK315*('Ввод исходных данных'!$D$83-AI315)</f>
        <v>1757.7</v>
      </c>
      <c r="AM315" s="1069">
        <v>-31.7</v>
      </c>
      <c r="AN315" s="1069"/>
      <c r="AO315" s="1069">
        <v>28</v>
      </c>
      <c r="AP315" s="1069">
        <f>AO315*('Ввод исходных данных'!$D$83-AM315)</f>
        <v>1447.6000000000001</v>
      </c>
      <c r="AQ315" s="1064">
        <v>-19.2</v>
      </c>
      <c r="AR315" s="1064"/>
      <c r="AS315" s="1064">
        <f t="shared" si="53"/>
        <v>31</v>
      </c>
      <c r="AT315" s="1064">
        <f>AS315*('Ввод исходных данных'!$D$83-AQ315)</f>
        <v>1215.2</v>
      </c>
      <c r="AU315" s="1070">
        <v>-6</v>
      </c>
      <c r="AV315" s="1070"/>
      <c r="AW315" s="1070">
        <f t="shared" si="54"/>
        <v>30</v>
      </c>
      <c r="AX315" s="1070">
        <f>AW315*('Ввод исходных данных'!$D$83-AU315)</f>
        <v>780</v>
      </c>
      <c r="AY315" s="1071">
        <v>5.6</v>
      </c>
      <c r="AZ315" s="1071"/>
      <c r="BA315" s="1071">
        <f t="shared" si="55"/>
        <v>23.5</v>
      </c>
      <c r="BB315" s="1071">
        <f>BA315*('Ввод исходных данных'!$D$83-AY315)</f>
        <v>338.40000000000003</v>
      </c>
      <c r="BC315" s="1072">
        <v>15.1</v>
      </c>
      <c r="BD315" s="1072"/>
      <c r="BE315" s="1072">
        <f t="shared" si="47"/>
        <v>0</v>
      </c>
      <c r="BF315" s="1073">
        <f>BE315*('Ввод исходных данных'!$D$83-BC315)</f>
        <v>0</v>
      </c>
    </row>
    <row r="316" spans="2:58" ht="15.75" customHeight="1" x14ac:dyDescent="0.25">
      <c r="B316" s="1076" t="s">
        <v>336</v>
      </c>
      <c r="C316" s="1076" t="s">
        <v>376</v>
      </c>
      <c r="D316" s="1053" t="str">
        <f t="shared" si="56"/>
        <v>Республика Саха (Якутия)Витим</v>
      </c>
      <c r="E316" s="1054">
        <v>255</v>
      </c>
      <c r="F316" s="1055">
        <v>-13.8</v>
      </c>
      <c r="G316" s="1055">
        <v>-50</v>
      </c>
      <c r="H316" s="1057">
        <v>3.8</v>
      </c>
      <c r="I316" s="1058">
        <f>E316*('Ввод исходных данных'!$D$83-F316)</f>
        <v>8619</v>
      </c>
      <c r="J316" s="1059" t="str">
        <f t="shared" si="46"/>
        <v>8000-9000</v>
      </c>
      <c r="K316" s="1060">
        <v>18.100000000000001</v>
      </c>
      <c r="L316" s="1060"/>
      <c r="M316" s="1061">
        <f t="shared" si="48"/>
        <v>0</v>
      </c>
      <c r="N316" s="1062">
        <f>M316*('Ввод исходных данных'!$D$83-K316)</f>
        <v>0</v>
      </c>
      <c r="O316" s="1063">
        <v>14.6</v>
      </c>
      <c r="P316" s="1063"/>
      <c r="Q316" s="1063">
        <f t="shared" si="49"/>
        <v>0</v>
      </c>
      <c r="R316" s="1063">
        <f>Q316*('Ввод исходных данных'!$D$83-O316)</f>
        <v>0</v>
      </c>
      <c r="S316" s="1064">
        <v>6.4</v>
      </c>
      <c r="T316" s="1064"/>
      <c r="U316" s="1064">
        <f t="shared" si="50"/>
        <v>21.5</v>
      </c>
      <c r="V316" s="1064">
        <f>U316*('Ввод исходных данных'!$D$83-S316)</f>
        <v>292.39999999999998</v>
      </c>
      <c r="W316" s="1065">
        <v>-3.5</v>
      </c>
      <c r="X316" s="1065"/>
      <c r="Y316" s="1065">
        <f t="shared" si="51"/>
        <v>31</v>
      </c>
      <c r="Z316" s="1065">
        <f>Y316*('Ввод исходных данных'!$D$83-W316)</f>
        <v>728.5</v>
      </c>
      <c r="AA316" s="1066">
        <v>-17.399999999999999</v>
      </c>
      <c r="AB316" s="1066"/>
      <c r="AC316" s="1066">
        <f t="shared" si="52"/>
        <v>30</v>
      </c>
      <c r="AD316" s="1066">
        <f>AC316*('Ввод исходных данных'!$D$83-AA316)</f>
        <v>1122</v>
      </c>
      <c r="AE316" s="1067">
        <v>-26.6</v>
      </c>
      <c r="AF316" s="1067"/>
      <c r="AG316" s="1067">
        <v>31</v>
      </c>
      <c r="AH316" s="1067">
        <f>AG316*('Ввод исходных данных'!$D$83-AE316)</f>
        <v>1444.6000000000001</v>
      </c>
      <c r="AI316" s="1068">
        <v>-28.8</v>
      </c>
      <c r="AJ316" s="1068"/>
      <c r="AK316" s="1068">
        <v>31</v>
      </c>
      <c r="AL316" s="1068">
        <f>AK316*('Ввод исходных данных'!$D$83-AI316)</f>
        <v>1512.8</v>
      </c>
      <c r="AM316" s="1069">
        <v>-25.6</v>
      </c>
      <c r="AN316" s="1069"/>
      <c r="AO316" s="1069">
        <v>28</v>
      </c>
      <c r="AP316" s="1069">
        <f>AO316*('Ввод исходных данных'!$D$83-AM316)</f>
        <v>1276.8</v>
      </c>
      <c r="AQ316" s="1064">
        <v>-14.6</v>
      </c>
      <c r="AR316" s="1064"/>
      <c r="AS316" s="1064">
        <f t="shared" si="53"/>
        <v>31</v>
      </c>
      <c r="AT316" s="1064">
        <f>AS316*('Ввод исходных данных'!$D$83-AQ316)</f>
        <v>1072.6000000000001</v>
      </c>
      <c r="AU316" s="1070">
        <v>-2.9</v>
      </c>
      <c r="AV316" s="1070"/>
      <c r="AW316" s="1070">
        <f t="shared" si="54"/>
        <v>30</v>
      </c>
      <c r="AX316" s="1070">
        <f>AW316*('Ввод исходных данных'!$D$83-AU316)</f>
        <v>687</v>
      </c>
      <c r="AY316" s="1071">
        <v>6.3</v>
      </c>
      <c r="AZ316" s="1071"/>
      <c r="BA316" s="1071">
        <f t="shared" si="55"/>
        <v>21.5</v>
      </c>
      <c r="BB316" s="1071">
        <f>BA316*('Ввод исходных данных'!$D$83-AY316)</f>
        <v>294.55</v>
      </c>
      <c r="BC316" s="1072">
        <v>14.8</v>
      </c>
      <c r="BD316" s="1072"/>
      <c r="BE316" s="1072">
        <f t="shared" si="47"/>
        <v>0</v>
      </c>
      <c r="BF316" s="1073">
        <f>BE316*('Ввод исходных данных'!$D$83-BC316)</f>
        <v>0</v>
      </c>
    </row>
    <row r="317" spans="2:58" ht="15.75" customHeight="1" x14ac:dyDescent="0.25">
      <c r="B317" s="1052" t="s">
        <v>336</v>
      </c>
      <c r="C317" s="1052" t="s">
        <v>377</v>
      </c>
      <c r="D317" s="1053" t="str">
        <f t="shared" si="56"/>
        <v>Республика Саха (Якутия)Воронцово</v>
      </c>
      <c r="E317" s="1054">
        <v>297</v>
      </c>
      <c r="F317" s="1055">
        <v>-19.600000000000001</v>
      </c>
      <c r="G317" s="1055">
        <v>-51</v>
      </c>
      <c r="H317" s="1057">
        <f>H316</f>
        <v>3.8</v>
      </c>
      <c r="I317" s="1058">
        <f>E317*('Ввод исходных данных'!$D$83-F317)</f>
        <v>11761.2</v>
      </c>
      <c r="J317" s="1059" t="str">
        <f t="shared" si="46"/>
        <v>11000-12000</v>
      </c>
      <c r="K317" s="1060">
        <v>11.9</v>
      </c>
      <c r="L317" s="1060"/>
      <c r="M317" s="1061">
        <f t="shared" si="48"/>
        <v>0</v>
      </c>
      <c r="N317" s="1062">
        <f>M317*('Ввод исходных данных'!$D$83-K317)</f>
        <v>0</v>
      </c>
      <c r="O317" s="1063">
        <v>8.6999999999999993</v>
      </c>
      <c r="P317" s="1063"/>
      <c r="Q317" s="1063">
        <f t="shared" si="49"/>
        <v>12</v>
      </c>
      <c r="R317" s="1063">
        <f>Q317*('Ввод исходных данных'!$D$83-O317)</f>
        <v>135.60000000000002</v>
      </c>
      <c r="S317" s="1064">
        <v>1.5</v>
      </c>
      <c r="T317" s="1064"/>
      <c r="U317" s="1064">
        <f t="shared" si="50"/>
        <v>30</v>
      </c>
      <c r="V317" s="1064">
        <f>U317*('Ввод исходных данных'!$D$83-S317)</f>
        <v>555</v>
      </c>
      <c r="W317" s="1065">
        <v>-13.2</v>
      </c>
      <c r="X317" s="1065"/>
      <c r="Y317" s="1065">
        <f t="shared" si="51"/>
        <v>31</v>
      </c>
      <c r="Z317" s="1065">
        <f>Y317*('Ввод исходных данных'!$D$83-W317)</f>
        <v>1029.2</v>
      </c>
      <c r="AA317" s="1066">
        <v>-29.7</v>
      </c>
      <c r="AB317" s="1066"/>
      <c r="AC317" s="1066">
        <f t="shared" si="52"/>
        <v>30</v>
      </c>
      <c r="AD317" s="1066">
        <f>AC317*('Ввод исходных данных'!$D$83-AA317)</f>
        <v>1491</v>
      </c>
      <c r="AE317" s="1067">
        <v>-35.9</v>
      </c>
      <c r="AF317" s="1067"/>
      <c r="AG317" s="1067">
        <v>31</v>
      </c>
      <c r="AH317" s="1067">
        <f>AG317*('Ввод исходных данных'!$D$83-AE317)</f>
        <v>1732.8999999999999</v>
      </c>
      <c r="AI317" s="1068">
        <v>-37.9</v>
      </c>
      <c r="AJ317" s="1068"/>
      <c r="AK317" s="1068">
        <v>31</v>
      </c>
      <c r="AL317" s="1068">
        <f>AK317*('Ввод исходных данных'!$D$83-AI317)</f>
        <v>1794.8999999999999</v>
      </c>
      <c r="AM317" s="1069">
        <v>-36.200000000000003</v>
      </c>
      <c r="AN317" s="1069"/>
      <c r="AO317" s="1069">
        <v>28</v>
      </c>
      <c r="AP317" s="1069">
        <f>AO317*('Ввод исходных данных'!$D$83-AM317)</f>
        <v>1573.6000000000001</v>
      </c>
      <c r="AQ317" s="1064">
        <v>-28.8</v>
      </c>
      <c r="AR317" s="1064"/>
      <c r="AS317" s="1064">
        <f t="shared" si="53"/>
        <v>31</v>
      </c>
      <c r="AT317" s="1064">
        <f>AS317*('Ввод исходных данных'!$D$83-AQ317)</f>
        <v>1512.8</v>
      </c>
      <c r="AU317" s="1070">
        <v>-16.8</v>
      </c>
      <c r="AV317" s="1070"/>
      <c r="AW317" s="1070">
        <f t="shared" si="54"/>
        <v>30</v>
      </c>
      <c r="AX317" s="1070">
        <f>AW317*('Ввод исходных данных'!$D$83-AU317)</f>
        <v>1104</v>
      </c>
      <c r="AY317" s="1071">
        <v>-2.6</v>
      </c>
      <c r="AZ317" s="1071"/>
      <c r="BA317" s="1071">
        <f t="shared" si="55"/>
        <v>31</v>
      </c>
      <c r="BB317" s="1071">
        <f>BA317*('Ввод исходных данных'!$D$83-AY317)</f>
        <v>700.6</v>
      </c>
      <c r="BC317" s="1072">
        <v>9.3000000000000007</v>
      </c>
      <c r="BD317" s="1072"/>
      <c r="BE317" s="1072">
        <f t="shared" si="47"/>
        <v>12</v>
      </c>
      <c r="BF317" s="1073">
        <f>BE317*('Ввод исходных данных'!$D$83-BC317)</f>
        <v>128.39999999999998</v>
      </c>
    </row>
    <row r="318" spans="2:58" ht="15.75" customHeight="1" x14ac:dyDescent="0.25">
      <c r="B318" s="1076" t="s">
        <v>336</v>
      </c>
      <c r="C318" s="1076" t="s">
        <v>346</v>
      </c>
      <c r="D318" s="1053" t="str">
        <f t="shared" si="56"/>
        <v>Республика Саха (Якутия)Джалинда</v>
      </c>
      <c r="E318" s="1054">
        <v>296</v>
      </c>
      <c r="F318" s="1055">
        <v>-19.5</v>
      </c>
      <c r="G318" s="1055">
        <v>-56</v>
      </c>
      <c r="H318" s="1057">
        <f>H317</f>
        <v>3.8</v>
      </c>
      <c r="I318" s="1058">
        <f>E318*('Ввод исходных данных'!$D$83-F318)</f>
        <v>11692</v>
      </c>
      <c r="J318" s="1059" t="str">
        <f t="shared" si="46"/>
        <v>11000-12000</v>
      </c>
      <c r="K318" s="1060">
        <v>13.7</v>
      </c>
      <c r="L318" s="1060"/>
      <c r="M318" s="1061">
        <f t="shared" si="48"/>
        <v>0</v>
      </c>
      <c r="N318" s="1062">
        <f>M318*('Ввод исходных данных'!$D$83-K318)</f>
        <v>0</v>
      </c>
      <c r="O318" s="1063">
        <v>9.3000000000000007</v>
      </c>
      <c r="P318" s="1063"/>
      <c r="Q318" s="1063">
        <f t="shared" si="49"/>
        <v>11.5</v>
      </c>
      <c r="R318" s="1063">
        <f>Q318*('Ввод исходных данных'!$D$83-O318)</f>
        <v>123.05</v>
      </c>
      <c r="S318" s="1064">
        <v>1.6</v>
      </c>
      <c r="T318" s="1064"/>
      <c r="U318" s="1064">
        <f t="shared" si="50"/>
        <v>30</v>
      </c>
      <c r="V318" s="1064">
        <f>U318*('Ввод исходных данных'!$D$83-S318)</f>
        <v>552</v>
      </c>
      <c r="W318" s="1065">
        <v>-12.7</v>
      </c>
      <c r="X318" s="1065"/>
      <c r="Y318" s="1065">
        <f t="shared" si="51"/>
        <v>31</v>
      </c>
      <c r="Z318" s="1065">
        <f>Y318*('Ввод исходных данных'!$D$83-W318)</f>
        <v>1013.7</v>
      </c>
      <c r="AA318" s="1066">
        <v>-31</v>
      </c>
      <c r="AB318" s="1066"/>
      <c r="AC318" s="1066">
        <f t="shared" si="52"/>
        <v>30</v>
      </c>
      <c r="AD318" s="1066">
        <f>AC318*('Ввод исходных данных'!$D$83-AA318)</f>
        <v>1530</v>
      </c>
      <c r="AE318" s="1067">
        <v>-35.4</v>
      </c>
      <c r="AF318" s="1067"/>
      <c r="AG318" s="1067">
        <v>31</v>
      </c>
      <c r="AH318" s="1067">
        <f>AG318*('Ввод исходных данных'!$D$83-AE318)</f>
        <v>1717.3999999999999</v>
      </c>
      <c r="AI318" s="1068">
        <v>-39.4</v>
      </c>
      <c r="AJ318" s="1068"/>
      <c r="AK318" s="1068">
        <v>31</v>
      </c>
      <c r="AL318" s="1068">
        <f>AK318*('Ввод исходных данных'!$D$83-AI318)</f>
        <v>1841.3999999999999</v>
      </c>
      <c r="AM318" s="1069">
        <v>-35.9</v>
      </c>
      <c r="AN318" s="1069"/>
      <c r="AO318" s="1069">
        <v>28</v>
      </c>
      <c r="AP318" s="1069">
        <f>AO318*('Ввод исходных данных'!$D$83-AM318)</f>
        <v>1565.2</v>
      </c>
      <c r="AQ318" s="1064">
        <v>-27.2</v>
      </c>
      <c r="AR318" s="1064"/>
      <c r="AS318" s="1064">
        <f t="shared" si="53"/>
        <v>31</v>
      </c>
      <c r="AT318" s="1064">
        <f>AS318*('Ввод исходных данных'!$D$83-AQ318)</f>
        <v>1463.2</v>
      </c>
      <c r="AU318" s="1070">
        <v>-14.8</v>
      </c>
      <c r="AV318" s="1070"/>
      <c r="AW318" s="1070">
        <f t="shared" si="54"/>
        <v>30</v>
      </c>
      <c r="AX318" s="1070">
        <f>AW318*('Ввод исходных данных'!$D$83-AU318)</f>
        <v>1044</v>
      </c>
      <c r="AY318" s="1071">
        <v>-3</v>
      </c>
      <c r="AZ318" s="1071"/>
      <c r="BA318" s="1071">
        <f t="shared" si="55"/>
        <v>31</v>
      </c>
      <c r="BB318" s="1071">
        <f>BA318*('Ввод исходных данных'!$D$83-AY318)</f>
        <v>713</v>
      </c>
      <c r="BC318" s="1072">
        <v>8.8000000000000007</v>
      </c>
      <c r="BD318" s="1072"/>
      <c r="BE318" s="1072">
        <f t="shared" si="47"/>
        <v>11.5</v>
      </c>
      <c r="BF318" s="1073">
        <f>BE318*('Ввод исходных данных'!$D$83-BC318)</f>
        <v>128.79999999999998</v>
      </c>
    </row>
    <row r="319" spans="2:58" ht="15.75" customHeight="1" x14ac:dyDescent="0.25">
      <c r="B319" s="1052" t="s">
        <v>336</v>
      </c>
      <c r="C319" s="1052" t="s">
        <v>347</v>
      </c>
      <c r="D319" s="1053" t="str">
        <f t="shared" si="56"/>
        <v>Республика Саха (Якутия)Джарджан</v>
      </c>
      <c r="E319" s="1054">
        <v>283</v>
      </c>
      <c r="F319" s="1055">
        <v>-19.8</v>
      </c>
      <c r="G319" s="1055">
        <v>-54</v>
      </c>
      <c r="H319" s="1057">
        <v>4.9000000000000004</v>
      </c>
      <c r="I319" s="1058">
        <f>E319*('Ввод исходных данных'!$D$83-F319)</f>
        <v>11263.4</v>
      </c>
      <c r="J319" s="1059" t="str">
        <f t="shared" si="46"/>
        <v>11000-12000</v>
      </c>
      <c r="K319" s="1060">
        <v>15</v>
      </c>
      <c r="L319" s="1060"/>
      <c r="M319" s="1061">
        <f t="shared" si="48"/>
        <v>0</v>
      </c>
      <c r="N319" s="1062">
        <f>M319*('Ввод исходных данных'!$D$83-K319)</f>
        <v>0</v>
      </c>
      <c r="O319" s="1063">
        <v>11</v>
      </c>
      <c r="P319" s="1063"/>
      <c r="Q319" s="1063">
        <f t="shared" si="49"/>
        <v>5</v>
      </c>
      <c r="R319" s="1063">
        <f>Q319*('Ввод исходных данных'!$D$83-O319)</f>
        <v>45</v>
      </c>
      <c r="S319" s="1064">
        <v>2.8</v>
      </c>
      <c r="T319" s="1064"/>
      <c r="U319" s="1064">
        <f t="shared" si="50"/>
        <v>30</v>
      </c>
      <c r="V319" s="1064">
        <f>U319*('Ввод исходных данных'!$D$83-S319)</f>
        <v>516</v>
      </c>
      <c r="W319" s="1065">
        <v>-11.6</v>
      </c>
      <c r="X319" s="1065"/>
      <c r="Y319" s="1065">
        <f t="shared" si="51"/>
        <v>31</v>
      </c>
      <c r="Z319" s="1065">
        <f>Y319*('Ввод исходных данных'!$D$83-W319)</f>
        <v>979.6</v>
      </c>
      <c r="AA319" s="1066">
        <v>-29.9</v>
      </c>
      <c r="AB319" s="1066"/>
      <c r="AC319" s="1066">
        <f t="shared" si="52"/>
        <v>30</v>
      </c>
      <c r="AD319" s="1066">
        <f>AC319*('Ввод исходных данных'!$D$83-AA319)</f>
        <v>1497</v>
      </c>
      <c r="AE319" s="1067">
        <v>-35.700000000000003</v>
      </c>
      <c r="AF319" s="1067"/>
      <c r="AG319" s="1067">
        <v>31</v>
      </c>
      <c r="AH319" s="1067">
        <f>AG319*('Ввод исходных данных'!$D$83-AE319)</f>
        <v>1726.7</v>
      </c>
      <c r="AI319" s="1068">
        <v>-38</v>
      </c>
      <c r="AJ319" s="1068"/>
      <c r="AK319" s="1068">
        <v>31</v>
      </c>
      <c r="AL319" s="1068">
        <f>AK319*('Ввод исходных данных'!$D$83-AI319)</f>
        <v>1798</v>
      </c>
      <c r="AM319" s="1069">
        <v>-34.4</v>
      </c>
      <c r="AN319" s="1069"/>
      <c r="AO319" s="1069">
        <v>28</v>
      </c>
      <c r="AP319" s="1069">
        <f>AO319*('Ввод исходных данных'!$D$83-AM319)</f>
        <v>1523.2</v>
      </c>
      <c r="AQ319" s="1064">
        <v>-23.9</v>
      </c>
      <c r="AR319" s="1064"/>
      <c r="AS319" s="1064">
        <f t="shared" si="53"/>
        <v>31</v>
      </c>
      <c r="AT319" s="1064">
        <f>AS319*('Ввод исходных данных'!$D$83-AQ319)</f>
        <v>1360.8999999999999</v>
      </c>
      <c r="AU319" s="1070">
        <v>-11.9</v>
      </c>
      <c r="AV319" s="1070"/>
      <c r="AW319" s="1070">
        <f t="shared" si="54"/>
        <v>30</v>
      </c>
      <c r="AX319" s="1070">
        <f>AW319*('Ввод исходных данных'!$D$83-AU319)</f>
        <v>957</v>
      </c>
      <c r="AY319" s="1071">
        <v>0.1</v>
      </c>
      <c r="AZ319" s="1071"/>
      <c r="BA319" s="1071">
        <f t="shared" si="55"/>
        <v>31</v>
      </c>
      <c r="BB319" s="1071">
        <f>BA319*('Ввод исходных данных'!$D$83-AY319)</f>
        <v>616.9</v>
      </c>
      <c r="BC319" s="1072">
        <v>10.8</v>
      </c>
      <c r="BD319" s="1072"/>
      <c r="BE319" s="1072">
        <f t="shared" si="47"/>
        <v>5</v>
      </c>
      <c r="BF319" s="1073">
        <f>BE319*('Ввод исходных данных'!$D$83-BC319)</f>
        <v>46</v>
      </c>
    </row>
    <row r="320" spans="2:58" ht="15.75" customHeight="1" x14ac:dyDescent="0.25">
      <c r="B320" s="1076" t="s">
        <v>336</v>
      </c>
      <c r="C320" s="1076" t="s">
        <v>348</v>
      </c>
      <c r="D320" s="1053" t="str">
        <f t="shared" si="56"/>
        <v>Республика Саха (Якутия)Джикимда</v>
      </c>
      <c r="E320" s="1054">
        <v>256</v>
      </c>
      <c r="F320" s="1055">
        <v>-16.600000000000001</v>
      </c>
      <c r="G320" s="1055">
        <v>-51</v>
      </c>
      <c r="H320" s="1057">
        <v>1.7</v>
      </c>
      <c r="I320" s="1058">
        <f>E320*('Ввод исходных данных'!$D$83-F320)</f>
        <v>9369.6</v>
      </c>
      <c r="J320" s="1059" t="str">
        <f t="shared" si="46"/>
        <v>9000-10000</v>
      </c>
      <c r="K320" s="1060">
        <v>17.600000000000001</v>
      </c>
      <c r="L320" s="1060"/>
      <c r="M320" s="1061">
        <f t="shared" si="48"/>
        <v>0</v>
      </c>
      <c r="N320" s="1062">
        <f>M320*('Ввод исходных данных'!$D$83-K320)</f>
        <v>0</v>
      </c>
      <c r="O320" s="1063">
        <v>13.9</v>
      </c>
      <c r="P320" s="1063"/>
      <c r="Q320" s="1063">
        <f t="shared" si="49"/>
        <v>0</v>
      </c>
      <c r="R320" s="1063">
        <f>Q320*('Ввод исходных данных'!$D$83-O320)</f>
        <v>0</v>
      </c>
      <c r="S320" s="1064">
        <v>5.8</v>
      </c>
      <c r="T320" s="1064"/>
      <c r="U320" s="1064">
        <f t="shared" si="50"/>
        <v>22</v>
      </c>
      <c r="V320" s="1064">
        <f>U320*('Ввод исходных данных'!$D$83-S320)</f>
        <v>312.39999999999998</v>
      </c>
      <c r="W320" s="1065">
        <v>-5.3</v>
      </c>
      <c r="X320" s="1065"/>
      <c r="Y320" s="1065">
        <f t="shared" si="51"/>
        <v>31</v>
      </c>
      <c r="Z320" s="1065">
        <f>Y320*('Ввод исходных данных'!$D$83-W320)</f>
        <v>784.30000000000007</v>
      </c>
      <c r="AA320" s="1066">
        <v>-22.1</v>
      </c>
      <c r="AB320" s="1066"/>
      <c r="AC320" s="1066">
        <f t="shared" si="52"/>
        <v>30</v>
      </c>
      <c r="AD320" s="1066">
        <f>AC320*('Ввод исходных данных'!$D$83-AA320)</f>
        <v>1263</v>
      </c>
      <c r="AE320" s="1067">
        <v>-31.8</v>
      </c>
      <c r="AF320" s="1067"/>
      <c r="AG320" s="1067">
        <v>31</v>
      </c>
      <c r="AH320" s="1067">
        <f>AG320*('Ввод исходных данных'!$D$83-AE320)</f>
        <v>1605.8</v>
      </c>
      <c r="AI320" s="1068">
        <v>-33.9</v>
      </c>
      <c r="AJ320" s="1068"/>
      <c r="AK320" s="1068">
        <v>31</v>
      </c>
      <c r="AL320" s="1068">
        <f>AK320*('Ввод исходных данных'!$D$83-AI320)</f>
        <v>1670.8999999999999</v>
      </c>
      <c r="AM320" s="1069">
        <v>-29.6</v>
      </c>
      <c r="AN320" s="1069"/>
      <c r="AO320" s="1069">
        <v>28</v>
      </c>
      <c r="AP320" s="1069">
        <f>AO320*('Ввод исходных данных'!$D$83-AM320)</f>
        <v>1388.8</v>
      </c>
      <c r="AQ320" s="1064">
        <v>-17.399999999999999</v>
      </c>
      <c r="AR320" s="1064"/>
      <c r="AS320" s="1064">
        <f t="shared" si="53"/>
        <v>31</v>
      </c>
      <c r="AT320" s="1064">
        <f>AS320*('Ввод исходных данных'!$D$83-AQ320)</f>
        <v>1159.3999999999999</v>
      </c>
      <c r="AU320" s="1070">
        <v>-3.4</v>
      </c>
      <c r="AV320" s="1070"/>
      <c r="AW320" s="1070">
        <f t="shared" si="54"/>
        <v>30</v>
      </c>
      <c r="AX320" s="1070">
        <f>AW320*('Ввод исходных данных'!$D$83-AU320)</f>
        <v>702</v>
      </c>
      <c r="AY320" s="1071">
        <v>6.8</v>
      </c>
      <c r="AZ320" s="1071"/>
      <c r="BA320" s="1071">
        <f t="shared" si="55"/>
        <v>22</v>
      </c>
      <c r="BB320" s="1071">
        <f>BA320*('Ввод исходных данных'!$D$83-AY320)</f>
        <v>290.39999999999998</v>
      </c>
      <c r="BC320" s="1072">
        <v>14.7</v>
      </c>
      <c r="BD320" s="1072"/>
      <c r="BE320" s="1072">
        <f t="shared" si="47"/>
        <v>0</v>
      </c>
      <c r="BF320" s="1073">
        <f>BE320*('Ввод исходных данных'!$D$83-BC320)</f>
        <v>0</v>
      </c>
    </row>
    <row r="321" spans="2:58" ht="15.75" customHeight="1" x14ac:dyDescent="0.25">
      <c r="B321" s="1052" t="s">
        <v>336</v>
      </c>
      <c r="C321" s="1052" t="s">
        <v>345</v>
      </c>
      <c r="D321" s="1053" t="str">
        <f t="shared" si="56"/>
        <v>Республика Саха (Якутия)Дружина</v>
      </c>
      <c r="E321" s="1054">
        <v>284</v>
      </c>
      <c r="F321" s="1055">
        <v>-20.2</v>
      </c>
      <c r="G321" s="1055">
        <v>-52</v>
      </c>
      <c r="H321" s="1057">
        <v>2.8</v>
      </c>
      <c r="I321" s="1058">
        <f>E321*('Ввод исходных данных'!$D$83-F321)</f>
        <v>11416.800000000001</v>
      </c>
      <c r="J321" s="1059" t="str">
        <f t="shared" si="46"/>
        <v>11000-12000</v>
      </c>
      <c r="K321" s="1060">
        <v>13.7</v>
      </c>
      <c r="L321" s="1060"/>
      <c r="M321" s="1061">
        <f t="shared" si="48"/>
        <v>0</v>
      </c>
      <c r="N321" s="1062">
        <f>M321*('Ввод исходных данных'!$D$83-K321)</f>
        <v>0</v>
      </c>
      <c r="O321" s="1063">
        <v>10.5</v>
      </c>
      <c r="P321" s="1063"/>
      <c r="Q321" s="1063">
        <f t="shared" si="49"/>
        <v>5.5</v>
      </c>
      <c r="R321" s="1063">
        <f>Q321*('Ввод исходных данных'!$D$83-O321)</f>
        <v>52.25</v>
      </c>
      <c r="S321" s="1064">
        <v>2.9</v>
      </c>
      <c r="T321" s="1064"/>
      <c r="U321" s="1064">
        <f t="shared" si="50"/>
        <v>30</v>
      </c>
      <c r="V321" s="1064">
        <f>U321*('Ввод исходных данных'!$D$83-S321)</f>
        <v>513</v>
      </c>
      <c r="W321" s="1065">
        <v>-12.4</v>
      </c>
      <c r="X321" s="1065"/>
      <c r="Y321" s="1065">
        <f t="shared" si="51"/>
        <v>31</v>
      </c>
      <c r="Z321" s="1065">
        <f>Y321*('Ввод исходных данных'!$D$83-W321)</f>
        <v>1004.4</v>
      </c>
      <c r="AA321" s="1066">
        <v>-29.6</v>
      </c>
      <c r="AB321" s="1066"/>
      <c r="AC321" s="1066">
        <f t="shared" si="52"/>
        <v>30</v>
      </c>
      <c r="AD321" s="1066">
        <f>AC321*('Ввод исходных данных'!$D$83-AA321)</f>
        <v>1488</v>
      </c>
      <c r="AE321" s="1067">
        <v>-37</v>
      </c>
      <c r="AF321" s="1067"/>
      <c r="AG321" s="1067">
        <v>31</v>
      </c>
      <c r="AH321" s="1067">
        <f>AG321*('Ввод исходных данных'!$D$83-AE321)</f>
        <v>1767</v>
      </c>
      <c r="AI321" s="1068">
        <v>-39.4</v>
      </c>
      <c r="AJ321" s="1068"/>
      <c r="AK321" s="1068">
        <v>31</v>
      </c>
      <c r="AL321" s="1068">
        <f>AK321*('Ввод исходных данных'!$D$83-AI321)</f>
        <v>1841.3999999999999</v>
      </c>
      <c r="AM321" s="1069">
        <v>-37</v>
      </c>
      <c r="AN321" s="1069"/>
      <c r="AO321" s="1069">
        <v>28</v>
      </c>
      <c r="AP321" s="1069">
        <f>AO321*('Ввод исходных данных'!$D$83-AM321)</f>
        <v>1596</v>
      </c>
      <c r="AQ321" s="1064">
        <v>-28</v>
      </c>
      <c r="AR321" s="1064"/>
      <c r="AS321" s="1064">
        <f t="shared" si="53"/>
        <v>31</v>
      </c>
      <c r="AT321" s="1064">
        <f>AS321*('Ввод исходных данных'!$D$83-AQ321)</f>
        <v>1488</v>
      </c>
      <c r="AU321" s="1070">
        <v>-14.5</v>
      </c>
      <c r="AV321" s="1070"/>
      <c r="AW321" s="1070">
        <f t="shared" si="54"/>
        <v>30</v>
      </c>
      <c r="AX321" s="1070">
        <f>AW321*('Ввод исходных данных'!$D$83-AU321)</f>
        <v>1035</v>
      </c>
      <c r="AY321" s="1071">
        <v>0.4</v>
      </c>
      <c r="AZ321" s="1071"/>
      <c r="BA321" s="1071">
        <f t="shared" si="55"/>
        <v>31</v>
      </c>
      <c r="BB321" s="1071">
        <f>BA321*('Ввод исходных данных'!$D$83-AY321)</f>
        <v>607.6</v>
      </c>
      <c r="BC321" s="1072">
        <v>11.5</v>
      </c>
      <c r="BD321" s="1072"/>
      <c r="BE321" s="1072">
        <f t="shared" si="47"/>
        <v>5.5</v>
      </c>
      <c r="BF321" s="1073">
        <f>BE321*('Ввод исходных данных'!$D$83-BC321)</f>
        <v>46.75</v>
      </c>
    </row>
    <row r="322" spans="2:58" ht="15.75" customHeight="1" x14ac:dyDescent="0.25">
      <c r="B322" s="1076" t="s">
        <v>336</v>
      </c>
      <c r="C322" s="1076" t="s">
        <v>349</v>
      </c>
      <c r="D322" s="1053" t="str">
        <f t="shared" si="56"/>
        <v>Республика Саха (Якутия)Екючю</v>
      </c>
      <c r="E322" s="1054">
        <v>281</v>
      </c>
      <c r="F322" s="1055">
        <v>-23</v>
      </c>
      <c r="G322" s="1055">
        <v>-58</v>
      </c>
      <c r="H322" s="1057">
        <f>H321</f>
        <v>2.8</v>
      </c>
      <c r="I322" s="1058">
        <f>E322*('Ввод исходных данных'!$D$83-F322)</f>
        <v>12083</v>
      </c>
      <c r="J322" s="1059" t="str">
        <f t="shared" si="46"/>
        <v>12000-13000</v>
      </c>
      <c r="K322" s="1060">
        <v>14.6</v>
      </c>
      <c r="L322" s="1060"/>
      <c r="M322" s="1061">
        <f t="shared" si="48"/>
        <v>0</v>
      </c>
      <c r="N322" s="1062">
        <f>M322*('Ввод исходных данных'!$D$83-K322)</f>
        <v>0</v>
      </c>
      <c r="O322" s="1063">
        <v>10.5</v>
      </c>
      <c r="P322" s="1063"/>
      <c r="Q322" s="1063">
        <f t="shared" si="49"/>
        <v>4</v>
      </c>
      <c r="R322" s="1063">
        <f>Q322*('Ввод исходных данных'!$D$83-O322)</f>
        <v>38</v>
      </c>
      <c r="S322" s="1064">
        <v>2.1</v>
      </c>
      <c r="T322" s="1064"/>
      <c r="U322" s="1064">
        <f t="shared" si="50"/>
        <v>30</v>
      </c>
      <c r="V322" s="1064">
        <f>U322*('Ввод исходных данных'!$D$83-S322)</f>
        <v>537</v>
      </c>
      <c r="W322" s="1065">
        <v>-13.9</v>
      </c>
      <c r="X322" s="1065"/>
      <c r="Y322" s="1065">
        <f t="shared" si="51"/>
        <v>31</v>
      </c>
      <c r="Z322" s="1065">
        <f>Y322*('Ввод исходных данных'!$D$83-W322)</f>
        <v>1050.8999999999999</v>
      </c>
      <c r="AA322" s="1066">
        <v>-35.5</v>
      </c>
      <c r="AB322" s="1066"/>
      <c r="AC322" s="1066">
        <f t="shared" si="52"/>
        <v>30</v>
      </c>
      <c r="AD322" s="1066">
        <f>AC322*('Ввод исходных данных'!$D$83-AA322)</f>
        <v>1665</v>
      </c>
      <c r="AE322" s="1067">
        <v>-43.2</v>
      </c>
      <c r="AF322" s="1067"/>
      <c r="AG322" s="1067">
        <v>31</v>
      </c>
      <c r="AH322" s="1067">
        <f>AG322*('Ввод исходных данных'!$D$83-AE322)</f>
        <v>1959.2</v>
      </c>
      <c r="AI322" s="1068">
        <v>-45.9</v>
      </c>
      <c r="AJ322" s="1068"/>
      <c r="AK322" s="1068">
        <v>31</v>
      </c>
      <c r="AL322" s="1068">
        <f>AK322*('Ввод исходных данных'!$D$83-AI322)</f>
        <v>2042.9</v>
      </c>
      <c r="AM322" s="1069">
        <v>-41.8</v>
      </c>
      <c r="AN322" s="1069"/>
      <c r="AO322" s="1069">
        <v>28</v>
      </c>
      <c r="AP322" s="1069">
        <f>AO322*('Ввод исходных данных'!$D$83-AM322)</f>
        <v>1730.3999999999999</v>
      </c>
      <c r="AQ322" s="1064">
        <v>-29.2</v>
      </c>
      <c r="AR322" s="1064"/>
      <c r="AS322" s="1064">
        <f t="shared" si="53"/>
        <v>31</v>
      </c>
      <c r="AT322" s="1064">
        <f>AS322*('Ввод исходных данных'!$D$83-AQ322)</f>
        <v>1525.2</v>
      </c>
      <c r="AU322" s="1070">
        <v>-13.1</v>
      </c>
      <c r="AV322" s="1070"/>
      <c r="AW322" s="1070">
        <f t="shared" si="54"/>
        <v>30</v>
      </c>
      <c r="AX322" s="1070">
        <f>AW322*('Ввод исходных данных'!$D$83-AU322)</f>
        <v>993</v>
      </c>
      <c r="AY322" s="1071">
        <v>2.2000000000000002</v>
      </c>
      <c r="AZ322" s="1071"/>
      <c r="BA322" s="1071">
        <f t="shared" si="55"/>
        <v>31</v>
      </c>
      <c r="BB322" s="1071">
        <f>BA322*('Ввод исходных данных'!$D$83-AY322)</f>
        <v>551.80000000000007</v>
      </c>
      <c r="BC322" s="1072">
        <v>12.5</v>
      </c>
      <c r="BD322" s="1072"/>
      <c r="BE322" s="1072">
        <f t="shared" si="47"/>
        <v>4</v>
      </c>
      <c r="BF322" s="1073">
        <f>BE322*('Ввод исходных данных'!$D$83-BC322)</f>
        <v>30</v>
      </c>
    </row>
    <row r="323" spans="2:58" ht="15.75" customHeight="1" x14ac:dyDescent="0.25">
      <c r="B323" s="1052" t="s">
        <v>336</v>
      </c>
      <c r="C323" s="1052" t="s">
        <v>379</v>
      </c>
      <c r="D323" s="1053" t="str">
        <f t="shared" si="56"/>
        <v>Республика Саха (Якутия)Жиганск</v>
      </c>
      <c r="E323" s="1054">
        <v>275</v>
      </c>
      <c r="F323" s="1055">
        <v>-20</v>
      </c>
      <c r="G323" s="1055">
        <v>-52</v>
      </c>
      <c r="H323" s="1057">
        <v>4.0999999999999996</v>
      </c>
      <c r="I323" s="1058">
        <f>E323*('Ввод исходных данных'!$D$83-F323)</f>
        <v>11000</v>
      </c>
      <c r="J323" s="1059" t="str">
        <f t="shared" si="46"/>
        <v>11000-11000</v>
      </c>
      <c r="K323" s="1060">
        <v>16.2</v>
      </c>
      <c r="L323" s="1060"/>
      <c r="M323" s="1061">
        <f t="shared" si="48"/>
        <v>0</v>
      </c>
      <c r="N323" s="1062">
        <f>M323*('Ввод исходных данных'!$D$83-K323)</f>
        <v>0</v>
      </c>
      <c r="O323" s="1063">
        <v>12</v>
      </c>
      <c r="P323" s="1063"/>
      <c r="Q323" s="1063">
        <f t="shared" si="49"/>
        <v>1</v>
      </c>
      <c r="R323" s="1063">
        <f>Q323*('Ввод исходных данных'!$D$83-O323)</f>
        <v>8</v>
      </c>
      <c r="S323" s="1064">
        <v>3.5</v>
      </c>
      <c r="T323" s="1064"/>
      <c r="U323" s="1064">
        <f t="shared" si="50"/>
        <v>30</v>
      </c>
      <c r="V323" s="1064">
        <f>U323*('Ввод исходных данных'!$D$83-S323)</f>
        <v>495</v>
      </c>
      <c r="W323" s="1065">
        <v>-10.7</v>
      </c>
      <c r="X323" s="1065"/>
      <c r="Y323" s="1065">
        <f t="shared" si="51"/>
        <v>31</v>
      </c>
      <c r="Z323" s="1065">
        <f>Y323*('Ввод исходных данных'!$D$83-W323)</f>
        <v>951.69999999999993</v>
      </c>
      <c r="AA323" s="1066">
        <v>-29.4</v>
      </c>
      <c r="AB323" s="1066"/>
      <c r="AC323" s="1066">
        <f t="shared" si="52"/>
        <v>30</v>
      </c>
      <c r="AD323" s="1066">
        <f>AC323*('Ввод исходных данных'!$D$83-AA323)</f>
        <v>1482</v>
      </c>
      <c r="AE323" s="1067">
        <v>-36.4</v>
      </c>
      <c r="AF323" s="1067"/>
      <c r="AG323" s="1067">
        <v>31</v>
      </c>
      <c r="AH323" s="1067">
        <f>AG323*('Ввод исходных данных'!$D$83-AE323)</f>
        <v>1748.3999999999999</v>
      </c>
      <c r="AI323" s="1068">
        <v>-38.5</v>
      </c>
      <c r="AJ323" s="1068"/>
      <c r="AK323" s="1068">
        <v>31</v>
      </c>
      <c r="AL323" s="1068">
        <f>AK323*('Ввод исходных данных'!$D$83-AI323)</f>
        <v>1813.5</v>
      </c>
      <c r="AM323" s="1069">
        <v>-34.4</v>
      </c>
      <c r="AN323" s="1069"/>
      <c r="AO323" s="1069">
        <v>28</v>
      </c>
      <c r="AP323" s="1069">
        <f>AO323*('Ввод исходных данных'!$D$83-AM323)</f>
        <v>1523.2</v>
      </c>
      <c r="AQ323" s="1064">
        <v>-22.8</v>
      </c>
      <c r="AR323" s="1064"/>
      <c r="AS323" s="1064">
        <f t="shared" si="53"/>
        <v>31</v>
      </c>
      <c r="AT323" s="1064">
        <f>AS323*('Ввод исходных данных'!$D$83-AQ323)</f>
        <v>1326.8</v>
      </c>
      <c r="AU323" s="1070">
        <v>-10.3</v>
      </c>
      <c r="AV323" s="1070"/>
      <c r="AW323" s="1070">
        <f t="shared" si="54"/>
        <v>30</v>
      </c>
      <c r="AX323" s="1070">
        <f>AW323*('Ввод исходных данных'!$D$83-AU323)</f>
        <v>909</v>
      </c>
      <c r="AY323" s="1071">
        <v>1.7</v>
      </c>
      <c r="AZ323" s="1071"/>
      <c r="BA323" s="1071">
        <f t="shared" si="55"/>
        <v>31</v>
      </c>
      <c r="BB323" s="1071">
        <f>BA323*('Ввод исходных данных'!$D$83-AY323)</f>
        <v>567.30000000000007</v>
      </c>
      <c r="BC323" s="1072">
        <v>12.2</v>
      </c>
      <c r="BD323" s="1072"/>
      <c r="BE323" s="1072">
        <f t="shared" si="47"/>
        <v>1</v>
      </c>
      <c r="BF323" s="1073">
        <f>BE323*('Ввод исходных данных'!$D$83-BC323)</f>
        <v>7.8000000000000007</v>
      </c>
    </row>
    <row r="324" spans="2:58" ht="15.75" customHeight="1" x14ac:dyDescent="0.25">
      <c r="B324" s="1076" t="s">
        <v>336</v>
      </c>
      <c r="C324" s="1076" t="s">
        <v>380</v>
      </c>
      <c r="D324" s="1053" t="str">
        <f t="shared" si="56"/>
        <v>Республика Саха (Якутия)Зырянка</v>
      </c>
      <c r="E324" s="1054">
        <v>265</v>
      </c>
      <c r="F324" s="1055">
        <v>-20.399999999999999</v>
      </c>
      <c r="G324" s="1055">
        <v>-50</v>
      </c>
      <c r="H324" s="1057">
        <v>3.1</v>
      </c>
      <c r="I324" s="1058">
        <f>E324*('Ввод исходных данных'!$D$83-F324)</f>
        <v>10706</v>
      </c>
      <c r="J324" s="1059" t="str">
        <f t="shared" si="46"/>
        <v>10000-11000</v>
      </c>
      <c r="K324" s="1060">
        <v>16</v>
      </c>
      <c r="L324" s="1060"/>
      <c r="M324" s="1061">
        <f t="shared" si="48"/>
        <v>0</v>
      </c>
      <c r="N324" s="1062">
        <f>M324*('Ввод исходных данных'!$D$83-K324)</f>
        <v>0</v>
      </c>
      <c r="O324" s="1063">
        <v>12</v>
      </c>
      <c r="P324" s="1063"/>
      <c r="Q324" s="1063">
        <f t="shared" si="49"/>
        <v>0</v>
      </c>
      <c r="R324" s="1063">
        <f>Q324*('Ввод исходных данных'!$D$83-O324)</f>
        <v>0</v>
      </c>
      <c r="S324" s="1064">
        <v>4.2</v>
      </c>
      <c r="T324" s="1064"/>
      <c r="U324" s="1064">
        <f t="shared" si="50"/>
        <v>26.5</v>
      </c>
      <c r="V324" s="1064">
        <f>U324*('Ввод исходных данных'!$D$83-S324)</f>
        <v>418.70000000000005</v>
      </c>
      <c r="W324" s="1065">
        <v>-10.5</v>
      </c>
      <c r="X324" s="1065"/>
      <c r="Y324" s="1065">
        <f t="shared" si="51"/>
        <v>31</v>
      </c>
      <c r="Z324" s="1065">
        <f>Y324*('Ввод исходных данных'!$D$83-W324)</f>
        <v>945.5</v>
      </c>
      <c r="AA324" s="1066">
        <v>-27.3</v>
      </c>
      <c r="AB324" s="1066"/>
      <c r="AC324" s="1066">
        <f t="shared" si="52"/>
        <v>30</v>
      </c>
      <c r="AD324" s="1066">
        <f>AC324*('Ввод исходных данных'!$D$83-AA324)</f>
        <v>1419</v>
      </c>
      <c r="AE324" s="1067">
        <v>-35.200000000000003</v>
      </c>
      <c r="AF324" s="1067"/>
      <c r="AG324" s="1067">
        <v>31</v>
      </c>
      <c r="AH324" s="1067">
        <f>AG324*('Ввод исходных данных'!$D$83-AE324)</f>
        <v>1711.2</v>
      </c>
      <c r="AI324" s="1068">
        <v>-36.299999999999997</v>
      </c>
      <c r="AJ324" s="1068"/>
      <c r="AK324" s="1068">
        <v>31</v>
      </c>
      <c r="AL324" s="1068">
        <f>AK324*('Ввод исходных данных'!$D$83-AI324)</f>
        <v>1745.3</v>
      </c>
      <c r="AM324" s="1069">
        <v>-33.4</v>
      </c>
      <c r="AN324" s="1069"/>
      <c r="AO324" s="1069">
        <v>28</v>
      </c>
      <c r="AP324" s="1069">
        <f>AO324*('Ввод исходных данных'!$D$83-AM324)</f>
        <v>1495.2</v>
      </c>
      <c r="AQ324" s="1064">
        <v>-24.9</v>
      </c>
      <c r="AR324" s="1064"/>
      <c r="AS324" s="1064">
        <f t="shared" si="53"/>
        <v>31</v>
      </c>
      <c r="AT324" s="1064">
        <f>AS324*('Ввод исходных данных'!$D$83-AQ324)</f>
        <v>1391.8999999999999</v>
      </c>
      <c r="AU324" s="1070">
        <v>-11.7</v>
      </c>
      <c r="AV324" s="1070"/>
      <c r="AW324" s="1070">
        <f t="shared" si="54"/>
        <v>30</v>
      </c>
      <c r="AX324" s="1070">
        <f>AW324*('Ввод исходных данных'!$D$83-AU324)</f>
        <v>951</v>
      </c>
      <c r="AY324" s="1071">
        <v>3.6</v>
      </c>
      <c r="AZ324" s="1071"/>
      <c r="BA324" s="1071">
        <f t="shared" si="55"/>
        <v>26.5</v>
      </c>
      <c r="BB324" s="1071">
        <f>BA324*('Ввод исходных данных'!$D$83-AY324)</f>
        <v>434.59999999999997</v>
      </c>
      <c r="BC324" s="1072">
        <v>13.4</v>
      </c>
      <c r="BD324" s="1072"/>
      <c r="BE324" s="1072">
        <f t="shared" si="47"/>
        <v>0</v>
      </c>
      <c r="BF324" s="1073">
        <f>BE324*('Ввод исходных данных'!$D$83-BC324)</f>
        <v>0</v>
      </c>
    </row>
    <row r="325" spans="2:58" ht="15.75" customHeight="1" x14ac:dyDescent="0.25">
      <c r="B325" s="1052" t="s">
        <v>336</v>
      </c>
      <c r="C325" s="1052" t="s">
        <v>350</v>
      </c>
      <c r="D325" s="1053" t="str">
        <f t="shared" si="56"/>
        <v>Республика Саха (Якутия)Исить</v>
      </c>
      <c r="E325" s="1054">
        <v>255</v>
      </c>
      <c r="F325" s="1055">
        <v>-17.899999999999999</v>
      </c>
      <c r="G325" s="1055">
        <v>-49</v>
      </c>
      <c r="H325" s="1057">
        <v>4.7</v>
      </c>
      <c r="I325" s="1058">
        <f>E325*('Ввод исходных данных'!$D$83-F325)</f>
        <v>9664.5</v>
      </c>
      <c r="J325" s="1059" t="str">
        <f t="shared" si="46"/>
        <v>9000-10000</v>
      </c>
      <c r="K325" s="1060">
        <v>17.8</v>
      </c>
      <c r="L325" s="1060"/>
      <c r="M325" s="1061">
        <f t="shared" si="48"/>
        <v>0</v>
      </c>
      <c r="N325" s="1062">
        <f>M325*('Ввод исходных данных'!$D$83-K325)</f>
        <v>0</v>
      </c>
      <c r="O325" s="1063">
        <v>14.4</v>
      </c>
      <c r="P325" s="1063"/>
      <c r="Q325" s="1063">
        <f t="shared" si="49"/>
        <v>0</v>
      </c>
      <c r="R325" s="1063">
        <f>Q325*('Ввод исходных данных'!$D$83-O325)</f>
        <v>0</v>
      </c>
      <c r="S325" s="1064">
        <v>6.3</v>
      </c>
      <c r="T325" s="1064"/>
      <c r="U325" s="1064">
        <f t="shared" si="50"/>
        <v>21.5</v>
      </c>
      <c r="V325" s="1064">
        <f>U325*('Ввод исходных данных'!$D$83-S325)</f>
        <v>294.55</v>
      </c>
      <c r="W325" s="1065">
        <v>-5.5</v>
      </c>
      <c r="X325" s="1065"/>
      <c r="Y325" s="1065">
        <f t="shared" si="51"/>
        <v>31</v>
      </c>
      <c r="Z325" s="1065">
        <f>Y325*('Ввод исходных данных'!$D$83-W325)</f>
        <v>790.5</v>
      </c>
      <c r="AA325" s="1066">
        <v>-23.5</v>
      </c>
      <c r="AB325" s="1066"/>
      <c r="AC325" s="1066">
        <f t="shared" si="52"/>
        <v>30</v>
      </c>
      <c r="AD325" s="1066">
        <f>AC325*('Ввод исходных данных'!$D$83-AA325)</f>
        <v>1305</v>
      </c>
      <c r="AE325" s="1067">
        <v>-32.9</v>
      </c>
      <c r="AF325" s="1067"/>
      <c r="AG325" s="1067">
        <v>31</v>
      </c>
      <c r="AH325" s="1067">
        <f>AG325*('Ввод исходных данных'!$D$83-AE325)</f>
        <v>1639.8999999999999</v>
      </c>
      <c r="AI325" s="1068">
        <v>-35</v>
      </c>
      <c r="AJ325" s="1068"/>
      <c r="AK325" s="1068">
        <v>31</v>
      </c>
      <c r="AL325" s="1068">
        <f>AK325*('Ввод исходных данных'!$D$83-AI325)</f>
        <v>1705</v>
      </c>
      <c r="AM325" s="1069">
        <v>-31.3</v>
      </c>
      <c r="AN325" s="1069"/>
      <c r="AO325" s="1069">
        <v>28</v>
      </c>
      <c r="AP325" s="1069">
        <f>AO325*('Ввод исходных данных'!$D$83-AM325)</f>
        <v>1436.3999999999999</v>
      </c>
      <c r="AQ325" s="1064">
        <v>-19.600000000000001</v>
      </c>
      <c r="AR325" s="1064"/>
      <c r="AS325" s="1064">
        <f t="shared" si="53"/>
        <v>31</v>
      </c>
      <c r="AT325" s="1064">
        <f>AS325*('Ввод исходных данных'!$D$83-AQ325)</f>
        <v>1227.6000000000001</v>
      </c>
      <c r="AU325" s="1070">
        <v>-5.0999999999999996</v>
      </c>
      <c r="AV325" s="1070"/>
      <c r="AW325" s="1070">
        <f t="shared" si="54"/>
        <v>30</v>
      </c>
      <c r="AX325" s="1070">
        <f>AW325*('Ввод исходных данных'!$D$83-AU325)</f>
        <v>753</v>
      </c>
      <c r="AY325" s="1071">
        <v>6.3</v>
      </c>
      <c r="AZ325" s="1071"/>
      <c r="BA325" s="1071">
        <f t="shared" si="55"/>
        <v>21.5</v>
      </c>
      <c r="BB325" s="1071">
        <f>BA325*('Ввод исходных данных'!$D$83-AY325)</f>
        <v>294.55</v>
      </c>
      <c r="BC325" s="1072">
        <v>14.6</v>
      </c>
      <c r="BD325" s="1072"/>
      <c r="BE325" s="1072">
        <f t="shared" si="47"/>
        <v>0</v>
      </c>
      <c r="BF325" s="1073">
        <f>BE325*('Ввод исходных данных'!$D$83-BC325)</f>
        <v>0</v>
      </c>
    </row>
    <row r="326" spans="2:58" ht="15.75" customHeight="1" x14ac:dyDescent="0.25">
      <c r="B326" s="1076" t="s">
        <v>336</v>
      </c>
      <c r="C326" s="1076" t="s">
        <v>684</v>
      </c>
      <c r="D326" s="1053" t="str">
        <f t="shared" si="56"/>
        <v>Республика Саха (Якутия)Иэма</v>
      </c>
      <c r="E326" s="1054">
        <v>292</v>
      </c>
      <c r="F326" s="1055">
        <v>-22.9</v>
      </c>
      <c r="G326" s="1055">
        <v>-57</v>
      </c>
      <c r="H326" s="1057">
        <f>H325</f>
        <v>4.7</v>
      </c>
      <c r="I326" s="1058">
        <f>E326*('Ввод исходных данных'!$D$83-F326)</f>
        <v>12526.8</v>
      </c>
      <c r="J326" s="1059" t="str">
        <f t="shared" si="46"/>
        <v>12000-13000</v>
      </c>
      <c r="K326" s="1060">
        <v>12.7</v>
      </c>
      <c r="L326" s="1060"/>
      <c r="M326" s="1061">
        <f t="shared" si="48"/>
        <v>0</v>
      </c>
      <c r="N326" s="1062">
        <f>M326*('Ввод исходных данных'!$D$83-K326)</f>
        <v>0</v>
      </c>
      <c r="O326" s="1063">
        <v>10.3</v>
      </c>
      <c r="P326" s="1063"/>
      <c r="Q326" s="1063">
        <f t="shared" si="49"/>
        <v>9.5</v>
      </c>
      <c r="R326" s="1063">
        <f>Q326*('Ввод исходных данных'!$D$83-O326)</f>
        <v>92.149999999999991</v>
      </c>
      <c r="S326" s="1064">
        <v>2</v>
      </c>
      <c r="T326" s="1064"/>
      <c r="U326" s="1064">
        <f t="shared" si="50"/>
        <v>30</v>
      </c>
      <c r="V326" s="1064">
        <f>U326*('Ввод исходных данных'!$D$83-S326)</f>
        <v>540</v>
      </c>
      <c r="W326" s="1065">
        <v>-14.8</v>
      </c>
      <c r="X326" s="1065"/>
      <c r="Y326" s="1065">
        <f t="shared" si="51"/>
        <v>31</v>
      </c>
      <c r="Z326" s="1065">
        <f>Y326*('Ввод исходных данных'!$D$83-W326)</f>
        <v>1078.8</v>
      </c>
      <c r="AA326" s="1066">
        <v>-35.4</v>
      </c>
      <c r="AB326" s="1066"/>
      <c r="AC326" s="1066">
        <f t="shared" si="52"/>
        <v>30</v>
      </c>
      <c r="AD326" s="1066">
        <f>AC326*('Ввод исходных данных'!$D$83-AA326)</f>
        <v>1662</v>
      </c>
      <c r="AE326" s="1067">
        <v>-42.7</v>
      </c>
      <c r="AF326" s="1067"/>
      <c r="AG326" s="1067">
        <v>31</v>
      </c>
      <c r="AH326" s="1067">
        <f>AG326*('Ввод исходных данных'!$D$83-AE326)</f>
        <v>1943.7</v>
      </c>
      <c r="AI326" s="1068">
        <v>-45.5</v>
      </c>
      <c r="AJ326" s="1068"/>
      <c r="AK326" s="1068">
        <v>31</v>
      </c>
      <c r="AL326" s="1068">
        <f>AK326*('Ввод исходных данных'!$D$83-AI326)</f>
        <v>2030.5</v>
      </c>
      <c r="AM326" s="1069">
        <v>-42.3</v>
      </c>
      <c r="AN326" s="1069"/>
      <c r="AO326" s="1069">
        <v>28</v>
      </c>
      <c r="AP326" s="1069">
        <f>AO326*('Ввод исходных данных'!$D$83-AM326)</f>
        <v>1744.3999999999999</v>
      </c>
      <c r="AQ326" s="1064">
        <v>-31.8</v>
      </c>
      <c r="AR326" s="1064"/>
      <c r="AS326" s="1064">
        <f t="shared" si="53"/>
        <v>31</v>
      </c>
      <c r="AT326" s="1064">
        <f>AS326*('Ввод исходных данных'!$D$83-AQ326)</f>
        <v>1605.8</v>
      </c>
      <c r="AU326" s="1070">
        <v>-16.600000000000001</v>
      </c>
      <c r="AV326" s="1070"/>
      <c r="AW326" s="1070">
        <f t="shared" si="54"/>
        <v>30</v>
      </c>
      <c r="AX326" s="1070">
        <f>AW326*('Ввод исходных данных'!$D$83-AU326)</f>
        <v>1098</v>
      </c>
      <c r="AY326" s="1071">
        <v>-1</v>
      </c>
      <c r="AZ326" s="1071"/>
      <c r="BA326" s="1071">
        <f t="shared" si="55"/>
        <v>31</v>
      </c>
      <c r="BB326" s="1071">
        <f>BA326*('Ввод исходных данных'!$D$83-AY326)</f>
        <v>651</v>
      </c>
      <c r="BC326" s="1072">
        <v>8.9</v>
      </c>
      <c r="BD326" s="1072"/>
      <c r="BE326" s="1072">
        <f t="shared" si="47"/>
        <v>9.5</v>
      </c>
      <c r="BF326" s="1073">
        <f>BE326*('Ввод исходных данных'!$D$83-BC326)</f>
        <v>105.45</v>
      </c>
    </row>
    <row r="327" spans="2:58" ht="15.75" customHeight="1" x14ac:dyDescent="0.25">
      <c r="B327" s="1052" t="s">
        <v>336</v>
      </c>
      <c r="C327" s="1052" t="s">
        <v>685</v>
      </c>
      <c r="D327" s="1053" t="str">
        <f t="shared" si="56"/>
        <v>Республика Саха (Якутия)Крест- Хальджай</v>
      </c>
      <c r="E327" s="1054">
        <v>254</v>
      </c>
      <c r="F327" s="1055">
        <v>-22.7</v>
      </c>
      <c r="G327" s="1055">
        <v>-54</v>
      </c>
      <c r="H327" s="1057">
        <v>1.4</v>
      </c>
      <c r="I327" s="1058">
        <f>E327*('Ввод исходных данных'!$D$83-F327)</f>
        <v>10845.800000000001</v>
      </c>
      <c r="J327" s="1059" t="str">
        <f t="shared" si="46"/>
        <v>10000-11000</v>
      </c>
      <c r="K327" s="1060">
        <v>18.600000000000001</v>
      </c>
      <c r="L327" s="1060"/>
      <c r="M327" s="1061">
        <f t="shared" si="48"/>
        <v>0</v>
      </c>
      <c r="N327" s="1062">
        <f>M327*('Ввод исходных данных'!$D$83-K327)</f>
        <v>0</v>
      </c>
      <c r="O327" s="1063">
        <v>14.2</v>
      </c>
      <c r="P327" s="1063"/>
      <c r="Q327" s="1063">
        <f t="shared" si="49"/>
        <v>0</v>
      </c>
      <c r="R327" s="1063">
        <f>Q327*('Ввод исходных данных'!$D$83-O327)</f>
        <v>0</v>
      </c>
      <c r="S327" s="1064">
        <v>5.7</v>
      </c>
      <c r="T327" s="1064"/>
      <c r="U327" s="1064">
        <f t="shared" si="50"/>
        <v>21</v>
      </c>
      <c r="V327" s="1064">
        <f>U327*('Ввод исходных данных'!$D$83-S327)</f>
        <v>300.3</v>
      </c>
      <c r="W327" s="1065">
        <v>-9.1</v>
      </c>
      <c r="X327" s="1065"/>
      <c r="Y327" s="1065">
        <f t="shared" si="51"/>
        <v>31</v>
      </c>
      <c r="Z327" s="1065">
        <f>Y327*('Ввод исходных данных'!$D$83-W327)</f>
        <v>902.1</v>
      </c>
      <c r="AA327" s="1066">
        <v>-31</v>
      </c>
      <c r="AB327" s="1066"/>
      <c r="AC327" s="1066">
        <f t="shared" si="52"/>
        <v>30</v>
      </c>
      <c r="AD327" s="1066">
        <f>AC327*('Ввод исходных данных'!$D$83-AA327)</f>
        <v>1530</v>
      </c>
      <c r="AE327" s="1067">
        <v>-41.8</v>
      </c>
      <c r="AF327" s="1067"/>
      <c r="AG327" s="1067">
        <v>31</v>
      </c>
      <c r="AH327" s="1067">
        <f>AG327*('Ввод исходных данных'!$D$83-AE327)</f>
        <v>1915.8</v>
      </c>
      <c r="AI327" s="1068">
        <v>-43.8</v>
      </c>
      <c r="AJ327" s="1068"/>
      <c r="AK327" s="1068">
        <v>31</v>
      </c>
      <c r="AL327" s="1068">
        <f>AK327*('Ввод исходных данных'!$D$83-AI327)</f>
        <v>1977.8</v>
      </c>
      <c r="AM327" s="1069">
        <v>-38.200000000000003</v>
      </c>
      <c r="AN327" s="1069"/>
      <c r="AO327" s="1069">
        <v>28</v>
      </c>
      <c r="AP327" s="1069">
        <f>AO327*('Ввод исходных данных'!$D$83-AM327)</f>
        <v>1629.6000000000001</v>
      </c>
      <c r="AQ327" s="1064">
        <v>-22.2</v>
      </c>
      <c r="AR327" s="1064"/>
      <c r="AS327" s="1064">
        <f t="shared" si="53"/>
        <v>31</v>
      </c>
      <c r="AT327" s="1064">
        <f>AS327*('Ввод исходных данных'!$D$83-AQ327)</f>
        <v>1308.2</v>
      </c>
      <c r="AU327" s="1070">
        <v>-5.6</v>
      </c>
      <c r="AV327" s="1070"/>
      <c r="AW327" s="1070">
        <f t="shared" si="54"/>
        <v>30</v>
      </c>
      <c r="AX327" s="1070">
        <f>AW327*('Ввод исходных данных'!$D$83-AU327)</f>
        <v>768</v>
      </c>
      <c r="AY327" s="1071">
        <v>7</v>
      </c>
      <c r="AZ327" s="1071"/>
      <c r="BA327" s="1071">
        <f t="shared" si="55"/>
        <v>21</v>
      </c>
      <c r="BB327" s="1071">
        <f>BA327*('Ввод исходных данных'!$D$83-AY327)</f>
        <v>273</v>
      </c>
      <c r="BC327" s="1072">
        <v>15.7</v>
      </c>
      <c r="BD327" s="1072"/>
      <c r="BE327" s="1072">
        <f t="shared" si="47"/>
        <v>0</v>
      </c>
      <c r="BF327" s="1073">
        <f>BE327*('Ввод исходных данных'!$D$83-BC327)</f>
        <v>0</v>
      </c>
    </row>
    <row r="328" spans="2:58" ht="15.75" customHeight="1" x14ac:dyDescent="0.25">
      <c r="B328" s="1076" t="s">
        <v>336</v>
      </c>
      <c r="C328" s="1076" t="s">
        <v>351</v>
      </c>
      <c r="D328" s="1053" t="str">
        <f t="shared" si="56"/>
        <v>Республика Саха (Якутия)Кюсюр</v>
      </c>
      <c r="E328" s="1054">
        <v>295</v>
      </c>
      <c r="F328" s="1055">
        <v>-19.7</v>
      </c>
      <c r="G328" s="1055">
        <v>-54</v>
      </c>
      <c r="H328" s="1057">
        <v>4.2</v>
      </c>
      <c r="I328" s="1058">
        <f>E328*('Ввод исходных данных'!$D$83-F328)</f>
        <v>11711.5</v>
      </c>
      <c r="J328" s="1059" t="str">
        <f t="shared" si="46"/>
        <v>11000-12000</v>
      </c>
      <c r="K328" s="1060">
        <v>12.6</v>
      </c>
      <c r="L328" s="1060"/>
      <c r="M328" s="1061">
        <f t="shared" si="48"/>
        <v>0</v>
      </c>
      <c r="N328" s="1062">
        <f>M328*('Ввод исходных данных'!$D$83-K328)</f>
        <v>0</v>
      </c>
      <c r="O328" s="1063">
        <v>9.5</v>
      </c>
      <c r="P328" s="1063"/>
      <c r="Q328" s="1063">
        <f t="shared" si="49"/>
        <v>11</v>
      </c>
      <c r="R328" s="1063">
        <f>Q328*('Ввод исходных данных'!$D$83-O328)</f>
        <v>115.5</v>
      </c>
      <c r="S328" s="1064">
        <v>2</v>
      </c>
      <c r="T328" s="1064"/>
      <c r="U328" s="1064">
        <f t="shared" si="50"/>
        <v>30</v>
      </c>
      <c r="V328" s="1064">
        <f>U328*('Ввод исходных данных'!$D$83-S328)</f>
        <v>540</v>
      </c>
      <c r="W328" s="1065">
        <v>-12</v>
      </c>
      <c r="X328" s="1065"/>
      <c r="Y328" s="1065">
        <f t="shared" si="51"/>
        <v>31</v>
      </c>
      <c r="Z328" s="1065">
        <f>Y328*('Ввод исходных данных'!$D$83-W328)</f>
        <v>992</v>
      </c>
      <c r="AA328" s="1066">
        <v>-29.8</v>
      </c>
      <c r="AB328" s="1066"/>
      <c r="AC328" s="1066">
        <f t="shared" si="52"/>
        <v>30</v>
      </c>
      <c r="AD328" s="1066">
        <f>AC328*('Ввод исходных данных'!$D$83-AA328)</f>
        <v>1494</v>
      </c>
      <c r="AE328" s="1067">
        <v>-35.200000000000003</v>
      </c>
      <c r="AF328" s="1067"/>
      <c r="AG328" s="1067">
        <v>31</v>
      </c>
      <c r="AH328" s="1067">
        <f>AG328*('Ввод исходных данных'!$D$83-AE328)</f>
        <v>1711.2</v>
      </c>
      <c r="AI328" s="1068">
        <v>-37.700000000000003</v>
      </c>
      <c r="AJ328" s="1068"/>
      <c r="AK328" s="1068">
        <v>31</v>
      </c>
      <c r="AL328" s="1068">
        <f>AK328*('Ввод исходных данных'!$D$83-AI328)</f>
        <v>1788.7</v>
      </c>
      <c r="AM328" s="1069">
        <v>-34.6</v>
      </c>
      <c r="AN328" s="1069"/>
      <c r="AO328" s="1069">
        <v>28</v>
      </c>
      <c r="AP328" s="1069">
        <f>AO328*('Ввод исходных данных'!$D$83-AM328)</f>
        <v>1528.8</v>
      </c>
      <c r="AQ328" s="1064">
        <v>-26.3</v>
      </c>
      <c r="AR328" s="1064"/>
      <c r="AS328" s="1064">
        <f t="shared" si="53"/>
        <v>31</v>
      </c>
      <c r="AT328" s="1064">
        <f>AS328*('Ввод исходных данных'!$D$83-AQ328)</f>
        <v>1435.3</v>
      </c>
      <c r="AU328" s="1070">
        <v>-15</v>
      </c>
      <c r="AV328" s="1070"/>
      <c r="AW328" s="1070">
        <f t="shared" si="54"/>
        <v>30</v>
      </c>
      <c r="AX328" s="1070">
        <f>AW328*('Ввод исходных данных'!$D$83-AU328)</f>
        <v>1050</v>
      </c>
      <c r="AY328" s="1071">
        <v>-3</v>
      </c>
      <c r="AZ328" s="1071"/>
      <c r="BA328" s="1071">
        <f t="shared" si="55"/>
        <v>31</v>
      </c>
      <c r="BB328" s="1071">
        <f>BA328*('Ввод исходных данных'!$D$83-AY328)</f>
        <v>713</v>
      </c>
      <c r="BC328" s="1072">
        <v>8</v>
      </c>
      <c r="BD328" s="1072"/>
      <c r="BE328" s="1072">
        <f t="shared" si="47"/>
        <v>11</v>
      </c>
      <c r="BF328" s="1073">
        <f>BE328*('Ввод исходных данных'!$D$83-BC328)</f>
        <v>132</v>
      </c>
    </row>
    <row r="329" spans="2:58" ht="15.75" customHeight="1" x14ac:dyDescent="0.25">
      <c r="B329" s="1052" t="s">
        <v>336</v>
      </c>
      <c r="C329" s="1052" t="s">
        <v>352</v>
      </c>
      <c r="D329" s="1053" t="str">
        <f t="shared" si="56"/>
        <v>Республика Саха (Якутия)Ленск</v>
      </c>
      <c r="E329" s="1054">
        <v>258</v>
      </c>
      <c r="F329" s="1055">
        <v>-14.3</v>
      </c>
      <c r="G329" s="1055">
        <v>-50</v>
      </c>
      <c r="H329" s="1057">
        <v>3.2</v>
      </c>
      <c r="I329" s="1058">
        <f>E329*('Ввод исходных данных'!$D$83-F329)</f>
        <v>8849.4</v>
      </c>
      <c r="J329" s="1059" t="str">
        <f t="shared" ref="J329:J392" si="58">CONCATENATE(ROUNDDOWN(I329/1000,0)*1000,"-",ROUNDUP(I329/1000,0)*1000)</f>
        <v>8000-9000</v>
      </c>
      <c r="K329" s="1060">
        <v>17.600000000000001</v>
      </c>
      <c r="L329" s="1060"/>
      <c r="M329" s="1061">
        <f t="shared" si="48"/>
        <v>0</v>
      </c>
      <c r="N329" s="1062">
        <f>M329*('Ввод исходных данных'!$D$83-K329)</f>
        <v>0</v>
      </c>
      <c r="O329" s="1063">
        <v>13.9</v>
      </c>
      <c r="P329" s="1063"/>
      <c r="Q329" s="1063">
        <f t="shared" si="49"/>
        <v>0</v>
      </c>
      <c r="R329" s="1063">
        <f>Q329*('Ввод исходных данных'!$D$83-O329)</f>
        <v>0</v>
      </c>
      <c r="S329" s="1064">
        <v>5.7</v>
      </c>
      <c r="T329" s="1064"/>
      <c r="U329" s="1064">
        <f t="shared" si="50"/>
        <v>23</v>
      </c>
      <c r="V329" s="1064">
        <f>U329*('Ввод исходных данных'!$D$83-S329)</f>
        <v>328.90000000000003</v>
      </c>
      <c r="W329" s="1065">
        <v>-4.9000000000000004</v>
      </c>
      <c r="X329" s="1065"/>
      <c r="Y329" s="1065">
        <f t="shared" si="51"/>
        <v>31</v>
      </c>
      <c r="Z329" s="1065">
        <f>Y329*('Ввод исходных данных'!$D$83-W329)</f>
        <v>771.9</v>
      </c>
      <c r="AA329" s="1066">
        <v>-19.5</v>
      </c>
      <c r="AB329" s="1066"/>
      <c r="AC329" s="1066">
        <f t="shared" si="52"/>
        <v>30</v>
      </c>
      <c r="AD329" s="1066">
        <f>AC329*('Ввод исходных данных'!$D$83-AA329)</f>
        <v>1185</v>
      </c>
      <c r="AE329" s="1067">
        <v>-27.7</v>
      </c>
      <c r="AF329" s="1067"/>
      <c r="AG329" s="1067">
        <v>31</v>
      </c>
      <c r="AH329" s="1067">
        <f>AG329*('Ввод исходных данных'!$D$83-AE329)</f>
        <v>1478.7</v>
      </c>
      <c r="AI329" s="1068">
        <v>-29</v>
      </c>
      <c r="AJ329" s="1068"/>
      <c r="AK329" s="1068">
        <v>31</v>
      </c>
      <c r="AL329" s="1068">
        <f>AK329*('Ввод исходных данных'!$D$83-AI329)</f>
        <v>1519</v>
      </c>
      <c r="AM329" s="1069">
        <v>-25.6</v>
      </c>
      <c r="AN329" s="1069"/>
      <c r="AO329" s="1069">
        <v>28</v>
      </c>
      <c r="AP329" s="1069">
        <f>AO329*('Ввод исходных данных'!$D$83-AM329)</f>
        <v>1276.8</v>
      </c>
      <c r="AQ329" s="1064">
        <v>-14.9</v>
      </c>
      <c r="AR329" s="1064"/>
      <c r="AS329" s="1064">
        <f t="shared" si="53"/>
        <v>31</v>
      </c>
      <c r="AT329" s="1064">
        <f>AS329*('Ввод исходных данных'!$D$83-AQ329)</f>
        <v>1081.8999999999999</v>
      </c>
      <c r="AU329" s="1070">
        <v>-3.6</v>
      </c>
      <c r="AV329" s="1070"/>
      <c r="AW329" s="1070">
        <f t="shared" si="54"/>
        <v>30</v>
      </c>
      <c r="AX329" s="1070">
        <f>AW329*('Ввод исходных данных'!$D$83-AU329)</f>
        <v>708</v>
      </c>
      <c r="AY329" s="1071">
        <v>6.2</v>
      </c>
      <c r="AZ329" s="1071"/>
      <c r="BA329" s="1071">
        <f t="shared" si="55"/>
        <v>23</v>
      </c>
      <c r="BB329" s="1071">
        <f>BA329*('Ввод исходных данных'!$D$83-AY329)</f>
        <v>317.40000000000003</v>
      </c>
      <c r="BC329" s="1072">
        <v>14.6</v>
      </c>
      <c r="BD329" s="1072"/>
      <c r="BE329" s="1072">
        <f t="shared" si="47"/>
        <v>0</v>
      </c>
      <c r="BF329" s="1073">
        <f>BE329*('Ввод исходных данных'!$D$83-BC329)</f>
        <v>0</v>
      </c>
    </row>
    <row r="330" spans="2:58" ht="15.75" customHeight="1" x14ac:dyDescent="0.25">
      <c r="B330" s="1076" t="s">
        <v>336</v>
      </c>
      <c r="C330" s="1076" t="s">
        <v>353</v>
      </c>
      <c r="D330" s="1053" t="str">
        <f t="shared" si="56"/>
        <v>Республика Саха (Якутия)Нагорный</v>
      </c>
      <c r="E330" s="1054">
        <v>270</v>
      </c>
      <c r="F330" s="1055">
        <v>-14.8</v>
      </c>
      <c r="G330" s="1055">
        <v>-40</v>
      </c>
      <c r="H330" s="1057">
        <v>4.7</v>
      </c>
      <c r="I330" s="1058">
        <f>E330*('Ввод исходных данных'!$D$83-F330)</f>
        <v>9396</v>
      </c>
      <c r="J330" s="1059" t="str">
        <f t="shared" si="58"/>
        <v>9000-10000</v>
      </c>
      <c r="K330" s="1060">
        <v>14.8</v>
      </c>
      <c r="L330" s="1060"/>
      <c r="M330" s="1061">
        <f t="shared" si="48"/>
        <v>0</v>
      </c>
      <c r="N330" s="1062">
        <f>M330*('Ввод исходных данных'!$D$83-K330)</f>
        <v>0</v>
      </c>
      <c r="O330" s="1063">
        <v>11.8</v>
      </c>
      <c r="P330" s="1063"/>
      <c r="Q330" s="1063">
        <f t="shared" si="49"/>
        <v>0</v>
      </c>
      <c r="R330" s="1063">
        <f>Q330*('Ввод исходных данных'!$D$83-O330)</f>
        <v>0</v>
      </c>
      <c r="S330" s="1064">
        <v>4</v>
      </c>
      <c r="T330" s="1064"/>
      <c r="U330" s="1064">
        <f t="shared" si="50"/>
        <v>29</v>
      </c>
      <c r="V330" s="1064">
        <f>U330*('Ввод исходных данных'!$D$83-S330)</f>
        <v>464</v>
      </c>
      <c r="W330" s="1065">
        <v>-7.7</v>
      </c>
      <c r="X330" s="1065"/>
      <c r="Y330" s="1065">
        <f t="shared" si="51"/>
        <v>31</v>
      </c>
      <c r="Z330" s="1065">
        <f>Y330*('Ввод исходных данных'!$D$83-W330)</f>
        <v>858.69999999999993</v>
      </c>
      <c r="AA330" s="1066">
        <v>-21.7</v>
      </c>
      <c r="AB330" s="1066"/>
      <c r="AC330" s="1066">
        <f t="shared" si="52"/>
        <v>30</v>
      </c>
      <c r="AD330" s="1066">
        <f>AC330*('Ввод исходных данных'!$D$83-AA330)</f>
        <v>1251</v>
      </c>
      <c r="AE330" s="1067">
        <v>-28.2</v>
      </c>
      <c r="AF330" s="1067"/>
      <c r="AG330" s="1067">
        <v>31</v>
      </c>
      <c r="AH330" s="1067">
        <f>AG330*('Ввод исходных данных'!$D$83-AE330)</f>
        <v>1494.2</v>
      </c>
      <c r="AI330" s="1068">
        <v>-29.1</v>
      </c>
      <c r="AJ330" s="1068"/>
      <c r="AK330" s="1068">
        <v>31</v>
      </c>
      <c r="AL330" s="1068">
        <f>AK330*('Ввод исходных данных'!$D$83-AI330)</f>
        <v>1522.1000000000001</v>
      </c>
      <c r="AM330" s="1069">
        <v>-25.6</v>
      </c>
      <c r="AN330" s="1069"/>
      <c r="AO330" s="1069">
        <v>28</v>
      </c>
      <c r="AP330" s="1069">
        <f>AO330*('Ввод исходных данных'!$D$83-AM330)</f>
        <v>1276.8</v>
      </c>
      <c r="AQ330" s="1064">
        <v>-17</v>
      </c>
      <c r="AR330" s="1064"/>
      <c r="AS330" s="1064">
        <f t="shared" si="53"/>
        <v>31</v>
      </c>
      <c r="AT330" s="1064">
        <f>AS330*('Ввод исходных данных'!$D$83-AQ330)</f>
        <v>1147</v>
      </c>
      <c r="AU330" s="1070">
        <v>-5.9</v>
      </c>
      <c r="AV330" s="1070"/>
      <c r="AW330" s="1070">
        <f t="shared" si="54"/>
        <v>30</v>
      </c>
      <c r="AX330" s="1070">
        <f>AW330*('Ввод исходных данных'!$D$83-AU330)</f>
        <v>777</v>
      </c>
      <c r="AY330" s="1071">
        <v>4.0999999999999996</v>
      </c>
      <c r="AZ330" s="1071"/>
      <c r="BA330" s="1071">
        <f t="shared" si="55"/>
        <v>29</v>
      </c>
      <c r="BB330" s="1071">
        <f>BA330*('Ввод исходных данных'!$D$83-AY330)</f>
        <v>461.1</v>
      </c>
      <c r="BC330" s="1072">
        <v>12.1</v>
      </c>
      <c r="BD330" s="1072"/>
      <c r="BE330" s="1072">
        <f t="shared" ref="BE330:BE393" si="59">IF((E330-273)&gt;0,IF((E330-273)/2&gt;30,30,(E330-273)/2),0)</f>
        <v>0</v>
      </c>
      <c r="BF330" s="1073">
        <f>BE330*('Ввод исходных данных'!$D$83-BC330)</f>
        <v>0</v>
      </c>
    </row>
    <row r="331" spans="2:58" ht="15.75" customHeight="1" x14ac:dyDescent="0.25">
      <c r="B331" s="1052" t="s">
        <v>336</v>
      </c>
      <c r="C331" s="1052" t="s">
        <v>354</v>
      </c>
      <c r="D331" s="1053" t="str">
        <f t="shared" si="56"/>
        <v>Республика Саха (Якутия)Нера</v>
      </c>
      <c r="E331" s="1054">
        <v>272</v>
      </c>
      <c r="F331" s="1055">
        <v>-23.8</v>
      </c>
      <c r="G331" s="1055">
        <v>-58</v>
      </c>
      <c r="H331" s="1057">
        <f>H330</f>
        <v>4.7</v>
      </c>
      <c r="I331" s="1058">
        <f>E331*('Ввод исходных данных'!$D$83-F331)</f>
        <v>11913.599999999999</v>
      </c>
      <c r="J331" s="1059" t="str">
        <f t="shared" si="58"/>
        <v>11000-12000</v>
      </c>
      <c r="K331" s="1060">
        <v>15.7</v>
      </c>
      <c r="L331" s="1060"/>
      <c r="M331" s="1061">
        <f t="shared" ref="M331:M394" si="60">MAX(0,E331-Q331-U331-Y331-AC331-AG331-AK331-AO331-AS331-AW331-BA331-BE331)</f>
        <v>0</v>
      </c>
      <c r="N331" s="1062">
        <f>M331*('Ввод исходных данных'!$D$83-K331)</f>
        <v>0</v>
      </c>
      <c r="O331" s="1063">
        <v>12.1</v>
      </c>
      <c r="P331" s="1063"/>
      <c r="Q331" s="1063">
        <f t="shared" ref="Q331:Q394" si="61">IF((E331-273)&gt;0,IF((E331-273)/2&gt;31,31,(E331-273)/2),0)</f>
        <v>0</v>
      </c>
      <c r="R331" s="1063">
        <f>Q331*('Ввод исходных данных'!$D$83-O331)</f>
        <v>0</v>
      </c>
      <c r="S331" s="1064">
        <v>3.4</v>
      </c>
      <c r="T331" s="1064"/>
      <c r="U331" s="1064">
        <f t="shared" ref="U331:U394" si="62">IF((E331-212)&gt;0,IF((E331-212)/2&gt;30,30,(E331-212)/2),0)</f>
        <v>30</v>
      </c>
      <c r="V331" s="1064">
        <f>U331*('Ввод исходных данных'!$D$83-S331)</f>
        <v>498.00000000000006</v>
      </c>
      <c r="W331" s="1065">
        <v>-14.7</v>
      </c>
      <c r="X331" s="1065"/>
      <c r="Y331" s="1065">
        <f t="shared" ref="Y331:Y394" si="63">IF((E331-151)&gt;0,IF((E331-151)/2&gt;31,31,(E331-151)/2),0)</f>
        <v>31</v>
      </c>
      <c r="Z331" s="1065">
        <f>Y331*('Ввод исходных данных'!$D$83-W331)</f>
        <v>1075.7</v>
      </c>
      <c r="AA331" s="1066">
        <v>-35.9</v>
      </c>
      <c r="AB331" s="1066"/>
      <c r="AC331" s="1066">
        <f t="shared" ref="AC331:AC394" si="64">IF((E331-90)/2&gt;30,30,(E331-90)/2)</f>
        <v>30</v>
      </c>
      <c r="AD331" s="1066">
        <f>AC331*('Ввод исходных данных'!$D$83-AA331)</f>
        <v>1677</v>
      </c>
      <c r="AE331" s="1067">
        <v>-44.4</v>
      </c>
      <c r="AF331" s="1067"/>
      <c r="AG331" s="1067">
        <v>31</v>
      </c>
      <c r="AH331" s="1067">
        <f>AG331*('Ввод исходных данных'!$D$83-AE331)</f>
        <v>1996.4</v>
      </c>
      <c r="AI331" s="1068">
        <v>-46.3</v>
      </c>
      <c r="AJ331" s="1068"/>
      <c r="AK331" s="1068">
        <v>31</v>
      </c>
      <c r="AL331" s="1068">
        <f>AK331*('Ввод исходных данных'!$D$83-AI331)</f>
        <v>2055.2999999999997</v>
      </c>
      <c r="AM331" s="1069">
        <v>-41.6</v>
      </c>
      <c r="AN331" s="1069"/>
      <c r="AO331" s="1069">
        <v>28</v>
      </c>
      <c r="AP331" s="1069">
        <f>AO331*('Ввод исходных данных'!$D$83-AM331)</f>
        <v>1724.8</v>
      </c>
      <c r="AQ331" s="1064">
        <v>-29.1</v>
      </c>
      <c r="AR331" s="1064"/>
      <c r="AS331" s="1064">
        <f t="shared" ref="AS331:AS394" si="65">IF((E331-90)/2&gt;31,31,(E331-90)/2)</f>
        <v>31</v>
      </c>
      <c r="AT331" s="1064">
        <f>AS331*('Ввод исходных данных'!$D$83-AQ331)</f>
        <v>1522.1000000000001</v>
      </c>
      <c r="AU331" s="1070">
        <v>-11.3</v>
      </c>
      <c r="AV331" s="1070"/>
      <c r="AW331" s="1070">
        <f t="shared" ref="AW331:AW394" si="66">IF((E331-151)&gt;0,IF((E331-151)/2&gt;30,30,(E331-151)/2),0)</f>
        <v>30</v>
      </c>
      <c r="AX331" s="1070">
        <f>AW331*('Ввод исходных данных'!$D$83-AU331)</f>
        <v>939</v>
      </c>
      <c r="AY331" s="1071">
        <v>3.8</v>
      </c>
      <c r="AZ331" s="1071"/>
      <c r="BA331" s="1071">
        <f t="shared" ref="BA331:BA394" si="67">IF((E331-212)&gt;0,IF((E331-212)/2&gt;31,31,(E331-212)/2),0)</f>
        <v>30</v>
      </c>
      <c r="BB331" s="1071">
        <f>BA331*('Ввод исходных данных'!$D$83-AY331)</f>
        <v>486</v>
      </c>
      <c r="BC331" s="1072">
        <v>13.2</v>
      </c>
      <c r="BD331" s="1072"/>
      <c r="BE331" s="1072">
        <f t="shared" si="59"/>
        <v>0</v>
      </c>
      <c r="BF331" s="1073">
        <f>BE331*('Ввод исходных данных'!$D$83-BC331)</f>
        <v>0</v>
      </c>
    </row>
    <row r="332" spans="2:58" ht="15.75" customHeight="1" x14ac:dyDescent="0.25">
      <c r="B332" s="1076" t="s">
        <v>336</v>
      </c>
      <c r="C332" s="1076" t="s">
        <v>355</v>
      </c>
      <c r="D332" s="1053" t="str">
        <f t="shared" ref="D332:D396" si="68">CONCATENATE(B332,C332)</f>
        <v>Республика Саха (Якутия)Нюрба</v>
      </c>
      <c r="E332" s="1054">
        <v>263</v>
      </c>
      <c r="F332" s="1055">
        <v>-17.7</v>
      </c>
      <c r="G332" s="1055">
        <v>-52</v>
      </c>
      <c r="H332" s="1057">
        <v>3.3</v>
      </c>
      <c r="I332" s="1058">
        <f>E332*('Ввод исходных данных'!$D$83-F332)</f>
        <v>9915.1</v>
      </c>
      <c r="J332" s="1059" t="str">
        <f t="shared" si="58"/>
        <v>9000-10000</v>
      </c>
      <c r="K332" s="1060">
        <v>17.3</v>
      </c>
      <c r="L332" s="1060"/>
      <c r="M332" s="1061">
        <f t="shared" si="60"/>
        <v>0</v>
      </c>
      <c r="N332" s="1062">
        <f>M332*('Ввод исходных данных'!$D$83-K332)</f>
        <v>0</v>
      </c>
      <c r="O332" s="1063">
        <v>13.5</v>
      </c>
      <c r="P332" s="1063"/>
      <c r="Q332" s="1063">
        <f t="shared" si="61"/>
        <v>0</v>
      </c>
      <c r="R332" s="1063">
        <f>Q332*('Ввод исходных данных'!$D$83-O332)</f>
        <v>0</v>
      </c>
      <c r="S332" s="1064">
        <v>5.2</v>
      </c>
      <c r="T332" s="1064"/>
      <c r="U332" s="1064">
        <f t="shared" si="62"/>
        <v>25.5</v>
      </c>
      <c r="V332" s="1064">
        <f>U332*('Ввод исходных данных'!$D$83-S332)</f>
        <v>377.40000000000003</v>
      </c>
      <c r="W332" s="1065">
        <v>-7.3</v>
      </c>
      <c r="X332" s="1065"/>
      <c r="Y332" s="1065">
        <f t="shared" si="63"/>
        <v>31</v>
      </c>
      <c r="Z332" s="1065">
        <f>Y332*('Ввод исходных данных'!$D$83-W332)</f>
        <v>846.30000000000007</v>
      </c>
      <c r="AA332" s="1066">
        <v>-26</v>
      </c>
      <c r="AB332" s="1066"/>
      <c r="AC332" s="1066">
        <f t="shared" si="64"/>
        <v>30</v>
      </c>
      <c r="AD332" s="1066">
        <f>AC332*('Ввод исходных данных'!$D$83-AA332)</f>
        <v>1380</v>
      </c>
      <c r="AE332" s="1067">
        <v>-34.200000000000003</v>
      </c>
      <c r="AF332" s="1067"/>
      <c r="AG332" s="1067">
        <v>31</v>
      </c>
      <c r="AH332" s="1067">
        <f>AG332*('Ввод исходных данных'!$D$83-AE332)</f>
        <v>1680.2</v>
      </c>
      <c r="AI332" s="1068">
        <v>-36</v>
      </c>
      <c r="AJ332" s="1068"/>
      <c r="AK332" s="1068">
        <v>31</v>
      </c>
      <c r="AL332" s="1068">
        <f>AK332*('Ввод исходных данных'!$D$83-AI332)</f>
        <v>1736</v>
      </c>
      <c r="AM332" s="1069">
        <v>-31.9</v>
      </c>
      <c r="AN332" s="1069"/>
      <c r="AO332" s="1069">
        <v>28</v>
      </c>
      <c r="AP332" s="1069">
        <f>AO332*('Ввод исходных данных'!$D$83-AM332)</f>
        <v>1453.2</v>
      </c>
      <c r="AQ332" s="1064">
        <v>-20.6</v>
      </c>
      <c r="AR332" s="1064"/>
      <c r="AS332" s="1064">
        <f t="shared" si="65"/>
        <v>31</v>
      </c>
      <c r="AT332" s="1064">
        <f>AS332*('Ввод исходных данных'!$D$83-AQ332)</f>
        <v>1258.6000000000001</v>
      </c>
      <c r="AU332" s="1070">
        <v>-7.2</v>
      </c>
      <c r="AV332" s="1070"/>
      <c r="AW332" s="1070">
        <f t="shared" si="66"/>
        <v>30</v>
      </c>
      <c r="AX332" s="1070">
        <f>AW332*('Ввод исходных данных'!$D$83-AU332)</f>
        <v>816</v>
      </c>
      <c r="AY332" s="1071">
        <v>5</v>
      </c>
      <c r="AZ332" s="1071"/>
      <c r="BA332" s="1071">
        <f t="shared" si="67"/>
        <v>25.5</v>
      </c>
      <c r="BB332" s="1071">
        <f>BA332*('Ввод исходных данных'!$D$83-AY332)</f>
        <v>382.5</v>
      </c>
      <c r="BC332" s="1072">
        <v>14.2</v>
      </c>
      <c r="BD332" s="1072"/>
      <c r="BE332" s="1072">
        <f t="shared" si="59"/>
        <v>0</v>
      </c>
      <c r="BF332" s="1073">
        <f>BE332*('Ввод исходных данных'!$D$83-BC332)</f>
        <v>0</v>
      </c>
    </row>
    <row r="333" spans="2:58" ht="15.75" customHeight="1" x14ac:dyDescent="0.25">
      <c r="B333" s="1052" t="s">
        <v>336</v>
      </c>
      <c r="C333" s="1052" t="s">
        <v>356</v>
      </c>
      <c r="D333" s="1053" t="str">
        <f t="shared" si="68"/>
        <v>Республика Саха (Якутия)Нюя</v>
      </c>
      <c r="E333" s="1054">
        <v>253</v>
      </c>
      <c r="F333" s="1055">
        <v>-14.2</v>
      </c>
      <c r="G333" s="1055">
        <v>-50</v>
      </c>
      <c r="H333" s="1057">
        <v>5.3</v>
      </c>
      <c r="I333" s="1058">
        <f>E333*('Ввод исходных данных'!$D$83-F333)</f>
        <v>8652.6</v>
      </c>
      <c r="J333" s="1059" t="str">
        <f t="shared" si="58"/>
        <v>8000-9000</v>
      </c>
      <c r="K333" s="1060">
        <v>18.100000000000001</v>
      </c>
      <c r="L333" s="1060"/>
      <c r="M333" s="1061">
        <f t="shared" si="60"/>
        <v>0</v>
      </c>
      <c r="N333" s="1062">
        <f>M333*('Ввод исходных данных'!$D$83-K333)</f>
        <v>0</v>
      </c>
      <c r="O333" s="1063">
        <v>14.5</v>
      </c>
      <c r="P333" s="1063"/>
      <c r="Q333" s="1063">
        <f t="shared" si="61"/>
        <v>0</v>
      </c>
      <c r="R333" s="1063">
        <f>Q333*('Ввод исходных данных'!$D$83-O333)</f>
        <v>0</v>
      </c>
      <c r="S333" s="1064">
        <v>6.8</v>
      </c>
      <c r="T333" s="1064"/>
      <c r="U333" s="1064">
        <f t="shared" si="62"/>
        <v>20.5</v>
      </c>
      <c r="V333" s="1064">
        <f>U333*('Ввод исходных данных'!$D$83-S333)</f>
        <v>270.59999999999997</v>
      </c>
      <c r="W333" s="1065">
        <v>-3.5</v>
      </c>
      <c r="X333" s="1065"/>
      <c r="Y333" s="1065">
        <f t="shared" si="63"/>
        <v>31</v>
      </c>
      <c r="Z333" s="1065">
        <f>Y333*('Ввод исходных данных'!$D$83-W333)</f>
        <v>728.5</v>
      </c>
      <c r="AA333" s="1066">
        <v>-20.100000000000001</v>
      </c>
      <c r="AB333" s="1066"/>
      <c r="AC333" s="1066">
        <f t="shared" si="64"/>
        <v>30</v>
      </c>
      <c r="AD333" s="1066">
        <f>AC333*('Ввод исходных данных'!$D$83-AA333)</f>
        <v>1203</v>
      </c>
      <c r="AE333" s="1067">
        <v>-28.6</v>
      </c>
      <c r="AF333" s="1067"/>
      <c r="AG333" s="1067">
        <v>31</v>
      </c>
      <c r="AH333" s="1067">
        <f>AG333*('Ввод исходных данных'!$D$83-AE333)</f>
        <v>1506.6000000000001</v>
      </c>
      <c r="AI333" s="1068">
        <v>-30</v>
      </c>
      <c r="AJ333" s="1068"/>
      <c r="AK333" s="1068">
        <v>31</v>
      </c>
      <c r="AL333" s="1068">
        <f>AK333*('Ввод исходных данных'!$D$83-AI333)</f>
        <v>1550</v>
      </c>
      <c r="AM333" s="1069">
        <v>-26.8</v>
      </c>
      <c r="AN333" s="1069"/>
      <c r="AO333" s="1069">
        <v>28</v>
      </c>
      <c r="AP333" s="1069">
        <f>AO333*('Ввод исходных данных'!$D$83-AM333)</f>
        <v>1310.3999999999999</v>
      </c>
      <c r="AQ333" s="1064">
        <v>-15.9</v>
      </c>
      <c r="AR333" s="1064"/>
      <c r="AS333" s="1064">
        <f t="shared" si="65"/>
        <v>31</v>
      </c>
      <c r="AT333" s="1064">
        <f>AS333*('Ввод исходных данных'!$D$83-AQ333)</f>
        <v>1112.8999999999999</v>
      </c>
      <c r="AU333" s="1070">
        <v>-3.5</v>
      </c>
      <c r="AV333" s="1070"/>
      <c r="AW333" s="1070">
        <f t="shared" si="66"/>
        <v>30</v>
      </c>
      <c r="AX333" s="1070">
        <f>AW333*('Ввод исходных данных'!$D$83-AU333)</f>
        <v>705</v>
      </c>
      <c r="AY333" s="1071">
        <v>6.3</v>
      </c>
      <c r="AZ333" s="1071"/>
      <c r="BA333" s="1071">
        <f t="shared" si="67"/>
        <v>20.5</v>
      </c>
      <c r="BB333" s="1071">
        <f>BA333*('Ввод исходных данных'!$D$83-AY333)</f>
        <v>280.84999999999997</v>
      </c>
      <c r="BC333" s="1072">
        <v>14.9</v>
      </c>
      <c r="BD333" s="1072"/>
      <c r="BE333" s="1072">
        <f t="shared" si="59"/>
        <v>0</v>
      </c>
      <c r="BF333" s="1073">
        <f>BE333*('Ввод исходных данных'!$D$83-BC333)</f>
        <v>0</v>
      </c>
    </row>
    <row r="334" spans="2:58" ht="15.75" customHeight="1" x14ac:dyDescent="0.25">
      <c r="B334" s="1076" t="s">
        <v>336</v>
      </c>
      <c r="C334" s="1076" t="s">
        <v>359</v>
      </c>
      <c r="D334" s="1053" t="str">
        <f t="shared" si="68"/>
        <v>Республика Саха (Якутия)Оймякон</v>
      </c>
      <c r="E334" s="1054">
        <v>277</v>
      </c>
      <c r="F334" s="1055">
        <v>-25.4</v>
      </c>
      <c r="G334" s="1055">
        <v>-59</v>
      </c>
      <c r="H334" s="1057">
        <v>1.4</v>
      </c>
      <c r="I334" s="1058">
        <f>E334*('Ввод исходных данных'!$D$83-F334)</f>
        <v>12575.8</v>
      </c>
      <c r="J334" s="1059" t="str">
        <f t="shared" si="58"/>
        <v>12000-13000</v>
      </c>
      <c r="K334" s="1060">
        <v>14.5</v>
      </c>
      <c r="L334" s="1060"/>
      <c r="M334" s="1061">
        <f t="shared" si="60"/>
        <v>0</v>
      </c>
      <c r="N334" s="1062">
        <f>M334*('Ввод исходных данных'!$D$83-K334)</f>
        <v>0</v>
      </c>
      <c r="O334" s="1063">
        <v>10.3</v>
      </c>
      <c r="P334" s="1063"/>
      <c r="Q334" s="1063">
        <f t="shared" si="61"/>
        <v>2</v>
      </c>
      <c r="R334" s="1063">
        <f>Q334*('Ввод исходных данных'!$D$83-O334)</f>
        <v>19.399999999999999</v>
      </c>
      <c r="S334" s="1064">
        <v>2.1</v>
      </c>
      <c r="T334" s="1064"/>
      <c r="U334" s="1064">
        <f t="shared" si="62"/>
        <v>30</v>
      </c>
      <c r="V334" s="1064">
        <f>U334*('Ввод исходных данных'!$D$83-S334)</f>
        <v>537</v>
      </c>
      <c r="W334" s="1065">
        <v>-15.2</v>
      </c>
      <c r="X334" s="1065"/>
      <c r="Y334" s="1065">
        <f t="shared" si="63"/>
        <v>31</v>
      </c>
      <c r="Z334" s="1065">
        <f>Y334*('Ввод исходных данных'!$D$83-W334)</f>
        <v>1091.2</v>
      </c>
      <c r="AA334" s="1066">
        <v>-36.200000000000003</v>
      </c>
      <c r="AB334" s="1066"/>
      <c r="AC334" s="1066">
        <f t="shared" si="64"/>
        <v>30</v>
      </c>
      <c r="AD334" s="1066">
        <f>AC334*('Ввод исходных данных'!$D$83-AA334)</f>
        <v>1686</v>
      </c>
      <c r="AE334" s="1067">
        <v>-45.7</v>
      </c>
      <c r="AF334" s="1067"/>
      <c r="AG334" s="1067">
        <v>31</v>
      </c>
      <c r="AH334" s="1067">
        <f>AG334*('Ввод исходных данных'!$D$83-AE334)</f>
        <v>2036.7</v>
      </c>
      <c r="AI334" s="1068">
        <v>-46.6</v>
      </c>
      <c r="AJ334" s="1068"/>
      <c r="AK334" s="1068">
        <v>31</v>
      </c>
      <c r="AL334" s="1068">
        <f>AK334*('Ввод исходных данных'!$D$83-AI334)</f>
        <v>2064.6</v>
      </c>
      <c r="AM334" s="1069">
        <v>-42.7</v>
      </c>
      <c r="AN334" s="1069"/>
      <c r="AO334" s="1069">
        <v>28</v>
      </c>
      <c r="AP334" s="1069">
        <f>AO334*('Ввод исходных данных'!$D$83-AM334)</f>
        <v>1755.6000000000001</v>
      </c>
      <c r="AQ334" s="1064">
        <v>-31.7</v>
      </c>
      <c r="AR334" s="1064"/>
      <c r="AS334" s="1064">
        <f t="shared" si="65"/>
        <v>31</v>
      </c>
      <c r="AT334" s="1064">
        <f>AS334*('Ввод исходных данных'!$D$83-AQ334)</f>
        <v>1602.7</v>
      </c>
      <c r="AU334" s="1070">
        <v>-13.8</v>
      </c>
      <c r="AV334" s="1070"/>
      <c r="AW334" s="1070">
        <f t="shared" si="66"/>
        <v>30</v>
      </c>
      <c r="AX334" s="1070">
        <f>AW334*('Ввод исходных данных'!$D$83-AU334)</f>
        <v>1013.9999999999999</v>
      </c>
      <c r="AY334" s="1071">
        <v>2.6</v>
      </c>
      <c r="AZ334" s="1071"/>
      <c r="BA334" s="1071">
        <f t="shared" si="67"/>
        <v>31</v>
      </c>
      <c r="BB334" s="1071">
        <f>BA334*('Ввод исходных данных'!$D$83-AY334)</f>
        <v>539.4</v>
      </c>
      <c r="BC334" s="1072">
        <v>12.2</v>
      </c>
      <c r="BD334" s="1072"/>
      <c r="BE334" s="1072">
        <f t="shared" si="59"/>
        <v>2</v>
      </c>
      <c r="BF334" s="1073">
        <f>BE334*('Ввод исходных данных'!$D$83-BC334)</f>
        <v>15.600000000000001</v>
      </c>
    </row>
    <row r="335" spans="2:58" ht="15.75" customHeight="1" x14ac:dyDescent="0.25">
      <c r="B335" s="1052" t="s">
        <v>336</v>
      </c>
      <c r="C335" s="1052" t="s">
        <v>357</v>
      </c>
      <c r="D335" s="1053" t="str">
        <f t="shared" si="68"/>
        <v>Республика Саха (Якутия)Олекминск</v>
      </c>
      <c r="E335" s="1054">
        <v>253</v>
      </c>
      <c r="F335" s="1055">
        <v>-15.7</v>
      </c>
      <c r="G335" s="1055">
        <v>-49</v>
      </c>
      <c r="H335" s="1057">
        <v>2.7</v>
      </c>
      <c r="I335" s="1058">
        <f>E335*('Ввод исходных данных'!$D$83-F335)</f>
        <v>9032.1</v>
      </c>
      <c r="J335" s="1059" t="str">
        <f t="shared" si="58"/>
        <v>9000-10000</v>
      </c>
      <c r="K335" s="1060">
        <v>18.100000000000001</v>
      </c>
      <c r="L335" s="1060"/>
      <c r="M335" s="1061">
        <f t="shared" si="60"/>
        <v>0</v>
      </c>
      <c r="N335" s="1062">
        <f>M335*('Ввод исходных данных'!$D$83-K335)</f>
        <v>0</v>
      </c>
      <c r="O335" s="1063">
        <v>14.5</v>
      </c>
      <c r="P335" s="1063"/>
      <c r="Q335" s="1063">
        <f t="shared" si="61"/>
        <v>0</v>
      </c>
      <c r="R335" s="1063">
        <f>Q335*('Ввод исходных данных'!$D$83-O335)</f>
        <v>0</v>
      </c>
      <c r="S335" s="1064">
        <v>6.1</v>
      </c>
      <c r="T335" s="1064"/>
      <c r="U335" s="1064">
        <f t="shared" si="62"/>
        <v>20.5</v>
      </c>
      <c r="V335" s="1064">
        <f>U335*('Ввод исходных данных'!$D$83-S335)</f>
        <v>284.95</v>
      </c>
      <c r="W335" s="1065">
        <v>-5.2</v>
      </c>
      <c r="X335" s="1065"/>
      <c r="Y335" s="1065">
        <f t="shared" si="63"/>
        <v>31</v>
      </c>
      <c r="Z335" s="1065">
        <f>Y335*('Ввод исходных данных'!$D$83-W335)</f>
        <v>781.19999999999993</v>
      </c>
      <c r="AA335" s="1066">
        <v>-21.2</v>
      </c>
      <c r="AB335" s="1066"/>
      <c r="AC335" s="1066">
        <f t="shared" si="64"/>
        <v>30</v>
      </c>
      <c r="AD335" s="1066">
        <f>AC335*('Ввод исходных данных'!$D$83-AA335)</f>
        <v>1236</v>
      </c>
      <c r="AE335" s="1067">
        <v>-29.7</v>
      </c>
      <c r="AF335" s="1067"/>
      <c r="AG335" s="1067">
        <v>31</v>
      </c>
      <c r="AH335" s="1067">
        <f>AG335*('Ввод исходных данных'!$D$83-AE335)</f>
        <v>1540.7</v>
      </c>
      <c r="AI335" s="1068">
        <v>-31.4</v>
      </c>
      <c r="AJ335" s="1068"/>
      <c r="AK335" s="1068">
        <v>31</v>
      </c>
      <c r="AL335" s="1068">
        <f>AK335*('Ввод исходных данных'!$D$83-AI335)</f>
        <v>1593.3999999999999</v>
      </c>
      <c r="AM335" s="1069">
        <v>-27.3</v>
      </c>
      <c r="AN335" s="1069"/>
      <c r="AO335" s="1069">
        <v>28</v>
      </c>
      <c r="AP335" s="1069">
        <f>AO335*('Ввод исходных данных'!$D$83-AM335)</f>
        <v>1324.3999999999999</v>
      </c>
      <c r="AQ335" s="1064">
        <v>-15.5</v>
      </c>
      <c r="AR335" s="1064"/>
      <c r="AS335" s="1064">
        <f t="shared" si="65"/>
        <v>31</v>
      </c>
      <c r="AT335" s="1064">
        <f>AS335*('Ввод исходных данных'!$D$83-AQ335)</f>
        <v>1100.5</v>
      </c>
      <c r="AU335" s="1070">
        <v>-3.3</v>
      </c>
      <c r="AV335" s="1070"/>
      <c r="AW335" s="1070">
        <f t="shared" si="66"/>
        <v>30</v>
      </c>
      <c r="AX335" s="1070">
        <f>AW335*('Ввод исходных данных'!$D$83-AU335)</f>
        <v>699</v>
      </c>
      <c r="AY335" s="1071">
        <v>7</v>
      </c>
      <c r="AZ335" s="1071"/>
      <c r="BA335" s="1071">
        <f t="shared" si="67"/>
        <v>20.5</v>
      </c>
      <c r="BB335" s="1071">
        <f>BA335*('Ввод исходных данных'!$D$83-AY335)</f>
        <v>266.5</v>
      </c>
      <c r="BC335" s="1072">
        <v>15.1</v>
      </c>
      <c r="BD335" s="1072"/>
      <c r="BE335" s="1072">
        <f t="shared" si="59"/>
        <v>0</v>
      </c>
      <c r="BF335" s="1073">
        <f>BE335*('Ввод исходных данных'!$D$83-BC335)</f>
        <v>0</v>
      </c>
    </row>
    <row r="336" spans="2:58" ht="15.75" customHeight="1" x14ac:dyDescent="0.25">
      <c r="B336" s="1076" t="s">
        <v>336</v>
      </c>
      <c r="C336" s="1076" t="s">
        <v>358</v>
      </c>
      <c r="D336" s="1053" t="str">
        <f t="shared" si="68"/>
        <v>Республика Саха (Якутия)Оленек</v>
      </c>
      <c r="E336" s="1054">
        <v>287</v>
      </c>
      <c r="F336" s="1055">
        <v>-18.899999999999999</v>
      </c>
      <c r="G336" s="1055">
        <v>-55</v>
      </c>
      <c r="H336" s="1057">
        <v>2.5</v>
      </c>
      <c r="I336" s="1058">
        <f>E336*('Ввод исходных данных'!$D$83-F336)</f>
        <v>11164.3</v>
      </c>
      <c r="J336" s="1059" t="str">
        <f t="shared" si="58"/>
        <v>11000-12000</v>
      </c>
      <c r="K336" s="1060">
        <v>15</v>
      </c>
      <c r="L336" s="1060"/>
      <c r="M336" s="1061">
        <f t="shared" si="60"/>
        <v>0</v>
      </c>
      <c r="N336" s="1062">
        <f>M336*('Ввод исходных данных'!$D$83-K336)</f>
        <v>0</v>
      </c>
      <c r="O336" s="1063">
        <v>10.8</v>
      </c>
      <c r="P336" s="1063"/>
      <c r="Q336" s="1063">
        <f t="shared" si="61"/>
        <v>7</v>
      </c>
      <c r="R336" s="1063">
        <f>Q336*('Ввод исходных данных'!$D$83-O336)</f>
        <v>64.399999999999991</v>
      </c>
      <c r="S336" s="1064">
        <v>2.2999999999999998</v>
      </c>
      <c r="T336" s="1064"/>
      <c r="U336" s="1064">
        <f t="shared" si="62"/>
        <v>30</v>
      </c>
      <c r="V336" s="1064">
        <f>U336*('Ввод исходных данных'!$D$83-S336)</f>
        <v>531</v>
      </c>
      <c r="W336" s="1065">
        <v>-11.6</v>
      </c>
      <c r="X336" s="1065"/>
      <c r="Y336" s="1065">
        <f t="shared" si="63"/>
        <v>31</v>
      </c>
      <c r="Z336" s="1065">
        <f>Y336*('Ввод исходных данных'!$D$83-W336)</f>
        <v>979.6</v>
      </c>
      <c r="AA336" s="1066">
        <v>-28.6</v>
      </c>
      <c r="AB336" s="1066"/>
      <c r="AC336" s="1066">
        <f t="shared" si="64"/>
        <v>30</v>
      </c>
      <c r="AD336" s="1066">
        <f>AC336*('Ввод исходных данных'!$D$83-AA336)</f>
        <v>1458</v>
      </c>
      <c r="AE336" s="1067">
        <v>-33.700000000000003</v>
      </c>
      <c r="AF336" s="1067"/>
      <c r="AG336" s="1067">
        <v>31</v>
      </c>
      <c r="AH336" s="1067">
        <f>AG336*('Ввод исходных данных'!$D$83-AE336)</f>
        <v>1664.7</v>
      </c>
      <c r="AI336" s="1068">
        <v>-37</v>
      </c>
      <c r="AJ336" s="1068"/>
      <c r="AK336" s="1068">
        <v>31</v>
      </c>
      <c r="AL336" s="1068">
        <f>AK336*('Ввод исходных данных'!$D$83-AI336)</f>
        <v>1767</v>
      </c>
      <c r="AM336" s="1069">
        <v>-33.700000000000003</v>
      </c>
      <c r="AN336" s="1069"/>
      <c r="AO336" s="1069">
        <v>28</v>
      </c>
      <c r="AP336" s="1069">
        <f>AO336*('Ввод исходных данных'!$D$83-AM336)</f>
        <v>1503.6000000000001</v>
      </c>
      <c r="AQ336" s="1064">
        <v>-22.8</v>
      </c>
      <c r="AR336" s="1064"/>
      <c r="AS336" s="1064">
        <f t="shared" si="65"/>
        <v>31</v>
      </c>
      <c r="AT336" s="1064">
        <f>AS336*('Ввод исходных данных'!$D$83-AQ336)</f>
        <v>1326.8</v>
      </c>
      <c r="AU336" s="1070">
        <v>-11.7</v>
      </c>
      <c r="AV336" s="1070"/>
      <c r="AW336" s="1070">
        <f t="shared" si="66"/>
        <v>30</v>
      </c>
      <c r="AX336" s="1070">
        <f>AW336*('Ввод исходных данных'!$D$83-AU336)</f>
        <v>951</v>
      </c>
      <c r="AY336" s="1071">
        <v>-1.2</v>
      </c>
      <c r="AZ336" s="1071"/>
      <c r="BA336" s="1071">
        <f t="shared" si="67"/>
        <v>31</v>
      </c>
      <c r="BB336" s="1071">
        <f>BA336*('Ввод исходных данных'!$D$83-AY336)</f>
        <v>657.19999999999993</v>
      </c>
      <c r="BC336" s="1072">
        <v>10</v>
      </c>
      <c r="BD336" s="1072"/>
      <c r="BE336" s="1072">
        <f t="shared" si="59"/>
        <v>7</v>
      </c>
      <c r="BF336" s="1073">
        <f>BE336*('Ввод исходных данных'!$D$83-BC336)</f>
        <v>70</v>
      </c>
    </row>
    <row r="337" spans="2:58" ht="15.75" customHeight="1" x14ac:dyDescent="0.25">
      <c r="B337" s="1052" t="s">
        <v>336</v>
      </c>
      <c r="C337" s="1052" t="s">
        <v>686</v>
      </c>
      <c r="D337" s="1053" t="str">
        <f t="shared" si="68"/>
        <v>Республика Саха (Якутия)Охотский Перевоз</v>
      </c>
      <c r="E337" s="1054">
        <v>260</v>
      </c>
      <c r="F337" s="1055">
        <v>-21.7</v>
      </c>
      <c r="G337" s="1055">
        <v>-55</v>
      </c>
      <c r="H337" s="1057">
        <v>1.8</v>
      </c>
      <c r="I337" s="1058">
        <f>E337*('Ввод исходных данных'!$D$83-F337)</f>
        <v>10842</v>
      </c>
      <c r="J337" s="1059" t="str">
        <f t="shared" si="58"/>
        <v>10000-11000</v>
      </c>
      <c r="K337" s="1060">
        <v>17.399999999999999</v>
      </c>
      <c r="L337" s="1060"/>
      <c r="M337" s="1061">
        <f t="shared" si="60"/>
        <v>0</v>
      </c>
      <c r="N337" s="1062">
        <f>M337*('Ввод исходных данных'!$D$83-K337)</f>
        <v>0</v>
      </c>
      <c r="O337" s="1063">
        <v>14</v>
      </c>
      <c r="P337" s="1063"/>
      <c r="Q337" s="1063">
        <f t="shared" si="61"/>
        <v>0</v>
      </c>
      <c r="R337" s="1063">
        <f>Q337*('Ввод исходных данных'!$D$83-O337)</f>
        <v>0</v>
      </c>
      <c r="S337" s="1064">
        <v>5.5</v>
      </c>
      <c r="T337" s="1064"/>
      <c r="U337" s="1064">
        <f t="shared" si="62"/>
        <v>24</v>
      </c>
      <c r="V337" s="1064">
        <f>U337*('Ввод исходных данных'!$D$83-S337)</f>
        <v>348</v>
      </c>
      <c r="W337" s="1065">
        <v>-8.6999999999999993</v>
      </c>
      <c r="X337" s="1065"/>
      <c r="Y337" s="1065">
        <f t="shared" si="63"/>
        <v>31</v>
      </c>
      <c r="Z337" s="1065">
        <f>Y337*('Ввод исходных данных'!$D$83-W337)</f>
        <v>889.69999999999993</v>
      </c>
      <c r="AA337" s="1066">
        <v>-30.3</v>
      </c>
      <c r="AB337" s="1066"/>
      <c r="AC337" s="1066">
        <f t="shared" si="64"/>
        <v>30</v>
      </c>
      <c r="AD337" s="1066">
        <f>AC337*('Ввод исходных данных'!$D$83-AA337)</f>
        <v>1509</v>
      </c>
      <c r="AE337" s="1067">
        <v>-41.1</v>
      </c>
      <c r="AF337" s="1067"/>
      <c r="AG337" s="1067">
        <v>31</v>
      </c>
      <c r="AH337" s="1067">
        <f>AG337*('Ввод исходных данных'!$D$83-AE337)</f>
        <v>1894.1000000000001</v>
      </c>
      <c r="AI337" s="1068">
        <v>-44.2</v>
      </c>
      <c r="AJ337" s="1068"/>
      <c r="AK337" s="1068">
        <v>31</v>
      </c>
      <c r="AL337" s="1068">
        <f>AK337*('Ввод исходных данных'!$D$83-AI337)</f>
        <v>1990.2</v>
      </c>
      <c r="AM337" s="1069">
        <v>-39.4</v>
      </c>
      <c r="AN337" s="1069"/>
      <c r="AO337" s="1069">
        <v>28</v>
      </c>
      <c r="AP337" s="1069">
        <f>AO337*('Ввод исходных данных'!$D$83-AM337)</f>
        <v>1663.2</v>
      </c>
      <c r="AQ337" s="1064">
        <v>-24.7</v>
      </c>
      <c r="AR337" s="1064"/>
      <c r="AS337" s="1064">
        <f t="shared" si="65"/>
        <v>31</v>
      </c>
      <c r="AT337" s="1064">
        <f>AS337*('Ввод исходных данных'!$D$83-AQ337)</f>
        <v>1385.7</v>
      </c>
      <c r="AU337" s="1070">
        <v>-7.8</v>
      </c>
      <c r="AV337" s="1070"/>
      <c r="AW337" s="1070">
        <f t="shared" si="66"/>
        <v>30</v>
      </c>
      <c r="AX337" s="1070">
        <f>AW337*('Ввод исходных данных'!$D$83-AU337)</f>
        <v>834</v>
      </c>
      <c r="AY337" s="1071">
        <v>5.7</v>
      </c>
      <c r="AZ337" s="1071"/>
      <c r="BA337" s="1071">
        <f t="shared" si="67"/>
        <v>24</v>
      </c>
      <c r="BB337" s="1071">
        <f>BA337*('Ввод исходных данных'!$D$83-AY337)</f>
        <v>343.20000000000005</v>
      </c>
      <c r="BC337" s="1072">
        <v>14.2</v>
      </c>
      <c r="BD337" s="1072"/>
      <c r="BE337" s="1072">
        <f t="shared" si="59"/>
        <v>0</v>
      </c>
      <c r="BF337" s="1073">
        <f>BE337*('Ввод исходных данных'!$D$83-BC337)</f>
        <v>0</v>
      </c>
    </row>
    <row r="338" spans="2:58" ht="15.75" customHeight="1" x14ac:dyDescent="0.25">
      <c r="B338" s="1076" t="s">
        <v>336</v>
      </c>
      <c r="C338" s="1076" t="s">
        <v>360</v>
      </c>
      <c r="D338" s="1053" t="str">
        <f t="shared" si="68"/>
        <v>Республика Саха (Якутия)Сангар</v>
      </c>
      <c r="E338" s="1054">
        <v>261</v>
      </c>
      <c r="F338" s="1055">
        <v>-19.600000000000001</v>
      </c>
      <c r="G338" s="1055">
        <v>-50</v>
      </c>
      <c r="H338" s="1057">
        <v>7.6</v>
      </c>
      <c r="I338" s="1058">
        <f>E338*('Ввод исходных данных'!$D$83-F338)</f>
        <v>10335.6</v>
      </c>
      <c r="J338" s="1059" t="str">
        <f t="shared" si="58"/>
        <v>10000-11000</v>
      </c>
      <c r="K338" s="1060">
        <v>18.100000000000001</v>
      </c>
      <c r="L338" s="1060"/>
      <c r="M338" s="1061">
        <f t="shared" si="60"/>
        <v>0</v>
      </c>
      <c r="N338" s="1062">
        <f>M338*('Ввод исходных данных'!$D$83-K338)</f>
        <v>0</v>
      </c>
      <c r="O338" s="1063">
        <v>14.5</v>
      </c>
      <c r="P338" s="1063"/>
      <c r="Q338" s="1063">
        <f t="shared" si="61"/>
        <v>0</v>
      </c>
      <c r="R338" s="1063">
        <f>Q338*('Ввод исходных данных'!$D$83-O338)</f>
        <v>0</v>
      </c>
      <c r="S338" s="1064">
        <v>6</v>
      </c>
      <c r="T338" s="1064"/>
      <c r="U338" s="1064">
        <f t="shared" si="62"/>
        <v>24.5</v>
      </c>
      <c r="V338" s="1064">
        <f>U338*('Ввод исходных данных'!$D$83-S338)</f>
        <v>343</v>
      </c>
      <c r="W338" s="1065">
        <v>-8.6999999999999993</v>
      </c>
      <c r="X338" s="1065"/>
      <c r="Y338" s="1065">
        <f t="shared" si="63"/>
        <v>31</v>
      </c>
      <c r="Z338" s="1065">
        <f>Y338*('Ввод исходных данных'!$D$83-W338)</f>
        <v>889.69999999999993</v>
      </c>
      <c r="AA338" s="1066">
        <v>-28.5</v>
      </c>
      <c r="AB338" s="1066"/>
      <c r="AC338" s="1066">
        <f t="shared" si="64"/>
        <v>30</v>
      </c>
      <c r="AD338" s="1066">
        <f>AC338*('Ввод исходных данных'!$D$83-AA338)</f>
        <v>1455</v>
      </c>
      <c r="AE338" s="1067">
        <v>-37.299999999999997</v>
      </c>
      <c r="AF338" s="1067"/>
      <c r="AG338" s="1067">
        <v>31</v>
      </c>
      <c r="AH338" s="1067">
        <f>AG338*('Ввод исходных данных'!$D$83-AE338)</f>
        <v>1776.3</v>
      </c>
      <c r="AI338" s="1068">
        <v>-39.1</v>
      </c>
      <c r="AJ338" s="1068"/>
      <c r="AK338" s="1068">
        <v>31</v>
      </c>
      <c r="AL338" s="1068">
        <f>AK338*('Ввод исходных данных'!$D$83-AI338)</f>
        <v>1832.1000000000001</v>
      </c>
      <c r="AM338" s="1069">
        <v>-34.5</v>
      </c>
      <c r="AN338" s="1069"/>
      <c r="AO338" s="1069">
        <v>28</v>
      </c>
      <c r="AP338" s="1069">
        <f>AO338*('Ввод исходных данных'!$D$83-AM338)</f>
        <v>1526</v>
      </c>
      <c r="AQ338" s="1064">
        <v>-21.6</v>
      </c>
      <c r="AR338" s="1064"/>
      <c r="AS338" s="1064">
        <f t="shared" si="65"/>
        <v>31</v>
      </c>
      <c r="AT338" s="1064">
        <f>AS338*('Ввод исходных данных'!$D$83-AQ338)</f>
        <v>1289.6000000000001</v>
      </c>
      <c r="AU338" s="1070">
        <v>-8.5</v>
      </c>
      <c r="AV338" s="1070"/>
      <c r="AW338" s="1070">
        <f t="shared" si="66"/>
        <v>30</v>
      </c>
      <c r="AX338" s="1070">
        <f>AW338*('Ввод исходных данных'!$D$83-AU338)</f>
        <v>855</v>
      </c>
      <c r="AY338" s="1071">
        <v>4.0999999999999996</v>
      </c>
      <c r="AZ338" s="1071"/>
      <c r="BA338" s="1071">
        <f t="shared" si="67"/>
        <v>24.5</v>
      </c>
      <c r="BB338" s="1071">
        <f>BA338*('Ввод исходных данных'!$D$83-AY338)</f>
        <v>389.55</v>
      </c>
      <c r="BC338" s="1072">
        <v>14.3</v>
      </c>
      <c r="BD338" s="1072"/>
      <c r="BE338" s="1072">
        <f t="shared" si="59"/>
        <v>0</v>
      </c>
      <c r="BF338" s="1073">
        <f>BE338*('Ввод исходных данных'!$D$83-BC338)</f>
        <v>0</v>
      </c>
    </row>
    <row r="339" spans="2:58" ht="15.75" customHeight="1" x14ac:dyDescent="0.25">
      <c r="B339" s="1052" t="s">
        <v>336</v>
      </c>
      <c r="C339" s="1052" t="s">
        <v>361</v>
      </c>
      <c r="D339" s="1053" t="str">
        <f t="shared" si="68"/>
        <v>Республика Саха (Якутия)Саскылах</v>
      </c>
      <c r="E339" s="1054">
        <v>308</v>
      </c>
      <c r="F339" s="1055">
        <v>-19.3</v>
      </c>
      <c r="G339" s="1055">
        <v>-53</v>
      </c>
      <c r="H339" s="1057">
        <v>3.4</v>
      </c>
      <c r="I339" s="1058">
        <f>E339*('Ввод исходных данных'!$D$83-F339)</f>
        <v>12104.4</v>
      </c>
      <c r="J339" s="1059" t="str">
        <f t="shared" si="58"/>
        <v>12000-13000</v>
      </c>
      <c r="K339" s="1060">
        <v>11.5</v>
      </c>
      <c r="L339" s="1060"/>
      <c r="M339" s="1061">
        <f t="shared" si="60"/>
        <v>0</v>
      </c>
      <c r="N339" s="1062">
        <f>M339*('Ввод исходных данных'!$D$83-K339)</f>
        <v>0</v>
      </c>
      <c r="O339" s="1063">
        <v>8.3000000000000007</v>
      </c>
      <c r="P339" s="1063"/>
      <c r="Q339" s="1063">
        <f t="shared" si="61"/>
        <v>17.5</v>
      </c>
      <c r="R339" s="1063">
        <f>Q339*('Ввод исходных данных'!$D$83-O339)</f>
        <v>204.75</v>
      </c>
      <c r="S339" s="1064">
        <v>0.8</v>
      </c>
      <c r="T339" s="1064"/>
      <c r="U339" s="1064">
        <f t="shared" si="62"/>
        <v>30</v>
      </c>
      <c r="V339" s="1064">
        <f>U339*('Ввод исходных данных'!$D$83-S339)</f>
        <v>576</v>
      </c>
      <c r="W339" s="1065">
        <v>-13.4</v>
      </c>
      <c r="X339" s="1065"/>
      <c r="Y339" s="1065">
        <f t="shared" si="63"/>
        <v>31</v>
      </c>
      <c r="Z339" s="1065">
        <f>Y339*('Ввод исходных данных'!$D$83-W339)</f>
        <v>1035.3999999999999</v>
      </c>
      <c r="AA339" s="1066">
        <v>-28.2</v>
      </c>
      <c r="AB339" s="1066"/>
      <c r="AC339" s="1066">
        <f t="shared" si="64"/>
        <v>30</v>
      </c>
      <c r="AD339" s="1066">
        <f>AC339*('Ввод исходных данных'!$D$83-AA339)</f>
        <v>1446</v>
      </c>
      <c r="AE339" s="1067">
        <v>-32.299999999999997</v>
      </c>
      <c r="AF339" s="1067"/>
      <c r="AG339" s="1067">
        <v>31</v>
      </c>
      <c r="AH339" s="1067">
        <f>AG339*('Ввод исходных данных'!$D$83-AE339)</f>
        <v>1621.3</v>
      </c>
      <c r="AI339" s="1068">
        <v>-35.200000000000003</v>
      </c>
      <c r="AJ339" s="1068"/>
      <c r="AK339" s="1068">
        <v>31</v>
      </c>
      <c r="AL339" s="1068">
        <f>AK339*('Ввод исходных данных'!$D$83-AI339)</f>
        <v>1711.2</v>
      </c>
      <c r="AM339" s="1069">
        <v>-34.4</v>
      </c>
      <c r="AN339" s="1069"/>
      <c r="AO339" s="1069">
        <v>28</v>
      </c>
      <c r="AP339" s="1069">
        <f>AO339*('Ввод исходных данных'!$D$83-AM339)</f>
        <v>1523.2</v>
      </c>
      <c r="AQ339" s="1064">
        <v>-28.6</v>
      </c>
      <c r="AR339" s="1064"/>
      <c r="AS339" s="1064">
        <f t="shared" si="65"/>
        <v>31</v>
      </c>
      <c r="AT339" s="1064">
        <f>AS339*('Ввод исходных данных'!$D$83-AQ339)</f>
        <v>1506.6000000000001</v>
      </c>
      <c r="AU339" s="1070">
        <v>-19</v>
      </c>
      <c r="AV339" s="1070"/>
      <c r="AW339" s="1070">
        <f t="shared" si="66"/>
        <v>30</v>
      </c>
      <c r="AX339" s="1070">
        <f>AW339*('Ввод исходных данных'!$D$83-AU339)</f>
        <v>1170</v>
      </c>
      <c r="AY339" s="1071">
        <v>-7.4</v>
      </c>
      <c r="AZ339" s="1071"/>
      <c r="BA339" s="1071">
        <f t="shared" si="67"/>
        <v>31</v>
      </c>
      <c r="BB339" s="1071">
        <f>BA339*('Ввод исходных данных'!$D$83-AY339)</f>
        <v>849.4</v>
      </c>
      <c r="BC339" s="1072">
        <v>5.3</v>
      </c>
      <c r="BD339" s="1072"/>
      <c r="BE339" s="1072">
        <f t="shared" si="59"/>
        <v>17.5</v>
      </c>
      <c r="BF339" s="1073">
        <f>BE339*('Ввод исходных данных'!$D$83-BC339)</f>
        <v>257.25</v>
      </c>
    </row>
    <row r="340" spans="2:58" ht="15.75" customHeight="1" x14ac:dyDescent="0.25">
      <c r="B340" s="1076" t="s">
        <v>336</v>
      </c>
      <c r="C340" s="1076" t="s">
        <v>363</v>
      </c>
      <c r="D340" s="1053" t="str">
        <f t="shared" si="68"/>
        <v>Республика Саха (Якутия)Среднеколымск</v>
      </c>
      <c r="E340" s="1054">
        <v>277</v>
      </c>
      <c r="F340" s="1055">
        <v>-19.8</v>
      </c>
      <c r="G340" s="1055">
        <v>-50</v>
      </c>
      <c r="H340" s="1057">
        <v>1.9</v>
      </c>
      <c r="I340" s="1058">
        <f>E340*('Ввод исходных данных'!$D$83-F340)</f>
        <v>11024.599999999999</v>
      </c>
      <c r="J340" s="1059" t="str">
        <f t="shared" si="58"/>
        <v>11000-12000</v>
      </c>
      <c r="K340" s="1060">
        <v>14.4</v>
      </c>
      <c r="L340" s="1060"/>
      <c r="M340" s="1061">
        <f t="shared" si="60"/>
        <v>0</v>
      </c>
      <c r="N340" s="1062">
        <f>M340*('Ввод исходных данных'!$D$83-K340)</f>
        <v>0</v>
      </c>
      <c r="O340" s="1063">
        <v>10.6</v>
      </c>
      <c r="P340" s="1063"/>
      <c r="Q340" s="1063">
        <f t="shared" si="61"/>
        <v>2</v>
      </c>
      <c r="R340" s="1063">
        <f>Q340*('Ввод исходных данных'!$D$83-O340)</f>
        <v>18.8</v>
      </c>
      <c r="S340" s="1064">
        <v>3.3</v>
      </c>
      <c r="T340" s="1064"/>
      <c r="U340" s="1064">
        <f t="shared" si="62"/>
        <v>30</v>
      </c>
      <c r="V340" s="1064">
        <f>U340*('Ввод исходных данных'!$D$83-S340)</f>
        <v>501</v>
      </c>
      <c r="W340" s="1065">
        <v>-10.9</v>
      </c>
      <c r="X340" s="1065"/>
      <c r="Y340" s="1065">
        <f t="shared" si="63"/>
        <v>31</v>
      </c>
      <c r="Z340" s="1065">
        <f>Y340*('Ввод исходных данных'!$D$83-W340)</f>
        <v>957.9</v>
      </c>
      <c r="AA340" s="1066">
        <v>-26.8</v>
      </c>
      <c r="AB340" s="1066"/>
      <c r="AC340" s="1066">
        <f t="shared" si="64"/>
        <v>30</v>
      </c>
      <c r="AD340" s="1066">
        <f>AC340*('Ввод исходных данных'!$D$83-AA340)</f>
        <v>1404</v>
      </c>
      <c r="AE340" s="1067">
        <v>-34.4</v>
      </c>
      <c r="AF340" s="1067"/>
      <c r="AG340" s="1067">
        <v>31</v>
      </c>
      <c r="AH340" s="1067">
        <f>AG340*('Ввод исходных данных'!$D$83-AE340)</f>
        <v>1686.3999999999999</v>
      </c>
      <c r="AI340" s="1068">
        <v>-36.200000000000003</v>
      </c>
      <c r="AJ340" s="1068"/>
      <c r="AK340" s="1068">
        <v>31</v>
      </c>
      <c r="AL340" s="1068">
        <f>AK340*('Ввод исходных данных'!$D$83-AI340)</f>
        <v>1742.2</v>
      </c>
      <c r="AM340" s="1069">
        <v>-33.9</v>
      </c>
      <c r="AN340" s="1069"/>
      <c r="AO340" s="1069">
        <v>28</v>
      </c>
      <c r="AP340" s="1069">
        <f>AO340*('Ввод исходных данных'!$D$83-AM340)</f>
        <v>1509.2</v>
      </c>
      <c r="AQ340" s="1064">
        <v>-26.2</v>
      </c>
      <c r="AR340" s="1064"/>
      <c r="AS340" s="1064">
        <f t="shared" si="65"/>
        <v>31</v>
      </c>
      <c r="AT340" s="1064">
        <f>AS340*('Ввод исходных данных'!$D$83-AQ340)</f>
        <v>1432.2</v>
      </c>
      <c r="AU340" s="1070">
        <v>-13.9</v>
      </c>
      <c r="AV340" s="1070"/>
      <c r="AW340" s="1070">
        <f t="shared" si="66"/>
        <v>30</v>
      </c>
      <c r="AX340" s="1070">
        <f>AW340*('Ввод исходных данных'!$D$83-AU340)</f>
        <v>1017</v>
      </c>
      <c r="AY340" s="1071">
        <v>1.1000000000000001</v>
      </c>
      <c r="AZ340" s="1071"/>
      <c r="BA340" s="1071">
        <f t="shared" si="67"/>
        <v>31</v>
      </c>
      <c r="BB340" s="1071">
        <f>BA340*('Ввод исходных данных'!$D$83-AY340)</f>
        <v>585.9</v>
      </c>
      <c r="BC340" s="1072">
        <v>11.4</v>
      </c>
      <c r="BD340" s="1072"/>
      <c r="BE340" s="1072">
        <f t="shared" si="59"/>
        <v>2</v>
      </c>
      <c r="BF340" s="1073">
        <f>BE340*('Ввод исходных данных'!$D$83-BC340)</f>
        <v>17.2</v>
      </c>
    </row>
    <row r="341" spans="2:58" ht="15.75" customHeight="1" x14ac:dyDescent="0.25">
      <c r="B341" s="1052" t="s">
        <v>336</v>
      </c>
      <c r="C341" s="1052" t="s">
        <v>365</v>
      </c>
      <c r="D341" s="1053" t="str">
        <f t="shared" si="68"/>
        <v>Республика Саха (Якутия)Сунтар</v>
      </c>
      <c r="E341" s="1054">
        <v>257</v>
      </c>
      <c r="F341" s="1055">
        <v>-16.8</v>
      </c>
      <c r="G341" s="1055">
        <v>-52</v>
      </c>
      <c r="H341" s="1057">
        <v>2.2999999999999998</v>
      </c>
      <c r="I341" s="1058">
        <f>E341*('Ввод исходных данных'!$D$83-F341)</f>
        <v>9457.5999999999985</v>
      </c>
      <c r="J341" s="1059" t="str">
        <f t="shared" si="58"/>
        <v>9000-10000</v>
      </c>
      <c r="K341" s="1060">
        <v>18</v>
      </c>
      <c r="L341" s="1060"/>
      <c r="M341" s="1061">
        <f t="shared" si="60"/>
        <v>0</v>
      </c>
      <c r="N341" s="1062">
        <f>M341*('Ввод исходных данных'!$D$83-K341)</f>
        <v>0</v>
      </c>
      <c r="O341" s="1063">
        <v>14.2</v>
      </c>
      <c r="P341" s="1063"/>
      <c r="Q341" s="1063">
        <f t="shared" si="61"/>
        <v>0</v>
      </c>
      <c r="R341" s="1063">
        <f>Q341*('Ввод исходных данных'!$D$83-O341)</f>
        <v>0</v>
      </c>
      <c r="S341" s="1064">
        <v>5.6</v>
      </c>
      <c r="T341" s="1064"/>
      <c r="U341" s="1064">
        <f t="shared" si="62"/>
        <v>22.5</v>
      </c>
      <c r="V341" s="1064">
        <f>U341*('Ввод исходных данных'!$D$83-S341)</f>
        <v>324</v>
      </c>
      <c r="W341" s="1065">
        <v>-6</v>
      </c>
      <c r="X341" s="1065"/>
      <c r="Y341" s="1065">
        <f t="shared" si="63"/>
        <v>31</v>
      </c>
      <c r="Z341" s="1065">
        <f>Y341*('Ввод исходных данных'!$D$83-W341)</f>
        <v>806</v>
      </c>
      <c r="AA341" s="1066">
        <v>-23.2</v>
      </c>
      <c r="AB341" s="1066"/>
      <c r="AC341" s="1066">
        <f t="shared" si="64"/>
        <v>30</v>
      </c>
      <c r="AD341" s="1066">
        <f>AC341*('Ввод исходных данных'!$D$83-AA341)</f>
        <v>1296</v>
      </c>
      <c r="AE341" s="1067">
        <v>-30.9</v>
      </c>
      <c r="AF341" s="1067"/>
      <c r="AG341" s="1067">
        <v>31</v>
      </c>
      <c r="AH341" s="1067">
        <f>AG341*('Ввод исходных данных'!$D$83-AE341)</f>
        <v>1577.8999999999999</v>
      </c>
      <c r="AI341" s="1068">
        <v>-32.9</v>
      </c>
      <c r="AJ341" s="1068"/>
      <c r="AK341" s="1068">
        <v>31</v>
      </c>
      <c r="AL341" s="1068">
        <f>AK341*('Ввод исходных данных'!$D$83-AI341)</f>
        <v>1639.8999999999999</v>
      </c>
      <c r="AM341" s="1069">
        <v>-29.2</v>
      </c>
      <c r="AN341" s="1069"/>
      <c r="AO341" s="1069">
        <v>28</v>
      </c>
      <c r="AP341" s="1069">
        <f>AO341*('Ввод исходных данных'!$D$83-AM341)</f>
        <v>1377.6000000000001</v>
      </c>
      <c r="AQ341" s="1064">
        <v>-17.8</v>
      </c>
      <c r="AR341" s="1064"/>
      <c r="AS341" s="1064">
        <f t="shared" si="65"/>
        <v>31</v>
      </c>
      <c r="AT341" s="1064">
        <f>AS341*('Ввод исходных данных'!$D$83-AQ341)</f>
        <v>1171.8</v>
      </c>
      <c r="AU341" s="1070">
        <v>-4.8</v>
      </c>
      <c r="AV341" s="1070"/>
      <c r="AW341" s="1070">
        <f t="shared" si="66"/>
        <v>30</v>
      </c>
      <c r="AX341" s="1070">
        <f>AW341*('Ввод исходных данных'!$D$83-AU341)</f>
        <v>744</v>
      </c>
      <c r="AY341" s="1071">
        <v>6.3</v>
      </c>
      <c r="AZ341" s="1071"/>
      <c r="BA341" s="1071">
        <f t="shared" si="67"/>
        <v>22.5</v>
      </c>
      <c r="BB341" s="1071">
        <f>BA341*('Ввод исходных данных'!$D$83-AY341)</f>
        <v>308.25</v>
      </c>
      <c r="BC341" s="1072">
        <v>15.1</v>
      </c>
      <c r="BD341" s="1072"/>
      <c r="BE341" s="1072">
        <f t="shared" si="59"/>
        <v>0</v>
      </c>
      <c r="BF341" s="1073">
        <f>BE341*('Ввод исходных данных'!$D$83-BC341)</f>
        <v>0</v>
      </c>
    </row>
    <row r="342" spans="2:58" ht="15.75" customHeight="1" x14ac:dyDescent="0.25">
      <c r="B342" s="1076" t="s">
        <v>336</v>
      </c>
      <c r="C342" s="1076" t="s">
        <v>364</v>
      </c>
      <c r="D342" s="1053" t="str">
        <f t="shared" si="68"/>
        <v>Республика Саха (Якутия)Сухана</v>
      </c>
      <c r="E342" s="1054">
        <v>284</v>
      </c>
      <c r="F342" s="1055">
        <v>-21.4</v>
      </c>
      <c r="G342" s="1055">
        <v>-59</v>
      </c>
      <c r="H342" s="1057">
        <v>2.6</v>
      </c>
      <c r="I342" s="1058">
        <f>E342*('Ввод исходных данных'!$D$83-F342)</f>
        <v>11757.6</v>
      </c>
      <c r="J342" s="1059" t="str">
        <f t="shared" si="58"/>
        <v>11000-12000</v>
      </c>
      <c r="K342" s="1060">
        <v>15.1</v>
      </c>
      <c r="L342" s="1060"/>
      <c r="M342" s="1061">
        <f t="shared" si="60"/>
        <v>0</v>
      </c>
      <c r="N342" s="1062">
        <f>M342*('Ввод исходных данных'!$D$83-K342)</f>
        <v>0</v>
      </c>
      <c r="O342" s="1063">
        <v>10.5</v>
      </c>
      <c r="P342" s="1063"/>
      <c r="Q342" s="1063">
        <f t="shared" si="61"/>
        <v>5.5</v>
      </c>
      <c r="R342" s="1063">
        <f>Q342*('Ввод исходных данных'!$D$83-O342)</f>
        <v>52.25</v>
      </c>
      <c r="S342" s="1064">
        <v>2.2999999999999998</v>
      </c>
      <c r="T342" s="1064"/>
      <c r="U342" s="1064">
        <f t="shared" si="62"/>
        <v>30</v>
      </c>
      <c r="V342" s="1064">
        <f>U342*('Ввод исходных данных'!$D$83-S342)</f>
        <v>531</v>
      </c>
      <c r="W342" s="1065">
        <v>-12.3</v>
      </c>
      <c r="X342" s="1065"/>
      <c r="Y342" s="1065">
        <f t="shared" si="63"/>
        <v>31</v>
      </c>
      <c r="Z342" s="1065">
        <f>Y342*('Ввод исходных данных'!$D$83-W342)</f>
        <v>1001.3</v>
      </c>
      <c r="AA342" s="1066">
        <v>-32.1</v>
      </c>
      <c r="AB342" s="1066"/>
      <c r="AC342" s="1066">
        <f t="shared" si="64"/>
        <v>30</v>
      </c>
      <c r="AD342" s="1066">
        <f>AC342*('Ввод исходных данных'!$D$83-AA342)</f>
        <v>1563</v>
      </c>
      <c r="AE342" s="1067">
        <v>-38.4</v>
      </c>
      <c r="AF342" s="1067"/>
      <c r="AG342" s="1067">
        <v>31</v>
      </c>
      <c r="AH342" s="1067">
        <f>AG342*('Ввод исходных данных'!$D$83-AE342)</f>
        <v>1810.3999999999999</v>
      </c>
      <c r="AI342" s="1068">
        <v>-41.7</v>
      </c>
      <c r="AJ342" s="1068"/>
      <c r="AK342" s="1068">
        <v>31</v>
      </c>
      <c r="AL342" s="1068">
        <f>AK342*('Ввод исходных данных'!$D$83-AI342)</f>
        <v>1912.7</v>
      </c>
      <c r="AM342" s="1069">
        <v>-38</v>
      </c>
      <c r="AN342" s="1069"/>
      <c r="AO342" s="1069">
        <v>28</v>
      </c>
      <c r="AP342" s="1069">
        <f>AO342*('Ввод исходных данных'!$D$83-AM342)</f>
        <v>1624</v>
      </c>
      <c r="AQ342" s="1064">
        <v>-26</v>
      </c>
      <c r="AR342" s="1064"/>
      <c r="AS342" s="1064">
        <f t="shared" si="65"/>
        <v>31</v>
      </c>
      <c r="AT342" s="1064">
        <f>AS342*('Ввод исходных данных'!$D$83-AQ342)</f>
        <v>1426</v>
      </c>
      <c r="AU342" s="1070">
        <v>-12.2</v>
      </c>
      <c r="AV342" s="1070"/>
      <c r="AW342" s="1070">
        <f t="shared" si="66"/>
        <v>30</v>
      </c>
      <c r="AX342" s="1070">
        <f>AW342*('Ввод исходных данных'!$D$83-AU342)</f>
        <v>966.00000000000011</v>
      </c>
      <c r="AY342" s="1071">
        <v>0.1</v>
      </c>
      <c r="AZ342" s="1071"/>
      <c r="BA342" s="1071">
        <f t="shared" si="67"/>
        <v>31</v>
      </c>
      <c r="BB342" s="1071">
        <f>BA342*('Ввод исходных данных'!$D$83-AY342)</f>
        <v>616.9</v>
      </c>
      <c r="BC342" s="1072">
        <v>11.2</v>
      </c>
      <c r="BD342" s="1072"/>
      <c r="BE342" s="1072">
        <f t="shared" si="59"/>
        <v>5.5</v>
      </c>
      <c r="BF342" s="1073">
        <f>BE342*('Ввод исходных данных'!$D$83-BC342)</f>
        <v>48.400000000000006</v>
      </c>
    </row>
    <row r="343" spans="2:58" ht="15.75" customHeight="1" x14ac:dyDescent="0.25">
      <c r="B343" s="1052" t="s">
        <v>336</v>
      </c>
      <c r="C343" s="1052" t="s">
        <v>366</v>
      </c>
      <c r="D343" s="1053" t="str">
        <f t="shared" si="68"/>
        <v>Республика Саха (Якутия)Сюльдюкар</v>
      </c>
      <c r="E343" s="1054">
        <v>270</v>
      </c>
      <c r="F343" s="1055">
        <v>-18</v>
      </c>
      <c r="G343" s="1055">
        <v>-53</v>
      </c>
      <c r="H343" s="1057">
        <f>H342</f>
        <v>2.6</v>
      </c>
      <c r="I343" s="1058">
        <f>E343*('Ввод исходных данных'!$D$83-F343)</f>
        <v>10260</v>
      </c>
      <c r="J343" s="1059" t="str">
        <f t="shared" si="58"/>
        <v>10000-11000</v>
      </c>
      <c r="K343" s="1060">
        <v>16.399999999999999</v>
      </c>
      <c r="L343" s="1060"/>
      <c r="M343" s="1061">
        <f t="shared" si="60"/>
        <v>0</v>
      </c>
      <c r="N343" s="1062">
        <f>M343*('Ввод исходных данных'!$D$83-K343)</f>
        <v>0</v>
      </c>
      <c r="O343" s="1063">
        <v>12.6</v>
      </c>
      <c r="P343" s="1063"/>
      <c r="Q343" s="1063">
        <f t="shared" si="61"/>
        <v>0</v>
      </c>
      <c r="R343" s="1063">
        <f>Q343*('Ввод исходных данных'!$D$83-O343)</f>
        <v>0</v>
      </c>
      <c r="S343" s="1064">
        <v>4.5</v>
      </c>
      <c r="T343" s="1064"/>
      <c r="U343" s="1064">
        <f t="shared" si="62"/>
        <v>29</v>
      </c>
      <c r="V343" s="1064">
        <f>U343*('Ввод исходных данных'!$D$83-S343)</f>
        <v>449.5</v>
      </c>
      <c r="W343" s="1065">
        <v>-7.4</v>
      </c>
      <c r="X343" s="1065"/>
      <c r="Y343" s="1065">
        <f t="shared" si="63"/>
        <v>31</v>
      </c>
      <c r="Z343" s="1065">
        <f>Y343*('Ввод исходных данных'!$D$83-W343)</f>
        <v>849.4</v>
      </c>
      <c r="AA343" s="1066">
        <v>-26.9</v>
      </c>
      <c r="AB343" s="1066"/>
      <c r="AC343" s="1066">
        <f t="shared" si="64"/>
        <v>30</v>
      </c>
      <c r="AD343" s="1066">
        <f>AC343*('Ввод исходных данных'!$D$83-AA343)</f>
        <v>1407</v>
      </c>
      <c r="AE343" s="1067">
        <v>-35.1</v>
      </c>
      <c r="AF343" s="1067"/>
      <c r="AG343" s="1067">
        <v>31</v>
      </c>
      <c r="AH343" s="1067">
        <f>AG343*('Ввод исходных данных'!$D$83-AE343)</f>
        <v>1708.1000000000001</v>
      </c>
      <c r="AI343" s="1068">
        <v>-37.6</v>
      </c>
      <c r="AJ343" s="1068"/>
      <c r="AK343" s="1068">
        <v>31</v>
      </c>
      <c r="AL343" s="1068">
        <f>AK343*('Ввод исходных данных'!$D$83-AI343)</f>
        <v>1785.6000000000001</v>
      </c>
      <c r="AM343" s="1069">
        <v>-33.799999999999997</v>
      </c>
      <c r="AN343" s="1069"/>
      <c r="AO343" s="1069">
        <v>28</v>
      </c>
      <c r="AP343" s="1069">
        <f>AO343*('Ввод исходных данных'!$D$83-AM343)</f>
        <v>1506.3999999999999</v>
      </c>
      <c r="AQ343" s="1064">
        <v>-21.2</v>
      </c>
      <c r="AR343" s="1064"/>
      <c r="AS343" s="1064">
        <f t="shared" si="65"/>
        <v>31</v>
      </c>
      <c r="AT343" s="1064">
        <f>AS343*('Ввод исходных данных'!$D$83-AQ343)</f>
        <v>1277.2</v>
      </c>
      <c r="AU343" s="1070">
        <v>-8.5</v>
      </c>
      <c r="AV343" s="1070"/>
      <c r="AW343" s="1070">
        <f t="shared" si="66"/>
        <v>30</v>
      </c>
      <c r="AX343" s="1070">
        <f>AW343*('Ввод исходных данных'!$D$83-AU343)</f>
        <v>855</v>
      </c>
      <c r="AY343" s="1071">
        <v>3.6</v>
      </c>
      <c r="AZ343" s="1071"/>
      <c r="BA343" s="1071">
        <f t="shared" si="67"/>
        <v>29</v>
      </c>
      <c r="BB343" s="1071">
        <f>BA343*('Ввод исходных данных'!$D$83-AY343)</f>
        <v>475.59999999999997</v>
      </c>
      <c r="BC343" s="1072">
        <v>13.2</v>
      </c>
      <c r="BD343" s="1072"/>
      <c r="BE343" s="1072">
        <f t="shared" si="59"/>
        <v>0</v>
      </c>
      <c r="BF343" s="1073">
        <f>BE343*('Ввод исходных данных'!$D$83-BC343)</f>
        <v>0</v>
      </c>
    </row>
    <row r="344" spans="2:58" ht="15.75" customHeight="1" x14ac:dyDescent="0.25">
      <c r="B344" s="1076" t="s">
        <v>336</v>
      </c>
      <c r="C344" s="1076" t="s">
        <v>687</v>
      </c>
      <c r="D344" s="1053" t="str">
        <f t="shared" si="68"/>
        <v>Республика Саха (Якутия)Сюрен-Кюель</v>
      </c>
      <c r="E344" s="1054">
        <v>292</v>
      </c>
      <c r="F344" s="1055">
        <v>-17.399999999999999</v>
      </c>
      <c r="G344" s="1055">
        <v>-46</v>
      </c>
      <c r="H344" s="1057">
        <v>8.6999999999999993</v>
      </c>
      <c r="I344" s="1058">
        <f>E344*('Ввод исходных данных'!$D$83-F344)</f>
        <v>10920.8</v>
      </c>
      <c r="J344" s="1059" t="str">
        <f t="shared" si="58"/>
        <v>10000-11000</v>
      </c>
      <c r="K344" s="1060">
        <v>12.7</v>
      </c>
      <c r="L344" s="1060"/>
      <c r="M344" s="1061">
        <f t="shared" si="60"/>
        <v>0</v>
      </c>
      <c r="N344" s="1062">
        <f>M344*('Ввод исходных данных'!$D$83-K344)</f>
        <v>0</v>
      </c>
      <c r="O344" s="1063">
        <v>9.9</v>
      </c>
      <c r="P344" s="1063"/>
      <c r="Q344" s="1063">
        <f t="shared" si="61"/>
        <v>9.5</v>
      </c>
      <c r="R344" s="1063">
        <f>Q344*('Ввод исходных данных'!$D$83-O344)</f>
        <v>95.95</v>
      </c>
      <c r="S344" s="1064">
        <v>1.7</v>
      </c>
      <c r="T344" s="1064"/>
      <c r="U344" s="1064">
        <f t="shared" si="62"/>
        <v>30</v>
      </c>
      <c r="V344" s="1064">
        <f>U344*('Ввод исходных данных'!$D$83-S344)</f>
        <v>549</v>
      </c>
      <c r="W344" s="1065">
        <v>-12.1</v>
      </c>
      <c r="X344" s="1065"/>
      <c r="Y344" s="1065">
        <f t="shared" si="63"/>
        <v>31</v>
      </c>
      <c r="Z344" s="1065">
        <f>Y344*('Ввод исходных данных'!$D$83-W344)</f>
        <v>995.1</v>
      </c>
      <c r="AA344" s="1066">
        <v>-27.4</v>
      </c>
      <c r="AB344" s="1066"/>
      <c r="AC344" s="1066">
        <f t="shared" si="64"/>
        <v>30</v>
      </c>
      <c r="AD344" s="1066">
        <f>AC344*('Ввод исходных данных'!$D$83-AA344)</f>
        <v>1422</v>
      </c>
      <c r="AE344" s="1067">
        <v>-33.1</v>
      </c>
      <c r="AF344" s="1067"/>
      <c r="AG344" s="1067">
        <v>31</v>
      </c>
      <c r="AH344" s="1067">
        <f>AG344*('Ввод исходных данных'!$D$83-AE344)</f>
        <v>1646.1000000000001</v>
      </c>
      <c r="AI344" s="1068">
        <v>-34.6</v>
      </c>
      <c r="AJ344" s="1068"/>
      <c r="AK344" s="1068">
        <v>31</v>
      </c>
      <c r="AL344" s="1068">
        <f>AK344*('Ввод исходных данных'!$D$83-AI344)</f>
        <v>1692.6000000000001</v>
      </c>
      <c r="AM344" s="1069">
        <v>-32.4</v>
      </c>
      <c r="AN344" s="1069"/>
      <c r="AO344" s="1069">
        <v>28</v>
      </c>
      <c r="AP344" s="1069">
        <f>AO344*('Ввод исходных данных'!$D$83-AM344)</f>
        <v>1467.2</v>
      </c>
      <c r="AQ344" s="1064">
        <v>-23.6</v>
      </c>
      <c r="AR344" s="1064"/>
      <c r="AS344" s="1064">
        <f t="shared" si="65"/>
        <v>31</v>
      </c>
      <c r="AT344" s="1064">
        <f>AS344*('Ввод исходных данных'!$D$83-AQ344)</f>
        <v>1351.6000000000001</v>
      </c>
      <c r="AU344" s="1070">
        <v>-12.7</v>
      </c>
      <c r="AV344" s="1070"/>
      <c r="AW344" s="1070">
        <f t="shared" si="66"/>
        <v>30</v>
      </c>
      <c r="AX344" s="1070">
        <f>AW344*('Ввод исходных данных'!$D$83-AU344)</f>
        <v>981.00000000000011</v>
      </c>
      <c r="AY344" s="1071">
        <v>-0.2</v>
      </c>
      <c r="AZ344" s="1071"/>
      <c r="BA344" s="1071">
        <f t="shared" si="67"/>
        <v>31</v>
      </c>
      <c r="BB344" s="1071">
        <f>BA344*('Ввод исходных данных'!$D$83-AY344)</f>
        <v>626.19999999999993</v>
      </c>
      <c r="BC344" s="1072">
        <v>9.3000000000000007</v>
      </c>
      <c r="BD344" s="1072"/>
      <c r="BE344" s="1072">
        <f t="shared" si="59"/>
        <v>9.5</v>
      </c>
      <c r="BF344" s="1073">
        <f>BE344*('Ввод исходных данных'!$D$83-BC344)</f>
        <v>101.64999999999999</v>
      </c>
    </row>
    <row r="345" spans="2:58" ht="15.75" customHeight="1" x14ac:dyDescent="0.25">
      <c r="B345" s="1052" t="s">
        <v>336</v>
      </c>
      <c r="C345" s="1052" t="s">
        <v>367</v>
      </c>
      <c r="D345" s="1053" t="str">
        <f t="shared" si="68"/>
        <v>Республика Саха (Якутия)Токо</v>
      </c>
      <c r="E345" s="1054">
        <v>273</v>
      </c>
      <c r="F345" s="1055">
        <v>-18.899999999999999</v>
      </c>
      <c r="G345" s="1055">
        <v>-51</v>
      </c>
      <c r="H345" s="1057">
        <v>2.5</v>
      </c>
      <c r="I345" s="1058">
        <f>E345*('Ввод исходных данных'!$D$83-F345)</f>
        <v>10619.699999999999</v>
      </c>
      <c r="J345" s="1059" t="str">
        <f t="shared" si="58"/>
        <v>10000-11000</v>
      </c>
      <c r="K345" s="1060">
        <v>14.6</v>
      </c>
      <c r="L345" s="1060"/>
      <c r="M345" s="1061">
        <f t="shared" si="60"/>
        <v>0.5</v>
      </c>
      <c r="N345" s="1062">
        <f>M345*('Ввод исходных данных'!$D$83-K345)</f>
        <v>2.7</v>
      </c>
      <c r="O345" s="1063">
        <v>11.2</v>
      </c>
      <c r="P345" s="1063"/>
      <c r="Q345" s="1063">
        <f t="shared" si="61"/>
        <v>0</v>
      </c>
      <c r="R345" s="1063">
        <f>Q345*('Ввод исходных данных'!$D$83-O345)</f>
        <v>0</v>
      </c>
      <c r="S345" s="1064">
        <v>3.7</v>
      </c>
      <c r="T345" s="1064"/>
      <c r="U345" s="1064">
        <f t="shared" si="62"/>
        <v>30</v>
      </c>
      <c r="V345" s="1064">
        <f>U345*('Ввод исходных данных'!$D$83-S345)</f>
        <v>489</v>
      </c>
      <c r="W345" s="1065">
        <v>-9.1999999999999993</v>
      </c>
      <c r="X345" s="1065"/>
      <c r="Y345" s="1065">
        <f t="shared" si="63"/>
        <v>31</v>
      </c>
      <c r="Z345" s="1065">
        <f>Y345*('Ввод исходных данных'!$D$83-W345)</f>
        <v>905.19999999999993</v>
      </c>
      <c r="AA345" s="1066">
        <v>-27.1</v>
      </c>
      <c r="AB345" s="1066"/>
      <c r="AC345" s="1066">
        <f t="shared" si="64"/>
        <v>30</v>
      </c>
      <c r="AD345" s="1066">
        <f>AC345*('Ввод исходных данных'!$D$83-AA345)</f>
        <v>1413</v>
      </c>
      <c r="AE345" s="1067">
        <v>-36.6</v>
      </c>
      <c r="AF345" s="1067"/>
      <c r="AG345" s="1067">
        <v>31</v>
      </c>
      <c r="AH345" s="1067">
        <f>AG345*('Ввод исходных данных'!$D$83-AE345)</f>
        <v>1754.6000000000001</v>
      </c>
      <c r="AI345" s="1068">
        <v>-38.1</v>
      </c>
      <c r="AJ345" s="1068"/>
      <c r="AK345" s="1068">
        <v>31</v>
      </c>
      <c r="AL345" s="1068">
        <f>AK345*('Ввод исходных данных'!$D$83-AI345)</f>
        <v>1801.1000000000001</v>
      </c>
      <c r="AM345" s="1069">
        <v>-33.299999999999997</v>
      </c>
      <c r="AN345" s="1069"/>
      <c r="AO345" s="1069">
        <v>28</v>
      </c>
      <c r="AP345" s="1069">
        <f>AO345*('Ввод исходных данных'!$D$83-AM345)</f>
        <v>1492.3999999999999</v>
      </c>
      <c r="AQ345" s="1064">
        <v>-21.5</v>
      </c>
      <c r="AR345" s="1064"/>
      <c r="AS345" s="1064">
        <f t="shared" si="65"/>
        <v>31</v>
      </c>
      <c r="AT345" s="1064">
        <f>AS345*('Ввод исходных данных'!$D$83-AQ345)</f>
        <v>1286.5</v>
      </c>
      <c r="AU345" s="1070">
        <v>-7.3</v>
      </c>
      <c r="AV345" s="1070"/>
      <c r="AW345" s="1070">
        <f t="shared" si="66"/>
        <v>30</v>
      </c>
      <c r="AX345" s="1070">
        <f>AW345*('Ввод исходных данных'!$D$83-AU345)</f>
        <v>819</v>
      </c>
      <c r="AY345" s="1071">
        <v>3.9</v>
      </c>
      <c r="AZ345" s="1071"/>
      <c r="BA345" s="1071">
        <f t="shared" si="67"/>
        <v>30.5</v>
      </c>
      <c r="BB345" s="1071">
        <f>BA345*('Ввод исходных данных'!$D$83-AY345)</f>
        <v>491.05000000000007</v>
      </c>
      <c r="BC345" s="1072">
        <v>11.8</v>
      </c>
      <c r="BD345" s="1072"/>
      <c r="BE345" s="1072">
        <f t="shared" si="59"/>
        <v>0</v>
      </c>
      <c r="BF345" s="1073">
        <f>BE345*('Ввод исходных данных'!$D$83-BC345)</f>
        <v>0</v>
      </c>
    </row>
    <row r="346" spans="2:58" ht="15.75" customHeight="1" x14ac:dyDescent="0.25">
      <c r="B346" s="1076" t="s">
        <v>336</v>
      </c>
      <c r="C346" s="1076" t="s">
        <v>368</v>
      </c>
      <c r="D346" s="1053" t="str">
        <f t="shared" si="68"/>
        <v>Республика Саха (Якутия)Томмот</v>
      </c>
      <c r="E346" s="1054">
        <v>262</v>
      </c>
      <c r="F346" s="1055">
        <v>-17.100000000000001</v>
      </c>
      <c r="G346" s="1055">
        <v>-51</v>
      </c>
      <c r="H346" s="1057">
        <f>H345</f>
        <v>2.5</v>
      </c>
      <c r="I346" s="1058">
        <f>E346*('Ввод исходных данных'!$D$83-F346)</f>
        <v>9720.2000000000007</v>
      </c>
      <c r="J346" s="1059" t="str">
        <f t="shared" si="58"/>
        <v>9000-10000</v>
      </c>
      <c r="K346" s="1060">
        <v>17.2</v>
      </c>
      <c r="L346" s="1060"/>
      <c r="M346" s="1061">
        <f t="shared" si="60"/>
        <v>0</v>
      </c>
      <c r="N346" s="1062">
        <f>M346*('Ввод исходных данных'!$D$83-K346)</f>
        <v>0</v>
      </c>
      <c r="O346" s="1063">
        <v>13.5</v>
      </c>
      <c r="P346" s="1063"/>
      <c r="Q346" s="1063">
        <f t="shared" si="61"/>
        <v>0</v>
      </c>
      <c r="R346" s="1063">
        <f>Q346*('Ввод исходных данных'!$D$83-O346)</f>
        <v>0</v>
      </c>
      <c r="S346" s="1064">
        <v>5.5</v>
      </c>
      <c r="T346" s="1064"/>
      <c r="U346" s="1064">
        <f t="shared" si="62"/>
        <v>25</v>
      </c>
      <c r="V346" s="1064">
        <f>U346*('Ввод исходных данных'!$D$83-S346)</f>
        <v>362.5</v>
      </c>
      <c r="W346" s="1065">
        <v>-6.7</v>
      </c>
      <c r="X346" s="1065"/>
      <c r="Y346" s="1065">
        <f t="shared" si="63"/>
        <v>31</v>
      </c>
      <c r="Z346" s="1065">
        <f>Y346*('Ввод исходных данных'!$D$83-W346)</f>
        <v>827.69999999999993</v>
      </c>
      <c r="AA346" s="1066">
        <v>-24.4</v>
      </c>
      <c r="AB346" s="1066"/>
      <c r="AC346" s="1066">
        <f t="shared" si="64"/>
        <v>30</v>
      </c>
      <c r="AD346" s="1066">
        <f>AC346*('Ввод исходных данных'!$D$83-AA346)</f>
        <v>1332</v>
      </c>
      <c r="AE346" s="1067">
        <v>-33.9</v>
      </c>
      <c r="AF346" s="1067"/>
      <c r="AG346" s="1067">
        <v>31</v>
      </c>
      <c r="AH346" s="1067">
        <f>AG346*('Ввод исходных данных'!$D$83-AE346)</f>
        <v>1670.8999999999999</v>
      </c>
      <c r="AI346" s="1068">
        <v>-35.5</v>
      </c>
      <c r="AJ346" s="1068"/>
      <c r="AK346" s="1068">
        <v>31</v>
      </c>
      <c r="AL346" s="1068">
        <f>AK346*('Ввод исходных данных'!$D$83-AI346)</f>
        <v>1720.5</v>
      </c>
      <c r="AM346" s="1069">
        <v>-31.6</v>
      </c>
      <c r="AN346" s="1069"/>
      <c r="AO346" s="1069">
        <v>28</v>
      </c>
      <c r="AP346" s="1069">
        <f>AO346*('Ввод исходных данных'!$D$83-AM346)</f>
        <v>1444.8</v>
      </c>
      <c r="AQ346" s="1064">
        <v>-20</v>
      </c>
      <c r="AR346" s="1064"/>
      <c r="AS346" s="1064">
        <f t="shared" si="65"/>
        <v>31</v>
      </c>
      <c r="AT346" s="1064">
        <f>AS346*('Ввод исходных данных'!$D$83-AQ346)</f>
        <v>1240</v>
      </c>
      <c r="AU346" s="1070">
        <v>-5.8</v>
      </c>
      <c r="AV346" s="1070"/>
      <c r="AW346" s="1070">
        <f t="shared" si="66"/>
        <v>30</v>
      </c>
      <c r="AX346" s="1070">
        <f>AW346*('Ввод исходных данных'!$D$83-AU346)</f>
        <v>774</v>
      </c>
      <c r="AY346" s="1071">
        <v>5.4</v>
      </c>
      <c r="AZ346" s="1071"/>
      <c r="BA346" s="1071">
        <f t="shared" si="67"/>
        <v>25</v>
      </c>
      <c r="BB346" s="1071">
        <f>BA346*('Ввод исходных данных'!$D$83-AY346)</f>
        <v>365</v>
      </c>
      <c r="BC346" s="1072">
        <v>13.7</v>
      </c>
      <c r="BD346" s="1072"/>
      <c r="BE346" s="1072">
        <f t="shared" si="59"/>
        <v>0</v>
      </c>
      <c r="BF346" s="1073">
        <f>BE346*('Ввод исходных данных'!$D$83-BC346)</f>
        <v>0</v>
      </c>
    </row>
    <row r="347" spans="2:58" ht="15.75" customHeight="1" x14ac:dyDescent="0.25">
      <c r="B347" s="1052" t="s">
        <v>336</v>
      </c>
      <c r="C347" s="1052" t="s">
        <v>369</v>
      </c>
      <c r="D347" s="1053" t="str">
        <f t="shared" si="68"/>
        <v>Республика Саха (Якутия)Томпо</v>
      </c>
      <c r="E347" s="1054">
        <v>269</v>
      </c>
      <c r="F347" s="1055">
        <v>-23.3</v>
      </c>
      <c r="G347" s="1055">
        <v>-54</v>
      </c>
      <c r="H347" s="1057">
        <v>2.7</v>
      </c>
      <c r="I347" s="1058">
        <f>E347*('Ввод исходных данных'!$D$83-F347)</f>
        <v>11647.699999999999</v>
      </c>
      <c r="J347" s="1059" t="str">
        <f t="shared" si="58"/>
        <v>11000-12000</v>
      </c>
      <c r="K347" s="1060">
        <v>15.9</v>
      </c>
      <c r="L347" s="1060"/>
      <c r="M347" s="1061">
        <f t="shared" si="60"/>
        <v>0</v>
      </c>
      <c r="N347" s="1062">
        <f>M347*('Ввод исходных данных'!$D$83-K347)</f>
        <v>0</v>
      </c>
      <c r="O347" s="1063">
        <v>11.7</v>
      </c>
      <c r="P347" s="1063"/>
      <c r="Q347" s="1063">
        <f t="shared" si="61"/>
        <v>0</v>
      </c>
      <c r="R347" s="1063">
        <f>Q347*('Ввод исходных данных'!$D$83-O347)</f>
        <v>0</v>
      </c>
      <c r="S347" s="1064">
        <v>3.2</v>
      </c>
      <c r="T347" s="1064"/>
      <c r="U347" s="1064">
        <f t="shared" si="62"/>
        <v>28.5</v>
      </c>
      <c r="V347" s="1064">
        <f>U347*('Ввод исходных данных'!$D$83-S347)</f>
        <v>478.8</v>
      </c>
      <c r="W347" s="1065">
        <v>-13</v>
      </c>
      <c r="X347" s="1065"/>
      <c r="Y347" s="1065">
        <f t="shared" si="63"/>
        <v>31</v>
      </c>
      <c r="Z347" s="1065">
        <f>Y347*('Ввод исходных данных'!$D$83-W347)</f>
        <v>1023</v>
      </c>
      <c r="AA347" s="1066">
        <v>-33.6</v>
      </c>
      <c r="AB347" s="1066"/>
      <c r="AC347" s="1066">
        <f t="shared" si="64"/>
        <v>30</v>
      </c>
      <c r="AD347" s="1066">
        <f>AC347*('Ввод исходных данных'!$D$83-AA347)</f>
        <v>1608</v>
      </c>
      <c r="AE347" s="1067">
        <v>-42.1</v>
      </c>
      <c r="AF347" s="1067"/>
      <c r="AG347" s="1067">
        <v>31</v>
      </c>
      <c r="AH347" s="1067">
        <f>AG347*('Ввод исходных данных'!$D$83-AE347)</f>
        <v>1925.1000000000001</v>
      </c>
      <c r="AI347" s="1068">
        <v>-43.5</v>
      </c>
      <c r="AJ347" s="1068"/>
      <c r="AK347" s="1068">
        <v>31</v>
      </c>
      <c r="AL347" s="1068">
        <f>AK347*('Ввод исходных данных'!$D$83-AI347)</f>
        <v>1968.5</v>
      </c>
      <c r="AM347" s="1069">
        <v>-38.6</v>
      </c>
      <c r="AN347" s="1069"/>
      <c r="AO347" s="1069">
        <v>28</v>
      </c>
      <c r="AP347" s="1069">
        <f>AO347*('Ввод исходных данных'!$D$83-AM347)</f>
        <v>1640.8</v>
      </c>
      <c r="AQ347" s="1064">
        <v>-26.5</v>
      </c>
      <c r="AR347" s="1064"/>
      <c r="AS347" s="1064">
        <f t="shared" si="65"/>
        <v>31</v>
      </c>
      <c r="AT347" s="1064">
        <f>AS347*('Ввод исходных данных'!$D$83-AQ347)</f>
        <v>1441.5</v>
      </c>
      <c r="AU347" s="1070">
        <v>-10.3</v>
      </c>
      <c r="AV347" s="1070"/>
      <c r="AW347" s="1070">
        <f t="shared" si="66"/>
        <v>30</v>
      </c>
      <c r="AX347" s="1070">
        <f>AW347*('Ввод исходных данных'!$D$83-AU347)</f>
        <v>909</v>
      </c>
      <c r="AY347" s="1071">
        <v>4.0999999999999996</v>
      </c>
      <c r="AZ347" s="1071"/>
      <c r="BA347" s="1071">
        <f t="shared" si="67"/>
        <v>28.5</v>
      </c>
      <c r="BB347" s="1071">
        <f>BA347*('Ввод исходных данных'!$D$83-AY347)</f>
        <v>453.15000000000003</v>
      </c>
      <c r="BC347" s="1072">
        <v>13.2</v>
      </c>
      <c r="BD347" s="1072"/>
      <c r="BE347" s="1072">
        <f t="shared" si="59"/>
        <v>0</v>
      </c>
      <c r="BF347" s="1073">
        <f>BE347*('Ввод исходных данных'!$D$83-BC347)</f>
        <v>0</v>
      </c>
    </row>
    <row r="348" spans="2:58" ht="15.75" customHeight="1" x14ac:dyDescent="0.25">
      <c r="B348" s="1076" t="s">
        <v>336</v>
      </c>
      <c r="C348" s="1076" t="s">
        <v>688</v>
      </c>
      <c r="D348" s="1053" t="str">
        <f t="shared" si="68"/>
        <v>Республика Саха (Якутия)Туой-Хая</v>
      </c>
      <c r="E348" s="1054">
        <v>266</v>
      </c>
      <c r="F348" s="1055">
        <v>-15.8</v>
      </c>
      <c r="G348" s="1055">
        <v>-52</v>
      </c>
      <c r="H348" s="1057">
        <v>3</v>
      </c>
      <c r="I348" s="1058">
        <f>E348*('Ввод исходных данных'!$D$83-F348)</f>
        <v>9522.7999999999993</v>
      </c>
      <c r="J348" s="1059" t="str">
        <f t="shared" si="58"/>
        <v>9000-10000</v>
      </c>
      <c r="K348" s="1060">
        <v>16.5</v>
      </c>
      <c r="L348" s="1060"/>
      <c r="M348" s="1061">
        <f t="shared" si="60"/>
        <v>0</v>
      </c>
      <c r="N348" s="1062">
        <f>M348*('Ввод исходных данных'!$D$83-K348)</f>
        <v>0</v>
      </c>
      <c r="O348" s="1063">
        <v>13</v>
      </c>
      <c r="P348" s="1063"/>
      <c r="Q348" s="1063">
        <f t="shared" si="61"/>
        <v>0</v>
      </c>
      <c r="R348" s="1063">
        <f>Q348*('Ввод исходных данных'!$D$83-O348)</f>
        <v>0</v>
      </c>
      <c r="S348" s="1064">
        <v>5.4</v>
      </c>
      <c r="T348" s="1064"/>
      <c r="U348" s="1064">
        <f t="shared" si="62"/>
        <v>27</v>
      </c>
      <c r="V348" s="1064">
        <f>U348*('Ввод исходных данных'!$D$83-S348)</f>
        <v>394.2</v>
      </c>
      <c r="W348" s="1065">
        <v>-6.3</v>
      </c>
      <c r="X348" s="1065"/>
      <c r="Y348" s="1065">
        <f t="shared" si="63"/>
        <v>31</v>
      </c>
      <c r="Z348" s="1065">
        <f>Y348*('Ввод исходных данных'!$D$83-W348)</f>
        <v>815.30000000000007</v>
      </c>
      <c r="AA348" s="1066">
        <v>-23.6</v>
      </c>
      <c r="AB348" s="1066"/>
      <c r="AC348" s="1066">
        <f t="shared" si="64"/>
        <v>30</v>
      </c>
      <c r="AD348" s="1066">
        <f>AC348*('Ввод исходных данных'!$D$83-AA348)</f>
        <v>1308</v>
      </c>
      <c r="AE348" s="1067">
        <v>-31.2</v>
      </c>
      <c r="AF348" s="1067"/>
      <c r="AG348" s="1067">
        <v>31</v>
      </c>
      <c r="AH348" s="1067">
        <f>AG348*('Ввод исходных данных'!$D$83-AE348)</f>
        <v>1587.2</v>
      </c>
      <c r="AI348" s="1068">
        <v>-33.200000000000003</v>
      </c>
      <c r="AJ348" s="1068"/>
      <c r="AK348" s="1068">
        <v>31</v>
      </c>
      <c r="AL348" s="1068">
        <f>AK348*('Ввод исходных данных'!$D$83-AI348)</f>
        <v>1649.2</v>
      </c>
      <c r="AM348" s="1069">
        <v>-29.3</v>
      </c>
      <c r="AN348" s="1069"/>
      <c r="AO348" s="1069">
        <v>28</v>
      </c>
      <c r="AP348" s="1069">
        <f>AO348*('Ввод исходных данных'!$D$83-AM348)</f>
        <v>1380.3999999999999</v>
      </c>
      <c r="AQ348" s="1064">
        <v>-18.8</v>
      </c>
      <c r="AR348" s="1064"/>
      <c r="AS348" s="1064">
        <f t="shared" si="65"/>
        <v>31</v>
      </c>
      <c r="AT348" s="1064">
        <f>AS348*('Ввод исходных данных'!$D$83-AQ348)</f>
        <v>1202.8</v>
      </c>
      <c r="AU348" s="1070">
        <v>-6.4</v>
      </c>
      <c r="AV348" s="1070"/>
      <c r="AW348" s="1070">
        <f t="shared" si="66"/>
        <v>30</v>
      </c>
      <c r="AX348" s="1070">
        <f>AW348*('Ввод исходных данных'!$D$83-AU348)</f>
        <v>792</v>
      </c>
      <c r="AY348" s="1071">
        <v>4.3</v>
      </c>
      <c r="AZ348" s="1071"/>
      <c r="BA348" s="1071">
        <f t="shared" si="67"/>
        <v>27</v>
      </c>
      <c r="BB348" s="1071">
        <f>BA348*('Ввод исходных данных'!$D$83-AY348)</f>
        <v>423.9</v>
      </c>
      <c r="BC348" s="1072">
        <v>13.3</v>
      </c>
      <c r="BD348" s="1072"/>
      <c r="BE348" s="1072">
        <f t="shared" si="59"/>
        <v>0</v>
      </c>
      <c r="BF348" s="1073">
        <f>BE348*('Ввод исходных данных'!$D$83-BC348)</f>
        <v>0</v>
      </c>
    </row>
    <row r="349" spans="2:58" ht="15.75" customHeight="1" x14ac:dyDescent="0.25">
      <c r="B349" s="1052" t="s">
        <v>336</v>
      </c>
      <c r="C349" s="1052" t="s">
        <v>370</v>
      </c>
      <c r="D349" s="1053" t="str">
        <f t="shared" si="68"/>
        <v>Республика Саха (Якутия)Тяня</v>
      </c>
      <c r="E349" s="1054">
        <v>262</v>
      </c>
      <c r="F349" s="1055">
        <v>-15.7</v>
      </c>
      <c r="G349" s="1055">
        <v>-50</v>
      </c>
      <c r="H349" s="1057">
        <f>H348</f>
        <v>3</v>
      </c>
      <c r="I349" s="1058">
        <f>E349*('Ввод исходных данных'!$D$83-F349)</f>
        <v>9353.4000000000015</v>
      </c>
      <c r="J349" s="1059" t="str">
        <f t="shared" si="58"/>
        <v>9000-10000</v>
      </c>
      <c r="K349" s="1060">
        <v>17</v>
      </c>
      <c r="L349" s="1060"/>
      <c r="M349" s="1061">
        <f t="shared" si="60"/>
        <v>0</v>
      </c>
      <c r="N349" s="1062">
        <f>M349*('Ввод исходных данных'!$D$83-K349)</f>
        <v>0</v>
      </c>
      <c r="O349" s="1063">
        <v>13.2</v>
      </c>
      <c r="P349" s="1063"/>
      <c r="Q349" s="1063">
        <f t="shared" si="61"/>
        <v>0</v>
      </c>
      <c r="R349" s="1063">
        <f>Q349*('Ввод исходных данных'!$D$83-O349)</f>
        <v>0</v>
      </c>
      <c r="S349" s="1064">
        <v>5.0999999999999996</v>
      </c>
      <c r="T349" s="1064"/>
      <c r="U349" s="1064">
        <f t="shared" si="62"/>
        <v>25</v>
      </c>
      <c r="V349" s="1064">
        <f>U349*('Ввод исходных данных'!$D$83-S349)</f>
        <v>372.5</v>
      </c>
      <c r="W349" s="1065">
        <v>-5.9</v>
      </c>
      <c r="X349" s="1065"/>
      <c r="Y349" s="1065">
        <f t="shared" si="63"/>
        <v>31</v>
      </c>
      <c r="Z349" s="1065">
        <f>Y349*('Ввод исходных данных'!$D$83-W349)</f>
        <v>802.9</v>
      </c>
      <c r="AA349" s="1066">
        <v>-22.6</v>
      </c>
      <c r="AB349" s="1066"/>
      <c r="AC349" s="1066">
        <f t="shared" si="64"/>
        <v>30</v>
      </c>
      <c r="AD349" s="1066">
        <f>AC349*('Ввод исходных данных'!$D$83-AA349)</f>
        <v>1278</v>
      </c>
      <c r="AE349" s="1067">
        <v>-32.200000000000003</v>
      </c>
      <c r="AF349" s="1067"/>
      <c r="AG349" s="1067">
        <v>31</v>
      </c>
      <c r="AH349" s="1067">
        <f>AG349*('Ввод исходных данных'!$D$83-AE349)</f>
        <v>1618.2</v>
      </c>
      <c r="AI349" s="1068">
        <v>-33.1</v>
      </c>
      <c r="AJ349" s="1068"/>
      <c r="AK349" s="1068">
        <v>31</v>
      </c>
      <c r="AL349" s="1068">
        <f>AK349*('Ввод исходных данных'!$D$83-AI349)</f>
        <v>1646.1000000000001</v>
      </c>
      <c r="AM349" s="1069">
        <v>-29.9</v>
      </c>
      <c r="AN349" s="1069"/>
      <c r="AO349" s="1069">
        <v>28</v>
      </c>
      <c r="AP349" s="1069">
        <f>AO349*('Ввод исходных данных'!$D$83-AM349)</f>
        <v>1397.2</v>
      </c>
      <c r="AQ349" s="1064">
        <v>-18.2</v>
      </c>
      <c r="AR349" s="1064"/>
      <c r="AS349" s="1064">
        <f t="shared" si="65"/>
        <v>31</v>
      </c>
      <c r="AT349" s="1064">
        <f>AS349*('Ввод исходных данных'!$D$83-AQ349)</f>
        <v>1184.2</v>
      </c>
      <c r="AU349" s="1070">
        <v>-4.5</v>
      </c>
      <c r="AV349" s="1070"/>
      <c r="AW349" s="1070">
        <f t="shared" si="66"/>
        <v>30</v>
      </c>
      <c r="AX349" s="1070">
        <f>AW349*('Ввод исходных данных'!$D$83-AU349)</f>
        <v>735</v>
      </c>
      <c r="AY349" s="1071">
        <v>5.7</v>
      </c>
      <c r="AZ349" s="1071"/>
      <c r="BA349" s="1071">
        <f t="shared" si="67"/>
        <v>25</v>
      </c>
      <c r="BB349" s="1071">
        <f>BA349*('Ввод исходных данных'!$D$83-AY349)</f>
        <v>357.5</v>
      </c>
      <c r="BC349" s="1072">
        <v>13.6</v>
      </c>
      <c r="BD349" s="1072"/>
      <c r="BE349" s="1072">
        <f t="shared" si="59"/>
        <v>0</v>
      </c>
      <c r="BF349" s="1073">
        <f>BE349*('Ввод исходных данных'!$D$83-BC349)</f>
        <v>0</v>
      </c>
    </row>
    <row r="350" spans="2:58" ht="15.75" customHeight="1" x14ac:dyDescent="0.25">
      <c r="B350" s="1076" t="s">
        <v>336</v>
      </c>
      <c r="C350" s="1076" t="s">
        <v>371</v>
      </c>
      <c r="D350" s="1053" t="str">
        <f t="shared" si="68"/>
        <v>Республика Саха (Якутия)Усть-Мая</v>
      </c>
      <c r="E350" s="1054">
        <v>251</v>
      </c>
      <c r="F350" s="1055">
        <v>-20.8</v>
      </c>
      <c r="G350" s="1055">
        <v>-52</v>
      </c>
      <c r="H350" s="1057">
        <v>1.5</v>
      </c>
      <c r="I350" s="1058">
        <f>E350*('Ввод исходных данных'!$D$83-F350)</f>
        <v>10240.799999999999</v>
      </c>
      <c r="J350" s="1059" t="str">
        <f t="shared" si="58"/>
        <v>10000-11000</v>
      </c>
      <c r="K350" s="1060">
        <v>18.2</v>
      </c>
      <c r="L350" s="1060"/>
      <c r="M350" s="1061">
        <f t="shared" si="60"/>
        <v>0</v>
      </c>
      <c r="N350" s="1062">
        <f>M350*('Ввод исходных данных'!$D$83-K350)</f>
        <v>0</v>
      </c>
      <c r="O350" s="1063">
        <v>14.4</v>
      </c>
      <c r="P350" s="1063"/>
      <c r="Q350" s="1063">
        <f t="shared" si="61"/>
        <v>0</v>
      </c>
      <c r="R350" s="1063">
        <f>Q350*('Ввод исходных данных'!$D$83-O350)</f>
        <v>0</v>
      </c>
      <c r="S350" s="1064">
        <v>6.1</v>
      </c>
      <c r="T350" s="1064"/>
      <c r="U350" s="1064">
        <f t="shared" si="62"/>
        <v>19.5</v>
      </c>
      <c r="V350" s="1064">
        <f>U350*('Ввод исходных данных'!$D$83-S350)</f>
        <v>271.05</v>
      </c>
      <c r="W350" s="1065">
        <v>-7.4</v>
      </c>
      <c r="X350" s="1065"/>
      <c r="Y350" s="1065">
        <f t="shared" si="63"/>
        <v>31</v>
      </c>
      <c r="Z350" s="1065">
        <f>Y350*('Ввод исходных данных'!$D$83-W350)</f>
        <v>849.4</v>
      </c>
      <c r="AA350" s="1066">
        <v>-27.6</v>
      </c>
      <c r="AB350" s="1066"/>
      <c r="AC350" s="1066">
        <f t="shared" si="64"/>
        <v>30</v>
      </c>
      <c r="AD350" s="1066">
        <f>AC350*('Ввод исходных данных'!$D$83-AA350)</f>
        <v>1428</v>
      </c>
      <c r="AE350" s="1067">
        <v>-38.799999999999997</v>
      </c>
      <c r="AF350" s="1067"/>
      <c r="AG350" s="1067">
        <v>31</v>
      </c>
      <c r="AH350" s="1067">
        <f>AG350*('Ввод исходных данных'!$D$83-AE350)</f>
        <v>1822.8</v>
      </c>
      <c r="AI350" s="1068">
        <v>-40.299999999999997</v>
      </c>
      <c r="AJ350" s="1068"/>
      <c r="AK350" s="1068">
        <v>31</v>
      </c>
      <c r="AL350" s="1068">
        <f>AK350*('Ввод исходных данных'!$D$83-AI350)</f>
        <v>1869.3</v>
      </c>
      <c r="AM350" s="1069">
        <v>-34.9</v>
      </c>
      <c r="AN350" s="1069"/>
      <c r="AO350" s="1069">
        <v>28</v>
      </c>
      <c r="AP350" s="1069">
        <f>AO350*('Ввод исходных данных'!$D$83-AM350)</f>
        <v>1537.2</v>
      </c>
      <c r="AQ350" s="1064">
        <v>-20.100000000000001</v>
      </c>
      <c r="AR350" s="1064"/>
      <c r="AS350" s="1064">
        <f t="shared" si="65"/>
        <v>31</v>
      </c>
      <c r="AT350" s="1064">
        <f>AS350*('Ввод исходных данных'!$D$83-AQ350)</f>
        <v>1243.1000000000001</v>
      </c>
      <c r="AU350" s="1070">
        <v>-4</v>
      </c>
      <c r="AV350" s="1070"/>
      <c r="AW350" s="1070">
        <f t="shared" si="66"/>
        <v>30</v>
      </c>
      <c r="AX350" s="1070">
        <f>AW350*('Ввод исходных данных'!$D$83-AU350)</f>
        <v>720</v>
      </c>
      <c r="AY350" s="1071">
        <v>7.4</v>
      </c>
      <c r="AZ350" s="1071"/>
      <c r="BA350" s="1071">
        <f t="shared" si="67"/>
        <v>19.5</v>
      </c>
      <c r="BB350" s="1071">
        <f>BA350*('Ввод исходных данных'!$D$83-AY350)</f>
        <v>245.7</v>
      </c>
      <c r="BC350" s="1072">
        <v>15.5</v>
      </c>
      <c r="BD350" s="1072"/>
      <c r="BE350" s="1072">
        <f t="shared" si="59"/>
        <v>0</v>
      </c>
      <c r="BF350" s="1073">
        <f>BE350*('Ввод исходных данных'!$D$83-BC350)</f>
        <v>0</v>
      </c>
    </row>
    <row r="351" spans="2:58" ht="15.75" customHeight="1" x14ac:dyDescent="0.25">
      <c r="B351" s="1052" t="s">
        <v>336</v>
      </c>
      <c r="C351" s="1052" t="s">
        <v>372</v>
      </c>
      <c r="D351" s="1053" t="str">
        <f t="shared" si="68"/>
        <v>Республика Саха (Якутия)Усть-Миль</v>
      </c>
      <c r="E351" s="1054">
        <v>259</v>
      </c>
      <c r="F351" s="1055">
        <v>-18.899999999999999</v>
      </c>
      <c r="G351" s="1055">
        <v>-51</v>
      </c>
      <c r="H351" s="1057">
        <f>H350</f>
        <v>1.5</v>
      </c>
      <c r="I351" s="1058">
        <f>E351*('Ввод исходных данных'!$D$83-F351)</f>
        <v>10075.1</v>
      </c>
      <c r="J351" s="1059" t="str">
        <f t="shared" si="58"/>
        <v>10000-11000</v>
      </c>
      <c r="K351" s="1060">
        <v>17.2</v>
      </c>
      <c r="L351" s="1060"/>
      <c r="M351" s="1061">
        <f t="shared" si="60"/>
        <v>0</v>
      </c>
      <c r="N351" s="1062">
        <f>M351*('Ввод исходных данных'!$D$83-K351)</f>
        <v>0</v>
      </c>
      <c r="O351" s="1063">
        <v>13.9</v>
      </c>
      <c r="P351" s="1063"/>
      <c r="Q351" s="1063">
        <f t="shared" si="61"/>
        <v>0</v>
      </c>
      <c r="R351" s="1063">
        <f>Q351*('Ввод исходных данных'!$D$83-O351)</f>
        <v>0</v>
      </c>
      <c r="S351" s="1064">
        <v>5.5</v>
      </c>
      <c r="T351" s="1064"/>
      <c r="U351" s="1064">
        <f t="shared" si="62"/>
        <v>23.5</v>
      </c>
      <c r="V351" s="1064">
        <f>U351*('Ввод исходных данных'!$D$83-S351)</f>
        <v>340.75</v>
      </c>
      <c r="W351" s="1065">
        <v>-7.3</v>
      </c>
      <c r="X351" s="1065"/>
      <c r="Y351" s="1065">
        <f t="shared" si="63"/>
        <v>31</v>
      </c>
      <c r="Z351" s="1065">
        <f>Y351*('Ввод исходных данных'!$D$83-W351)</f>
        <v>846.30000000000007</v>
      </c>
      <c r="AA351" s="1066">
        <v>-27</v>
      </c>
      <c r="AB351" s="1066"/>
      <c r="AC351" s="1066">
        <f t="shared" si="64"/>
        <v>30</v>
      </c>
      <c r="AD351" s="1066">
        <f>AC351*('Ввод исходных данных'!$D$83-AA351)</f>
        <v>1410</v>
      </c>
      <c r="AE351" s="1067">
        <v>-37.700000000000003</v>
      </c>
      <c r="AF351" s="1067"/>
      <c r="AG351" s="1067">
        <v>31</v>
      </c>
      <c r="AH351" s="1067">
        <f>AG351*('Ввод исходных данных'!$D$83-AE351)</f>
        <v>1788.7</v>
      </c>
      <c r="AI351" s="1068">
        <v>-39.6</v>
      </c>
      <c r="AJ351" s="1068"/>
      <c r="AK351" s="1068">
        <v>31</v>
      </c>
      <c r="AL351" s="1068">
        <f>AK351*('Ввод исходных данных'!$D$83-AI351)</f>
        <v>1847.6000000000001</v>
      </c>
      <c r="AM351" s="1069">
        <v>-34.200000000000003</v>
      </c>
      <c r="AN351" s="1069"/>
      <c r="AO351" s="1069">
        <v>28</v>
      </c>
      <c r="AP351" s="1069">
        <f>AO351*('Ввод исходных данных'!$D$83-AM351)</f>
        <v>1517.6000000000001</v>
      </c>
      <c r="AQ351" s="1064">
        <v>-21</v>
      </c>
      <c r="AR351" s="1064"/>
      <c r="AS351" s="1064">
        <f t="shared" si="65"/>
        <v>31</v>
      </c>
      <c r="AT351" s="1064">
        <f>AS351*('Ввод исходных данных'!$D$83-AQ351)</f>
        <v>1271</v>
      </c>
      <c r="AU351" s="1070">
        <v>-5.2</v>
      </c>
      <c r="AV351" s="1070"/>
      <c r="AW351" s="1070">
        <f t="shared" si="66"/>
        <v>30</v>
      </c>
      <c r="AX351" s="1070">
        <f>AW351*('Ввод исходных данных'!$D$83-AU351)</f>
        <v>756</v>
      </c>
      <c r="AY351" s="1071">
        <v>6.1</v>
      </c>
      <c r="AZ351" s="1071"/>
      <c r="BA351" s="1071">
        <f t="shared" si="67"/>
        <v>23.5</v>
      </c>
      <c r="BB351" s="1071">
        <f>BA351*('Ввод исходных данных'!$D$83-AY351)</f>
        <v>326.65000000000003</v>
      </c>
      <c r="BC351" s="1072">
        <v>13.9</v>
      </c>
      <c r="BD351" s="1072"/>
      <c r="BE351" s="1072">
        <f t="shared" si="59"/>
        <v>0</v>
      </c>
      <c r="BF351" s="1073">
        <f>BE351*('Ввод исходных данных'!$D$83-BC351)</f>
        <v>0</v>
      </c>
    </row>
    <row r="352" spans="2:58" ht="15.75" customHeight="1" x14ac:dyDescent="0.25">
      <c r="B352" s="1076" t="s">
        <v>336</v>
      </c>
      <c r="C352" s="1076" t="s">
        <v>373</v>
      </c>
      <c r="D352" s="1053" t="str">
        <f t="shared" si="68"/>
        <v>Республика Саха (Якутия)Усть-Мома</v>
      </c>
      <c r="E352" s="1054">
        <v>267</v>
      </c>
      <c r="F352" s="1055">
        <v>-24.1</v>
      </c>
      <c r="G352" s="1055">
        <v>-56</v>
      </c>
      <c r="H352" s="1057">
        <v>2.9</v>
      </c>
      <c r="I352" s="1058">
        <f>E352*('Ввод исходных данных'!$D$83-F352)</f>
        <v>11774.7</v>
      </c>
      <c r="J352" s="1059" t="str">
        <f t="shared" si="58"/>
        <v>11000-12000</v>
      </c>
      <c r="K352" s="1060">
        <v>15.7</v>
      </c>
      <c r="L352" s="1060"/>
      <c r="M352" s="1061">
        <f t="shared" si="60"/>
        <v>0</v>
      </c>
      <c r="N352" s="1062">
        <f>M352*('Ввод исходных данных'!$D$83-K352)</f>
        <v>0</v>
      </c>
      <c r="O352" s="1063">
        <v>11.4</v>
      </c>
      <c r="P352" s="1063"/>
      <c r="Q352" s="1063">
        <f t="shared" si="61"/>
        <v>0</v>
      </c>
      <c r="R352" s="1063">
        <f>Q352*('Ввод исходных данных'!$D$83-O352)</f>
        <v>0</v>
      </c>
      <c r="S352" s="1064">
        <v>3.1</v>
      </c>
      <c r="T352" s="1064"/>
      <c r="U352" s="1064">
        <f t="shared" si="62"/>
        <v>27.5</v>
      </c>
      <c r="V352" s="1064">
        <f>U352*('Ввод исходных данных'!$D$83-S352)</f>
        <v>464.74999999999994</v>
      </c>
      <c r="W352" s="1065">
        <v>-13.9</v>
      </c>
      <c r="X352" s="1065"/>
      <c r="Y352" s="1065">
        <f t="shared" si="63"/>
        <v>31</v>
      </c>
      <c r="Z352" s="1065">
        <f>Y352*('Ввод исходных данных'!$D$83-W352)</f>
        <v>1050.8999999999999</v>
      </c>
      <c r="AA352" s="1066">
        <v>-33.4</v>
      </c>
      <c r="AB352" s="1066"/>
      <c r="AC352" s="1066">
        <f t="shared" si="64"/>
        <v>30</v>
      </c>
      <c r="AD352" s="1066">
        <f>AC352*('Ввод исходных данных'!$D$83-AA352)</f>
        <v>1602</v>
      </c>
      <c r="AE352" s="1067">
        <v>-41.7</v>
      </c>
      <c r="AF352" s="1067"/>
      <c r="AG352" s="1067">
        <v>31</v>
      </c>
      <c r="AH352" s="1067">
        <f>AG352*('Ввод исходных данных'!$D$83-AE352)</f>
        <v>1912.7</v>
      </c>
      <c r="AI352" s="1068">
        <v>-43.4</v>
      </c>
      <c r="AJ352" s="1068"/>
      <c r="AK352" s="1068">
        <v>31</v>
      </c>
      <c r="AL352" s="1068">
        <f>AK352*('Ввод исходных данных'!$D$83-AI352)</f>
        <v>1965.3999999999999</v>
      </c>
      <c r="AM352" s="1069">
        <v>-39.4</v>
      </c>
      <c r="AN352" s="1069"/>
      <c r="AO352" s="1069">
        <v>28</v>
      </c>
      <c r="AP352" s="1069">
        <f>AO352*('Ввод исходных данных'!$D$83-AM352)</f>
        <v>1663.2</v>
      </c>
      <c r="AQ352" s="1064">
        <v>-28.1</v>
      </c>
      <c r="AR352" s="1064"/>
      <c r="AS352" s="1064">
        <f t="shared" si="65"/>
        <v>31</v>
      </c>
      <c r="AT352" s="1064">
        <f>AS352*('Ввод исходных данных'!$D$83-AQ352)</f>
        <v>1491.1000000000001</v>
      </c>
      <c r="AU352" s="1070">
        <v>-12.2</v>
      </c>
      <c r="AV352" s="1070"/>
      <c r="AW352" s="1070">
        <f t="shared" si="66"/>
        <v>30</v>
      </c>
      <c r="AX352" s="1070">
        <f>AW352*('Ввод исходных данных'!$D$83-AU352)</f>
        <v>966.00000000000011</v>
      </c>
      <c r="AY352" s="1071">
        <v>4</v>
      </c>
      <c r="AZ352" s="1071"/>
      <c r="BA352" s="1071">
        <f t="shared" si="67"/>
        <v>27.5</v>
      </c>
      <c r="BB352" s="1071">
        <f>BA352*('Ввод исходных данных'!$D$83-AY352)</f>
        <v>440</v>
      </c>
      <c r="BC352" s="1072">
        <v>13.5</v>
      </c>
      <c r="BD352" s="1072"/>
      <c r="BE352" s="1072">
        <f t="shared" si="59"/>
        <v>0</v>
      </c>
      <c r="BF352" s="1073">
        <f>BE352*('Ввод исходных данных'!$D$83-BC352)</f>
        <v>0</v>
      </c>
    </row>
    <row r="353" spans="2:58" ht="15.75" customHeight="1" x14ac:dyDescent="0.25">
      <c r="B353" s="1052" t="s">
        <v>336</v>
      </c>
      <c r="C353" s="1052" t="s">
        <v>343</v>
      </c>
      <c r="D353" s="1053" t="str">
        <f t="shared" si="68"/>
        <v>Республика Саха (Якутия)Чульман</v>
      </c>
      <c r="E353" s="1054">
        <v>266</v>
      </c>
      <c r="F353" s="1055">
        <v>-15.4</v>
      </c>
      <c r="G353" s="1055">
        <v>-44</v>
      </c>
      <c r="H353" s="1057">
        <v>3.6</v>
      </c>
      <c r="I353" s="1058">
        <f>E353*('Ввод исходных данных'!$D$83-F353)</f>
        <v>9416.4</v>
      </c>
      <c r="J353" s="1059" t="str">
        <f t="shared" si="58"/>
        <v>9000-10000</v>
      </c>
      <c r="K353" s="1060">
        <v>16</v>
      </c>
      <c r="L353" s="1060"/>
      <c r="M353" s="1061">
        <f t="shared" si="60"/>
        <v>0</v>
      </c>
      <c r="N353" s="1062">
        <f>M353*('Ввод исходных данных'!$D$83-K353)</f>
        <v>0</v>
      </c>
      <c r="O353" s="1063">
        <v>12.9</v>
      </c>
      <c r="P353" s="1063"/>
      <c r="Q353" s="1063">
        <f t="shared" si="61"/>
        <v>0</v>
      </c>
      <c r="R353" s="1063">
        <f>Q353*('Ввод исходных данных'!$D$83-O353)</f>
        <v>0</v>
      </c>
      <c r="S353" s="1064">
        <v>4.5</v>
      </c>
      <c r="T353" s="1064"/>
      <c r="U353" s="1064">
        <f t="shared" si="62"/>
        <v>27</v>
      </c>
      <c r="V353" s="1064">
        <f>U353*('Ввод исходных данных'!$D$83-S353)</f>
        <v>418.5</v>
      </c>
      <c r="W353" s="1065">
        <v>-7.3</v>
      </c>
      <c r="X353" s="1065"/>
      <c r="Y353" s="1065">
        <f t="shared" si="63"/>
        <v>31</v>
      </c>
      <c r="Z353" s="1065">
        <f>Y353*('Ввод исходных данных'!$D$83-W353)</f>
        <v>846.30000000000007</v>
      </c>
      <c r="AA353" s="1066">
        <v>-21.4</v>
      </c>
      <c r="AB353" s="1066"/>
      <c r="AC353" s="1066">
        <f t="shared" si="64"/>
        <v>30</v>
      </c>
      <c r="AD353" s="1066">
        <f>AC353*('Ввод исходных данных'!$D$83-AA353)</f>
        <v>1242</v>
      </c>
      <c r="AE353" s="1067">
        <v>-30</v>
      </c>
      <c r="AF353" s="1067"/>
      <c r="AG353" s="1067">
        <v>31</v>
      </c>
      <c r="AH353" s="1067">
        <f>AG353*('Ввод исходных данных'!$D$83-AE353)</f>
        <v>1550</v>
      </c>
      <c r="AI353" s="1068">
        <v>-31.1</v>
      </c>
      <c r="AJ353" s="1068"/>
      <c r="AK353" s="1068">
        <v>31</v>
      </c>
      <c r="AL353" s="1068">
        <f>AK353*('Ввод исходных данных'!$D$83-AI353)</f>
        <v>1584.1000000000001</v>
      </c>
      <c r="AM353" s="1069">
        <v>-26.3</v>
      </c>
      <c r="AN353" s="1069"/>
      <c r="AO353" s="1069">
        <v>28</v>
      </c>
      <c r="AP353" s="1069">
        <f>AO353*('Ввод исходных данных'!$D$83-AM353)</f>
        <v>1296.3999999999999</v>
      </c>
      <c r="AQ353" s="1064">
        <v>-16.2</v>
      </c>
      <c r="AR353" s="1064"/>
      <c r="AS353" s="1064">
        <f t="shared" si="65"/>
        <v>31</v>
      </c>
      <c r="AT353" s="1064">
        <f>AS353*('Ввод исходных данных'!$D$83-AQ353)</f>
        <v>1122.2</v>
      </c>
      <c r="AU353" s="1070">
        <v>-5.0999999999999996</v>
      </c>
      <c r="AV353" s="1070"/>
      <c r="AW353" s="1070">
        <f t="shared" si="66"/>
        <v>30</v>
      </c>
      <c r="AX353" s="1070">
        <f>AW353*('Ввод исходных данных'!$D$83-AU353)</f>
        <v>753</v>
      </c>
      <c r="AY353" s="1071">
        <v>4.5</v>
      </c>
      <c r="AZ353" s="1071"/>
      <c r="BA353" s="1071">
        <f t="shared" si="67"/>
        <v>27</v>
      </c>
      <c r="BB353" s="1071">
        <f>BA353*('Ввод исходных данных'!$D$83-AY353)</f>
        <v>418.5</v>
      </c>
      <c r="BC353" s="1072">
        <v>13.1</v>
      </c>
      <c r="BD353" s="1072"/>
      <c r="BE353" s="1072">
        <f t="shared" si="59"/>
        <v>0</v>
      </c>
      <c r="BF353" s="1073">
        <f>BE353*('Ввод исходных данных'!$D$83-BC353)</f>
        <v>0</v>
      </c>
    </row>
    <row r="354" spans="2:58" ht="15.75" customHeight="1" x14ac:dyDescent="0.25">
      <c r="B354" s="1076" t="s">
        <v>336</v>
      </c>
      <c r="C354" s="1076" t="s">
        <v>344</v>
      </c>
      <c r="D354" s="1053" t="str">
        <f t="shared" si="68"/>
        <v>Республика Саха (Якутия)Чурапча</v>
      </c>
      <c r="E354" s="1054">
        <v>239</v>
      </c>
      <c r="F354" s="1055">
        <v>-21.8</v>
      </c>
      <c r="G354" s="1055">
        <v>-56</v>
      </c>
      <c r="H354" s="1057">
        <f>H353</f>
        <v>3.6</v>
      </c>
      <c r="I354" s="1058">
        <f>E354*('Ввод исходных данных'!$D$83-F354)</f>
        <v>9990.1999999999989</v>
      </c>
      <c r="J354" s="1059" t="str">
        <f t="shared" si="58"/>
        <v>9000-10000</v>
      </c>
      <c r="K354" s="1060">
        <v>18.100000000000001</v>
      </c>
      <c r="L354" s="1060"/>
      <c r="M354" s="1061">
        <f t="shared" si="60"/>
        <v>0</v>
      </c>
      <c r="N354" s="1062">
        <f>M354*('Ввод исходных данных'!$D$83-K354)</f>
        <v>0</v>
      </c>
      <c r="O354" s="1063">
        <v>14.3</v>
      </c>
      <c r="P354" s="1063"/>
      <c r="Q354" s="1063">
        <f t="shared" si="61"/>
        <v>0</v>
      </c>
      <c r="R354" s="1063">
        <f>Q354*('Ввод исходных данных'!$D$83-O354)</f>
        <v>0</v>
      </c>
      <c r="S354" s="1064">
        <v>5.2</v>
      </c>
      <c r="T354" s="1064"/>
      <c r="U354" s="1064">
        <f t="shared" si="62"/>
        <v>13.5</v>
      </c>
      <c r="V354" s="1064">
        <f>U354*('Ввод исходных данных'!$D$83-S354)</f>
        <v>199.8</v>
      </c>
      <c r="W354" s="1065">
        <v>-9.4</v>
      </c>
      <c r="X354" s="1065"/>
      <c r="Y354" s="1065">
        <f t="shared" si="63"/>
        <v>31</v>
      </c>
      <c r="Z354" s="1065">
        <f>Y354*('Ввод исходных данных'!$D$83-W354)</f>
        <v>911.4</v>
      </c>
      <c r="AA354" s="1066">
        <v>-30.8</v>
      </c>
      <c r="AB354" s="1066"/>
      <c r="AC354" s="1066">
        <f t="shared" si="64"/>
        <v>30</v>
      </c>
      <c r="AD354" s="1066">
        <f>AC354*('Ввод исходных данных'!$D$83-AA354)</f>
        <v>1524</v>
      </c>
      <c r="AE354" s="1067">
        <v>-41.8</v>
      </c>
      <c r="AF354" s="1067"/>
      <c r="AG354" s="1067">
        <v>31</v>
      </c>
      <c r="AH354" s="1067">
        <f>AG354*('Ввод исходных данных'!$D$83-AE354)</f>
        <v>1915.8</v>
      </c>
      <c r="AI354" s="1068">
        <v>-44</v>
      </c>
      <c r="AJ354" s="1068"/>
      <c r="AK354" s="1068">
        <v>31</v>
      </c>
      <c r="AL354" s="1068">
        <f>AK354*('Ввод исходных данных'!$D$83-AI354)</f>
        <v>1984</v>
      </c>
      <c r="AM354" s="1069">
        <v>-38.4</v>
      </c>
      <c r="AN354" s="1069"/>
      <c r="AO354" s="1069">
        <v>28</v>
      </c>
      <c r="AP354" s="1069">
        <f>AO354*('Ввод исходных данных'!$D$83-AM354)</f>
        <v>1635.2</v>
      </c>
      <c r="AQ354" s="1064">
        <v>-24</v>
      </c>
      <c r="AR354" s="1064"/>
      <c r="AS354" s="1064">
        <f t="shared" si="65"/>
        <v>31</v>
      </c>
      <c r="AT354" s="1064">
        <f>AS354*('Ввод исходных данных'!$D$83-AQ354)</f>
        <v>1364</v>
      </c>
      <c r="AU354" s="1070">
        <v>-7.8</v>
      </c>
      <c r="AV354" s="1070"/>
      <c r="AW354" s="1070">
        <f t="shared" si="66"/>
        <v>30</v>
      </c>
      <c r="AX354" s="1070">
        <f>AW354*('Ввод исходных данных'!$D$83-AU354)</f>
        <v>834</v>
      </c>
      <c r="AY354" s="1071">
        <v>5.8</v>
      </c>
      <c r="AZ354" s="1071"/>
      <c r="BA354" s="1071">
        <f t="shared" si="67"/>
        <v>13.5</v>
      </c>
      <c r="BB354" s="1071">
        <f>BA354*('Ввод исходных данных'!$D$83-AY354)</f>
        <v>191.7</v>
      </c>
      <c r="BC354" s="1072">
        <v>14.7</v>
      </c>
      <c r="BD354" s="1072"/>
      <c r="BE354" s="1072">
        <f t="shared" si="59"/>
        <v>0</v>
      </c>
      <c r="BF354" s="1073">
        <f>BE354*('Ввод исходных данных'!$D$83-BC354)</f>
        <v>0</v>
      </c>
    </row>
    <row r="355" spans="2:58" ht="15.75" customHeight="1" x14ac:dyDescent="0.25">
      <c r="B355" s="1052" t="s">
        <v>336</v>
      </c>
      <c r="C355" s="1052" t="s">
        <v>362</v>
      </c>
      <c r="D355" s="1053" t="str">
        <f t="shared" si="68"/>
        <v>Республика Саха (Якутия)Шелагонцы</v>
      </c>
      <c r="E355" s="1054">
        <v>282</v>
      </c>
      <c r="F355" s="1055">
        <v>-20.8</v>
      </c>
      <c r="G355" s="1055">
        <v>-57</v>
      </c>
      <c r="H355" s="1057">
        <v>1.7</v>
      </c>
      <c r="I355" s="1058">
        <f>E355*('Ввод исходных данных'!$D$83-F355)</f>
        <v>11505.599999999999</v>
      </c>
      <c r="J355" s="1059" t="str">
        <f t="shared" si="58"/>
        <v>11000-12000</v>
      </c>
      <c r="K355" s="1060">
        <v>14.9</v>
      </c>
      <c r="L355" s="1060"/>
      <c r="M355" s="1061">
        <f t="shared" si="60"/>
        <v>0</v>
      </c>
      <c r="N355" s="1062">
        <f>M355*('Ввод исходных данных'!$D$83-K355)</f>
        <v>0</v>
      </c>
      <c r="O355" s="1063">
        <v>10.5</v>
      </c>
      <c r="P355" s="1063"/>
      <c r="Q355" s="1063">
        <f t="shared" si="61"/>
        <v>4.5</v>
      </c>
      <c r="R355" s="1063">
        <f>Q355*('Ввод исходных данных'!$D$83-O355)</f>
        <v>42.75</v>
      </c>
      <c r="S355" s="1064">
        <v>2.2999999999999998</v>
      </c>
      <c r="T355" s="1064"/>
      <c r="U355" s="1064">
        <f t="shared" si="62"/>
        <v>30</v>
      </c>
      <c r="V355" s="1064">
        <f>U355*('Ввод исходных данных'!$D$83-S355)</f>
        <v>531</v>
      </c>
      <c r="W355" s="1065">
        <v>-11.4</v>
      </c>
      <c r="X355" s="1065"/>
      <c r="Y355" s="1065">
        <f t="shared" si="63"/>
        <v>31</v>
      </c>
      <c r="Z355" s="1065">
        <f>Y355*('Ввод исходных данных'!$D$83-W355)</f>
        <v>973.4</v>
      </c>
      <c r="AA355" s="1066">
        <v>-30.7</v>
      </c>
      <c r="AB355" s="1066"/>
      <c r="AC355" s="1066">
        <f t="shared" si="64"/>
        <v>30</v>
      </c>
      <c r="AD355" s="1066">
        <f>AC355*('Ввод исходных данных'!$D$83-AA355)</f>
        <v>1521</v>
      </c>
      <c r="AE355" s="1067">
        <v>-37.9</v>
      </c>
      <c r="AF355" s="1067"/>
      <c r="AG355" s="1067">
        <v>31</v>
      </c>
      <c r="AH355" s="1067">
        <f>AG355*('Ввод исходных данных'!$D$83-AE355)</f>
        <v>1794.8999999999999</v>
      </c>
      <c r="AI355" s="1068">
        <v>-41</v>
      </c>
      <c r="AJ355" s="1068"/>
      <c r="AK355" s="1068">
        <v>31</v>
      </c>
      <c r="AL355" s="1068">
        <f>AK355*('Ввод исходных данных'!$D$83-AI355)</f>
        <v>1891</v>
      </c>
      <c r="AM355" s="1069">
        <v>-37.1</v>
      </c>
      <c r="AN355" s="1069"/>
      <c r="AO355" s="1069">
        <v>28</v>
      </c>
      <c r="AP355" s="1069">
        <f>AO355*('Ввод исходных данных'!$D$83-AM355)</f>
        <v>1598.8</v>
      </c>
      <c r="AQ355" s="1064">
        <v>-25</v>
      </c>
      <c r="AR355" s="1064"/>
      <c r="AS355" s="1064">
        <f t="shared" si="65"/>
        <v>31</v>
      </c>
      <c r="AT355" s="1064">
        <f>AS355*('Ввод исходных данных'!$D$83-AQ355)</f>
        <v>1395</v>
      </c>
      <c r="AU355" s="1070">
        <v>-11.6</v>
      </c>
      <c r="AV355" s="1070"/>
      <c r="AW355" s="1070">
        <f t="shared" si="66"/>
        <v>30</v>
      </c>
      <c r="AX355" s="1070">
        <f>AW355*('Ввод исходных данных'!$D$83-AU355)</f>
        <v>948</v>
      </c>
      <c r="AY355" s="1071">
        <v>1</v>
      </c>
      <c r="AZ355" s="1071"/>
      <c r="BA355" s="1071">
        <f t="shared" si="67"/>
        <v>31</v>
      </c>
      <c r="BB355" s="1071">
        <f>BA355*('Ввод исходных данных'!$D$83-AY355)</f>
        <v>589</v>
      </c>
      <c r="BC355" s="1072">
        <v>11.3</v>
      </c>
      <c r="BD355" s="1072"/>
      <c r="BE355" s="1072">
        <f t="shared" si="59"/>
        <v>4.5</v>
      </c>
      <c r="BF355" s="1073">
        <f>BE355*('Ввод исходных данных'!$D$83-BC355)</f>
        <v>39.15</v>
      </c>
    </row>
    <row r="356" spans="2:58" ht="15.75" customHeight="1" x14ac:dyDescent="0.25">
      <c r="B356" s="1076" t="s">
        <v>336</v>
      </c>
      <c r="C356" s="1076" t="s">
        <v>689</v>
      </c>
      <c r="D356" s="1053" t="str">
        <f t="shared" si="68"/>
        <v>Республика Саха (Якутия)Эйик</v>
      </c>
      <c r="E356" s="1054">
        <v>284</v>
      </c>
      <c r="F356" s="1055">
        <v>-18.5</v>
      </c>
      <c r="G356" s="1055">
        <v>-52</v>
      </c>
      <c r="H356" s="1057">
        <f>H355</f>
        <v>1.7</v>
      </c>
      <c r="I356" s="1058">
        <f>E356*('Ввод исходных данных'!$D$83-F356)</f>
        <v>10934</v>
      </c>
      <c r="J356" s="1059" t="str">
        <f t="shared" si="58"/>
        <v>10000-11000</v>
      </c>
      <c r="K356" s="1060">
        <v>15.1</v>
      </c>
      <c r="L356" s="1060"/>
      <c r="M356" s="1061">
        <f t="shared" si="60"/>
        <v>0</v>
      </c>
      <c r="N356" s="1062">
        <f>M356*('Ввод исходных данных'!$D$83-K356)</f>
        <v>0</v>
      </c>
      <c r="O356" s="1063">
        <v>10.9</v>
      </c>
      <c r="P356" s="1063"/>
      <c r="Q356" s="1063">
        <f t="shared" si="61"/>
        <v>5.5</v>
      </c>
      <c r="R356" s="1063">
        <f>Q356*('Ввод исходных данных'!$D$83-O356)</f>
        <v>50.05</v>
      </c>
      <c r="S356" s="1064">
        <v>2.8</v>
      </c>
      <c r="T356" s="1064"/>
      <c r="U356" s="1064">
        <f t="shared" si="62"/>
        <v>30</v>
      </c>
      <c r="V356" s="1064">
        <f>U356*('Ввод исходных данных'!$D$83-S356)</f>
        <v>516</v>
      </c>
      <c r="W356" s="1065">
        <v>-10.5</v>
      </c>
      <c r="X356" s="1065"/>
      <c r="Y356" s="1065">
        <f t="shared" si="63"/>
        <v>31</v>
      </c>
      <c r="Z356" s="1065">
        <f>Y356*('Ввод исходных данных'!$D$83-W356)</f>
        <v>945.5</v>
      </c>
      <c r="AA356" s="1066">
        <v>-28.4</v>
      </c>
      <c r="AB356" s="1066"/>
      <c r="AC356" s="1066">
        <f t="shared" si="64"/>
        <v>30</v>
      </c>
      <c r="AD356" s="1066">
        <f>AC356*('Ввод исходных данных'!$D$83-AA356)</f>
        <v>1452</v>
      </c>
      <c r="AE356" s="1067">
        <v>-35.5</v>
      </c>
      <c r="AF356" s="1067"/>
      <c r="AG356" s="1067">
        <v>31</v>
      </c>
      <c r="AH356" s="1067">
        <f>AG356*('Ввод исходных данных'!$D$83-AE356)</f>
        <v>1720.5</v>
      </c>
      <c r="AI356" s="1068">
        <v>-37.700000000000003</v>
      </c>
      <c r="AJ356" s="1068"/>
      <c r="AK356" s="1068">
        <v>31</v>
      </c>
      <c r="AL356" s="1068">
        <f>AK356*('Ввод исходных данных'!$D$83-AI356)</f>
        <v>1788.7</v>
      </c>
      <c r="AM356" s="1069">
        <v>-34.200000000000003</v>
      </c>
      <c r="AN356" s="1069"/>
      <c r="AO356" s="1069">
        <v>28</v>
      </c>
      <c r="AP356" s="1069">
        <f>AO356*('Ввод исходных данных'!$D$83-AM356)</f>
        <v>1517.6000000000001</v>
      </c>
      <c r="AQ356" s="1064">
        <v>-23.8</v>
      </c>
      <c r="AR356" s="1064"/>
      <c r="AS356" s="1064">
        <f t="shared" si="65"/>
        <v>31</v>
      </c>
      <c r="AT356" s="1064">
        <f>AS356*('Ввод исходных данных'!$D$83-AQ356)</f>
        <v>1357.8</v>
      </c>
      <c r="AU356" s="1070">
        <v>-11.8</v>
      </c>
      <c r="AV356" s="1070"/>
      <c r="AW356" s="1070">
        <f t="shared" si="66"/>
        <v>30</v>
      </c>
      <c r="AX356" s="1070">
        <f>AW356*('Ввод исходных данных'!$D$83-AU356)</f>
        <v>954</v>
      </c>
      <c r="AY356" s="1071">
        <v>0</v>
      </c>
      <c r="AZ356" s="1071"/>
      <c r="BA356" s="1071">
        <f t="shared" si="67"/>
        <v>31</v>
      </c>
      <c r="BB356" s="1071">
        <f>BA356*('Ввод исходных данных'!$D$83-AY356)</f>
        <v>620</v>
      </c>
      <c r="BC356" s="1072">
        <v>10.9</v>
      </c>
      <c r="BD356" s="1072"/>
      <c r="BE356" s="1072">
        <f t="shared" si="59"/>
        <v>5.5</v>
      </c>
      <c r="BF356" s="1073">
        <f>BE356*('Ввод исходных данных'!$D$83-BC356)</f>
        <v>50.05</v>
      </c>
    </row>
    <row r="357" spans="2:58" ht="15.75" customHeight="1" x14ac:dyDescent="0.25">
      <c r="B357" s="1052" t="s">
        <v>336</v>
      </c>
      <c r="C357" s="1052" t="s">
        <v>378</v>
      </c>
      <c r="D357" s="1053" t="str">
        <f t="shared" si="68"/>
        <v>Республика Саха (Якутия)Якутск</v>
      </c>
      <c r="E357" s="1054">
        <v>252</v>
      </c>
      <c r="F357" s="1055">
        <v>-20.9</v>
      </c>
      <c r="G357" s="1055">
        <v>-52</v>
      </c>
      <c r="H357" s="1057">
        <v>1.8</v>
      </c>
      <c r="I357" s="1058">
        <f>E357*('Ввод исходных данных'!$D$83-F357)</f>
        <v>10306.799999999999</v>
      </c>
      <c r="J357" s="1059" t="str">
        <f t="shared" si="58"/>
        <v>10000-11000</v>
      </c>
      <c r="K357" s="1060">
        <v>19.100000000000001</v>
      </c>
      <c r="L357" s="1060"/>
      <c r="M357" s="1061">
        <f t="shared" si="60"/>
        <v>0</v>
      </c>
      <c r="N357" s="1062">
        <f>M357*('Ввод исходных данных'!$D$83-K357)</f>
        <v>0</v>
      </c>
      <c r="O357" s="1063">
        <v>15.1</v>
      </c>
      <c r="P357" s="1063"/>
      <c r="Q357" s="1063">
        <f t="shared" si="61"/>
        <v>0</v>
      </c>
      <c r="R357" s="1063">
        <f>Q357*('Ввод исходных данных'!$D$83-O357)</f>
        <v>0</v>
      </c>
      <c r="S357" s="1064">
        <v>5.9</v>
      </c>
      <c r="T357" s="1064"/>
      <c r="U357" s="1064">
        <f t="shared" si="62"/>
        <v>20</v>
      </c>
      <c r="V357" s="1064">
        <f>U357*('Ввод исходных данных'!$D$83-S357)</f>
        <v>282</v>
      </c>
      <c r="W357" s="1065">
        <v>-8</v>
      </c>
      <c r="X357" s="1065"/>
      <c r="Y357" s="1065">
        <f t="shared" si="63"/>
        <v>31</v>
      </c>
      <c r="Z357" s="1065">
        <f>Y357*('Ввод исходных данных'!$D$83-W357)</f>
        <v>868</v>
      </c>
      <c r="AA357" s="1066">
        <v>-28.2</v>
      </c>
      <c r="AB357" s="1066"/>
      <c r="AC357" s="1066">
        <f t="shared" si="64"/>
        <v>30</v>
      </c>
      <c r="AD357" s="1066">
        <f>AC357*('Ввод исходных данных'!$D$83-AA357)</f>
        <v>1446</v>
      </c>
      <c r="AE357" s="1067">
        <v>-38.1</v>
      </c>
      <c r="AF357" s="1067"/>
      <c r="AG357" s="1067">
        <v>31</v>
      </c>
      <c r="AH357" s="1067">
        <f>AG357*('Ввод исходных данных'!$D$83-AE357)</f>
        <v>1801.1000000000001</v>
      </c>
      <c r="AI357" s="1068">
        <v>-39.6</v>
      </c>
      <c r="AJ357" s="1068"/>
      <c r="AK357" s="1068">
        <v>31</v>
      </c>
      <c r="AL357" s="1068">
        <f>AK357*('Ввод исходных данных'!$D$83-AI357)</f>
        <v>1847.6000000000001</v>
      </c>
      <c r="AM357" s="1069">
        <v>-35</v>
      </c>
      <c r="AN357" s="1069"/>
      <c r="AO357" s="1069">
        <v>28</v>
      </c>
      <c r="AP357" s="1069">
        <f>AO357*('Ввод исходных данных'!$D$83-AM357)</f>
        <v>1540</v>
      </c>
      <c r="AQ357" s="1064">
        <v>-20.8</v>
      </c>
      <c r="AR357" s="1064"/>
      <c r="AS357" s="1064">
        <f t="shared" si="65"/>
        <v>31</v>
      </c>
      <c r="AT357" s="1064">
        <f>AS357*('Ввод исходных данных'!$D$83-AQ357)</f>
        <v>1264.8</v>
      </c>
      <c r="AU357" s="1070">
        <v>-5.2</v>
      </c>
      <c r="AV357" s="1070"/>
      <c r="AW357" s="1070">
        <f t="shared" si="66"/>
        <v>30</v>
      </c>
      <c r="AX357" s="1070">
        <f>AW357*('Ввод исходных данных'!$D$83-AU357)</f>
        <v>756</v>
      </c>
      <c r="AY357" s="1071">
        <v>7.3</v>
      </c>
      <c r="AZ357" s="1071"/>
      <c r="BA357" s="1071">
        <f t="shared" si="67"/>
        <v>20</v>
      </c>
      <c r="BB357" s="1071">
        <f>BA357*('Ввод исходных данных'!$D$83-AY357)</f>
        <v>254</v>
      </c>
      <c r="BC357" s="1072">
        <v>16.100000000000001</v>
      </c>
      <c r="BD357" s="1072"/>
      <c r="BE357" s="1072">
        <f t="shared" si="59"/>
        <v>0</v>
      </c>
      <c r="BF357" s="1073">
        <f>BE357*('Ввод исходных данных'!$D$83-BC357)</f>
        <v>0</v>
      </c>
    </row>
    <row r="358" spans="2:58" ht="15.75" customHeight="1" x14ac:dyDescent="0.25">
      <c r="B358" s="1076" t="s">
        <v>621</v>
      </c>
      <c r="C358" s="1076" t="s">
        <v>290</v>
      </c>
      <c r="D358" s="1053" t="str">
        <f t="shared" si="68"/>
        <v>Республика Северная ОсетияВладикавказ</v>
      </c>
      <c r="E358" s="1054">
        <v>169</v>
      </c>
      <c r="F358" s="1055">
        <v>0.7</v>
      </c>
      <c r="G358" s="1055">
        <v>-13</v>
      </c>
      <c r="H358" s="1057">
        <v>2</v>
      </c>
      <c r="I358" s="1058">
        <f>E358*('Ввод исходных данных'!$D$83-F358)</f>
        <v>3261.7000000000003</v>
      </c>
      <c r="J358" s="1059" t="str">
        <f t="shared" si="58"/>
        <v>3000-4000</v>
      </c>
      <c r="K358" s="1060">
        <v>20.3</v>
      </c>
      <c r="L358" s="1060"/>
      <c r="M358" s="1061">
        <f t="shared" si="60"/>
        <v>0</v>
      </c>
      <c r="N358" s="1062">
        <f>M358*('Ввод исходных данных'!$D$83-K358)</f>
        <v>0</v>
      </c>
      <c r="O358" s="1063">
        <v>19.8</v>
      </c>
      <c r="P358" s="1063"/>
      <c r="Q358" s="1063">
        <f t="shared" si="61"/>
        <v>0</v>
      </c>
      <c r="R358" s="1063">
        <f>Q358*('Ввод исходных данных'!$D$83-O358)</f>
        <v>0</v>
      </c>
      <c r="S358" s="1064">
        <v>15.2</v>
      </c>
      <c r="T358" s="1064"/>
      <c r="U358" s="1064">
        <f t="shared" si="62"/>
        <v>0</v>
      </c>
      <c r="V358" s="1064">
        <f>U358*('Ввод исходных данных'!$D$83-S358)</f>
        <v>0</v>
      </c>
      <c r="W358" s="1065">
        <v>9.5</v>
      </c>
      <c r="X358" s="1065"/>
      <c r="Y358" s="1065">
        <f t="shared" si="63"/>
        <v>9</v>
      </c>
      <c r="Z358" s="1065">
        <f>Y358*('Ввод исходных данных'!$D$83-W358)</f>
        <v>94.5</v>
      </c>
      <c r="AA358" s="1066">
        <v>3.7</v>
      </c>
      <c r="AB358" s="1066"/>
      <c r="AC358" s="1066">
        <f t="shared" si="64"/>
        <v>30</v>
      </c>
      <c r="AD358" s="1066">
        <f>AC358*('Ввод исходных данных'!$D$83-AA358)</f>
        <v>489</v>
      </c>
      <c r="AE358" s="1067">
        <v>-0.9</v>
      </c>
      <c r="AF358" s="1067"/>
      <c r="AG358" s="1067">
        <v>31</v>
      </c>
      <c r="AH358" s="1067">
        <f>AG358*('Ввод исходных данных'!$D$83-AE358)</f>
        <v>647.9</v>
      </c>
      <c r="AI358" s="1068">
        <v>-2.9</v>
      </c>
      <c r="AJ358" s="1068"/>
      <c r="AK358" s="1068">
        <v>31</v>
      </c>
      <c r="AL358" s="1068">
        <f>AK358*('Ввод исходных данных'!$D$83-AI358)</f>
        <v>709.9</v>
      </c>
      <c r="AM358" s="1069">
        <v>-2</v>
      </c>
      <c r="AN358" s="1069"/>
      <c r="AO358" s="1069">
        <v>28</v>
      </c>
      <c r="AP358" s="1069">
        <f>AO358*('Ввод исходных данных'!$D$83-AM358)</f>
        <v>616</v>
      </c>
      <c r="AQ358" s="1064">
        <v>2.7</v>
      </c>
      <c r="AR358" s="1064"/>
      <c r="AS358" s="1064">
        <f t="shared" si="65"/>
        <v>31</v>
      </c>
      <c r="AT358" s="1064">
        <f>AS358*('Ввод исходных данных'!$D$83-AQ358)</f>
        <v>536.30000000000007</v>
      </c>
      <c r="AU358" s="1070">
        <v>9.4</v>
      </c>
      <c r="AV358" s="1070"/>
      <c r="AW358" s="1070">
        <f t="shared" si="66"/>
        <v>9</v>
      </c>
      <c r="AX358" s="1070">
        <f>AW358*('Ввод исходных данных'!$D$83-AU358)</f>
        <v>95.399999999999991</v>
      </c>
      <c r="AY358" s="1071">
        <v>14.1</v>
      </c>
      <c r="AZ358" s="1071"/>
      <c r="BA358" s="1071">
        <f t="shared" si="67"/>
        <v>0</v>
      </c>
      <c r="BB358" s="1071">
        <f>BA358*('Ввод исходных данных'!$D$83-AY358)</f>
        <v>0</v>
      </c>
      <c r="BC358" s="1072">
        <v>17.7</v>
      </c>
      <c r="BD358" s="1072"/>
      <c r="BE358" s="1072">
        <f t="shared" si="59"/>
        <v>0</v>
      </c>
      <c r="BF358" s="1073">
        <f>BE358*('Ввод исходных данных'!$D$83-BC358)</f>
        <v>0</v>
      </c>
    </row>
    <row r="359" spans="2:58" ht="15.75" customHeight="1" x14ac:dyDescent="0.25">
      <c r="B359" s="1052" t="s">
        <v>381</v>
      </c>
      <c r="C359" s="1052" t="s">
        <v>382</v>
      </c>
      <c r="D359" s="1053" t="str">
        <f t="shared" si="68"/>
        <v>Республика ТатарстанБугульма</v>
      </c>
      <c r="E359" s="1054">
        <v>221</v>
      </c>
      <c r="F359" s="1055">
        <v>-5.8</v>
      </c>
      <c r="G359" s="1055">
        <v>-33</v>
      </c>
      <c r="H359" s="1057">
        <v>7.5</v>
      </c>
      <c r="I359" s="1058">
        <f>E359*('Ввод исходных данных'!$D$83-F359)</f>
        <v>5701.8</v>
      </c>
      <c r="J359" s="1059" t="str">
        <f t="shared" si="58"/>
        <v>5000-6000</v>
      </c>
      <c r="K359" s="1060">
        <v>18.100000000000001</v>
      </c>
      <c r="L359" s="1060"/>
      <c r="M359" s="1061">
        <f t="shared" si="60"/>
        <v>0</v>
      </c>
      <c r="N359" s="1062">
        <f>M359*('Ввод исходных данных'!$D$83-K359)</f>
        <v>0</v>
      </c>
      <c r="O359" s="1063">
        <v>16.399999999999999</v>
      </c>
      <c r="P359" s="1063"/>
      <c r="Q359" s="1063">
        <f t="shared" si="61"/>
        <v>0</v>
      </c>
      <c r="R359" s="1063">
        <f>Q359*('Ввод исходных данных'!$D$83-O359)</f>
        <v>0</v>
      </c>
      <c r="S359" s="1064">
        <v>10.199999999999999</v>
      </c>
      <c r="T359" s="1064"/>
      <c r="U359" s="1064">
        <f t="shared" si="62"/>
        <v>4.5</v>
      </c>
      <c r="V359" s="1064">
        <f>U359*('Ввод исходных данных'!$D$83-S359)</f>
        <v>44.1</v>
      </c>
      <c r="W359" s="1065">
        <v>2.1</v>
      </c>
      <c r="X359" s="1065"/>
      <c r="Y359" s="1065">
        <f t="shared" si="63"/>
        <v>31</v>
      </c>
      <c r="Z359" s="1065">
        <f>Y359*('Ввод исходных данных'!$D$83-W359)</f>
        <v>554.9</v>
      </c>
      <c r="AA359" s="1066">
        <v>-5.8</v>
      </c>
      <c r="AB359" s="1066"/>
      <c r="AC359" s="1066">
        <f t="shared" si="64"/>
        <v>30</v>
      </c>
      <c r="AD359" s="1066">
        <f>AC359*('Ввод исходных данных'!$D$83-AA359)</f>
        <v>774</v>
      </c>
      <c r="AE359" s="1067">
        <v>-11.6</v>
      </c>
      <c r="AF359" s="1067"/>
      <c r="AG359" s="1067">
        <v>31</v>
      </c>
      <c r="AH359" s="1067">
        <f>AG359*('Ввод исходных данных'!$D$83-AE359)</f>
        <v>979.6</v>
      </c>
      <c r="AI359" s="1068">
        <v>-14.3</v>
      </c>
      <c r="AJ359" s="1068"/>
      <c r="AK359" s="1068">
        <v>31</v>
      </c>
      <c r="AL359" s="1068">
        <f>AK359*('Ввод исходных данных'!$D$83-AI359)</f>
        <v>1063.3</v>
      </c>
      <c r="AM359" s="1069">
        <v>-13.7</v>
      </c>
      <c r="AN359" s="1069"/>
      <c r="AO359" s="1069">
        <v>28</v>
      </c>
      <c r="AP359" s="1069">
        <f>AO359*('Ввод исходных данных'!$D$83-AM359)</f>
        <v>943.60000000000014</v>
      </c>
      <c r="AQ359" s="1064">
        <v>-8</v>
      </c>
      <c r="AR359" s="1064"/>
      <c r="AS359" s="1064">
        <f t="shared" si="65"/>
        <v>31</v>
      </c>
      <c r="AT359" s="1064">
        <f>AS359*('Ввод исходных данных'!$D$83-AQ359)</f>
        <v>868</v>
      </c>
      <c r="AU359" s="1070">
        <v>2.4</v>
      </c>
      <c r="AV359" s="1070"/>
      <c r="AW359" s="1070">
        <f t="shared" si="66"/>
        <v>30</v>
      </c>
      <c r="AX359" s="1070">
        <f>AW359*('Ввод исходных данных'!$D$83-AU359)</f>
        <v>528</v>
      </c>
      <c r="AY359" s="1071">
        <v>11.4</v>
      </c>
      <c r="AZ359" s="1071"/>
      <c r="BA359" s="1071">
        <f t="shared" si="67"/>
        <v>4.5</v>
      </c>
      <c r="BB359" s="1071">
        <f>BA359*('Ввод исходных данных'!$D$83-AY359)</f>
        <v>38.699999999999996</v>
      </c>
      <c r="BC359" s="1072">
        <v>16.3</v>
      </c>
      <c r="BD359" s="1072"/>
      <c r="BE359" s="1072">
        <f t="shared" si="59"/>
        <v>0</v>
      </c>
      <c r="BF359" s="1073">
        <f>BE359*('Ввод исходных данных'!$D$83-BC359)</f>
        <v>0</v>
      </c>
    </row>
    <row r="360" spans="2:58" ht="15.75" customHeight="1" x14ac:dyDescent="0.25">
      <c r="B360" s="1076" t="s">
        <v>381</v>
      </c>
      <c r="C360" s="1076" t="s">
        <v>383</v>
      </c>
      <c r="D360" s="1053" t="str">
        <f t="shared" si="68"/>
        <v>Республика ТатарстанЕлабуга</v>
      </c>
      <c r="E360" s="1054">
        <v>209</v>
      </c>
      <c r="F360" s="1055">
        <v>-5.2</v>
      </c>
      <c r="G360" s="1055">
        <v>-32</v>
      </c>
      <c r="H360" s="1057">
        <v>4.0999999999999996</v>
      </c>
      <c r="I360" s="1058">
        <f>E360*('Ввод исходных данных'!$D$83-F360)</f>
        <v>5266.8</v>
      </c>
      <c r="J360" s="1059" t="str">
        <f t="shared" si="58"/>
        <v>5000-6000</v>
      </c>
      <c r="K360" s="1060">
        <v>19.8</v>
      </c>
      <c r="L360" s="1060"/>
      <c r="M360" s="1061">
        <f t="shared" si="60"/>
        <v>0</v>
      </c>
      <c r="N360" s="1062">
        <f>M360*('Ввод исходных данных'!$D$83-K360)</f>
        <v>0</v>
      </c>
      <c r="O360" s="1063">
        <v>17.2</v>
      </c>
      <c r="P360" s="1063"/>
      <c r="Q360" s="1063">
        <f t="shared" si="61"/>
        <v>0</v>
      </c>
      <c r="R360" s="1063">
        <f>Q360*('Ввод исходных данных'!$D$83-O360)</f>
        <v>0</v>
      </c>
      <c r="S360" s="1064">
        <v>11.4</v>
      </c>
      <c r="T360" s="1064"/>
      <c r="U360" s="1064">
        <f t="shared" si="62"/>
        <v>0</v>
      </c>
      <c r="V360" s="1064">
        <f>U360*('Ввод исходных данных'!$D$83-S360)</f>
        <v>0</v>
      </c>
      <c r="W360" s="1065">
        <v>3.9</v>
      </c>
      <c r="X360" s="1065"/>
      <c r="Y360" s="1065">
        <f t="shared" si="63"/>
        <v>29</v>
      </c>
      <c r="Z360" s="1065">
        <f>Y360*('Ввод исходных данных'!$D$83-W360)</f>
        <v>466.90000000000003</v>
      </c>
      <c r="AA360" s="1066">
        <v>-3.6</v>
      </c>
      <c r="AB360" s="1066"/>
      <c r="AC360" s="1066">
        <f t="shared" si="64"/>
        <v>30</v>
      </c>
      <c r="AD360" s="1066">
        <f>AC360*('Ввод исходных данных'!$D$83-AA360)</f>
        <v>708</v>
      </c>
      <c r="AE360" s="1067">
        <v>-10</v>
      </c>
      <c r="AF360" s="1067"/>
      <c r="AG360" s="1067">
        <v>31</v>
      </c>
      <c r="AH360" s="1067">
        <f>AG360*('Ввод исходных данных'!$D$83-AE360)</f>
        <v>930</v>
      </c>
      <c r="AI360" s="1068">
        <v>-12.4</v>
      </c>
      <c r="AJ360" s="1068"/>
      <c r="AK360" s="1068">
        <v>31</v>
      </c>
      <c r="AL360" s="1068">
        <f>AK360*('Ввод исходных данных'!$D$83-AI360)</f>
        <v>1004.4</v>
      </c>
      <c r="AM360" s="1069">
        <v>-11.7</v>
      </c>
      <c r="AN360" s="1069"/>
      <c r="AO360" s="1069">
        <v>28</v>
      </c>
      <c r="AP360" s="1069">
        <f>AO360*('Ввод исходных данных'!$D$83-AM360)</f>
        <v>887.6</v>
      </c>
      <c r="AQ360" s="1064">
        <v>-4.2</v>
      </c>
      <c r="AR360" s="1064"/>
      <c r="AS360" s="1064">
        <f t="shared" si="65"/>
        <v>31</v>
      </c>
      <c r="AT360" s="1064">
        <f>AS360*('Ввод исходных данных'!$D$83-AQ360)</f>
        <v>750.19999999999993</v>
      </c>
      <c r="AU360" s="1070">
        <v>5.2</v>
      </c>
      <c r="AV360" s="1070"/>
      <c r="AW360" s="1070">
        <f t="shared" si="66"/>
        <v>29</v>
      </c>
      <c r="AX360" s="1070">
        <f>AW360*('Ввод исходных данных'!$D$83-AU360)</f>
        <v>429.20000000000005</v>
      </c>
      <c r="AY360" s="1071">
        <v>13.2</v>
      </c>
      <c r="AZ360" s="1071"/>
      <c r="BA360" s="1071">
        <f t="shared" si="67"/>
        <v>0</v>
      </c>
      <c r="BB360" s="1071">
        <f>BA360*('Ввод исходных данных'!$D$83-AY360)</f>
        <v>0</v>
      </c>
      <c r="BC360" s="1072">
        <v>17.5</v>
      </c>
      <c r="BD360" s="1072"/>
      <c r="BE360" s="1072">
        <f t="shared" si="59"/>
        <v>0</v>
      </c>
      <c r="BF360" s="1073">
        <f>BE360*('Ввод исходных данных'!$D$83-BC360)</f>
        <v>0</v>
      </c>
    </row>
    <row r="361" spans="2:58" ht="15.75" customHeight="1" x14ac:dyDescent="0.25">
      <c r="B361" s="1052" t="s">
        <v>381</v>
      </c>
      <c r="C361" s="1052" t="s">
        <v>384</v>
      </c>
      <c r="D361" s="1053" t="str">
        <f t="shared" si="68"/>
        <v>Республика ТатарстанКазань</v>
      </c>
      <c r="E361" s="1054">
        <v>208</v>
      </c>
      <c r="F361" s="1055">
        <v>-4.8</v>
      </c>
      <c r="G361" s="1055">
        <v>-31</v>
      </c>
      <c r="H361" s="1057">
        <v>3.8</v>
      </c>
      <c r="I361" s="1058">
        <f>E361*('Ввод исходных данных'!$D$83-F361)</f>
        <v>5158.4000000000005</v>
      </c>
      <c r="J361" s="1059" t="str">
        <f t="shared" si="58"/>
        <v>5000-6000</v>
      </c>
      <c r="K361" s="1060">
        <v>19.7</v>
      </c>
      <c r="L361" s="1060"/>
      <c r="M361" s="1061">
        <f t="shared" si="60"/>
        <v>0</v>
      </c>
      <c r="N361" s="1062">
        <f>M361*('Ввод исходных данных'!$D$83-K361)</f>
        <v>0</v>
      </c>
      <c r="O361" s="1063">
        <v>17.399999999999999</v>
      </c>
      <c r="P361" s="1063"/>
      <c r="Q361" s="1063">
        <f t="shared" si="61"/>
        <v>0</v>
      </c>
      <c r="R361" s="1063">
        <f>Q361*('Ввод исходных данных'!$D$83-O361)</f>
        <v>0</v>
      </c>
      <c r="S361" s="1064">
        <v>11.5</v>
      </c>
      <c r="T361" s="1064"/>
      <c r="U361" s="1064">
        <f t="shared" si="62"/>
        <v>0</v>
      </c>
      <c r="V361" s="1064">
        <f>U361*('Ввод исходных данных'!$D$83-S361)</f>
        <v>0</v>
      </c>
      <c r="W361" s="1065">
        <v>4.2</v>
      </c>
      <c r="X361" s="1065"/>
      <c r="Y361" s="1065">
        <f t="shared" si="63"/>
        <v>28.5</v>
      </c>
      <c r="Z361" s="1065">
        <f>Y361*('Ввод исходных данных'!$D$83-W361)</f>
        <v>450.3</v>
      </c>
      <c r="AA361" s="1066">
        <v>-3.2</v>
      </c>
      <c r="AB361" s="1066"/>
      <c r="AC361" s="1066">
        <f t="shared" si="64"/>
        <v>30</v>
      </c>
      <c r="AD361" s="1066">
        <f>AC361*('Ввод исходных данных'!$D$83-AA361)</f>
        <v>696</v>
      </c>
      <c r="AE361" s="1067">
        <v>-8.9</v>
      </c>
      <c r="AF361" s="1067"/>
      <c r="AG361" s="1067">
        <v>31</v>
      </c>
      <c r="AH361" s="1067">
        <f>AG361*('Ввод исходных данных'!$D$83-AE361)</f>
        <v>895.9</v>
      </c>
      <c r="AI361" s="1068">
        <v>-11.6</v>
      </c>
      <c r="AJ361" s="1068"/>
      <c r="AK361" s="1068">
        <v>31</v>
      </c>
      <c r="AL361" s="1068">
        <f>AK361*('Ввод исходных данных'!$D$83-AI361)</f>
        <v>979.6</v>
      </c>
      <c r="AM361" s="1069">
        <v>-10.9</v>
      </c>
      <c r="AN361" s="1069"/>
      <c r="AO361" s="1069">
        <v>28</v>
      </c>
      <c r="AP361" s="1069">
        <f>AO361*('Ввод исходных данных'!$D$83-AM361)</f>
        <v>865.19999999999993</v>
      </c>
      <c r="AQ361" s="1064">
        <v>-4.3</v>
      </c>
      <c r="AR361" s="1064"/>
      <c r="AS361" s="1064">
        <f t="shared" si="65"/>
        <v>31</v>
      </c>
      <c r="AT361" s="1064">
        <f>AS361*('Ввод исходных данных'!$D$83-AQ361)</f>
        <v>753.30000000000007</v>
      </c>
      <c r="AU361" s="1070">
        <v>5.3</v>
      </c>
      <c r="AV361" s="1070"/>
      <c r="AW361" s="1070">
        <f t="shared" si="66"/>
        <v>28.5</v>
      </c>
      <c r="AX361" s="1070">
        <f>AW361*('Ввод исходных данных'!$D$83-AU361)</f>
        <v>418.95</v>
      </c>
      <c r="AY361" s="1071">
        <v>13.2</v>
      </c>
      <c r="AZ361" s="1071"/>
      <c r="BA361" s="1071">
        <f t="shared" si="67"/>
        <v>0</v>
      </c>
      <c r="BB361" s="1071">
        <f>BA361*('Ввод исходных данных'!$D$83-AY361)</f>
        <v>0</v>
      </c>
      <c r="BC361" s="1072">
        <v>17.600000000000001</v>
      </c>
      <c r="BD361" s="1072"/>
      <c r="BE361" s="1072">
        <f t="shared" si="59"/>
        <v>0</v>
      </c>
      <c r="BF361" s="1073">
        <f>BE361*('Ввод исходных данных'!$D$83-BC361)</f>
        <v>0</v>
      </c>
    </row>
    <row r="362" spans="2:58" ht="15.75" customHeight="1" x14ac:dyDescent="0.25">
      <c r="B362" s="1076" t="s">
        <v>622</v>
      </c>
      <c r="C362" s="1076" t="s">
        <v>391</v>
      </c>
      <c r="D362" s="1053" t="str">
        <f t="shared" si="68"/>
        <v>Республика ТываКызыл</v>
      </c>
      <c r="E362" s="1054">
        <v>225</v>
      </c>
      <c r="F362" s="1055">
        <v>-15</v>
      </c>
      <c r="G362" s="1055">
        <v>-47</v>
      </c>
      <c r="H362" s="1057">
        <v>1.7</v>
      </c>
      <c r="I362" s="1058">
        <f>E362*('Ввод исходных данных'!$D$83-F362)</f>
        <v>7875</v>
      </c>
      <c r="J362" s="1059" t="str">
        <f t="shared" si="58"/>
        <v>7000-8000</v>
      </c>
      <c r="K362" s="1060">
        <v>20.2</v>
      </c>
      <c r="L362" s="1060"/>
      <c r="M362" s="1061">
        <f t="shared" si="60"/>
        <v>0</v>
      </c>
      <c r="N362" s="1062">
        <f>M362*('Ввод исходных данных'!$D$83-K362)</f>
        <v>0</v>
      </c>
      <c r="O362" s="1063">
        <v>17.3</v>
      </c>
      <c r="P362" s="1063"/>
      <c r="Q362" s="1063">
        <f t="shared" si="61"/>
        <v>0</v>
      </c>
      <c r="R362" s="1063">
        <f>Q362*('Ввод исходных данных'!$D$83-O362)</f>
        <v>0</v>
      </c>
      <c r="S362" s="1064">
        <v>10.1</v>
      </c>
      <c r="T362" s="1064"/>
      <c r="U362" s="1064">
        <f t="shared" si="62"/>
        <v>6.5</v>
      </c>
      <c r="V362" s="1064">
        <f>U362*('Ввод исходных данных'!$D$83-S362)</f>
        <v>64.350000000000009</v>
      </c>
      <c r="W362" s="1065">
        <v>0.7</v>
      </c>
      <c r="X362" s="1065"/>
      <c r="Y362" s="1065">
        <f t="shared" si="63"/>
        <v>31</v>
      </c>
      <c r="Z362" s="1065">
        <f>Y362*('Ввод исходных данных'!$D$83-W362)</f>
        <v>598.30000000000007</v>
      </c>
      <c r="AA362" s="1066">
        <v>-13.6</v>
      </c>
      <c r="AB362" s="1066"/>
      <c r="AC362" s="1066">
        <f t="shared" si="64"/>
        <v>30</v>
      </c>
      <c r="AD362" s="1066">
        <f>AC362*('Ввод исходных данных'!$D$83-AA362)</f>
        <v>1008</v>
      </c>
      <c r="AE362" s="1067">
        <v>-26</v>
      </c>
      <c r="AF362" s="1067"/>
      <c r="AG362" s="1067">
        <v>31</v>
      </c>
      <c r="AH362" s="1067">
        <f>AG362*('Ввод исходных данных'!$D$83-AE362)</f>
        <v>1426</v>
      </c>
      <c r="AI362" s="1068">
        <v>-29.3</v>
      </c>
      <c r="AJ362" s="1068"/>
      <c r="AK362" s="1068">
        <v>31</v>
      </c>
      <c r="AL362" s="1068">
        <f>AK362*('Ввод исходных данных'!$D$83-AI362)</f>
        <v>1528.3</v>
      </c>
      <c r="AM362" s="1069">
        <v>-24.3</v>
      </c>
      <c r="AN362" s="1069"/>
      <c r="AO362" s="1069">
        <v>28</v>
      </c>
      <c r="AP362" s="1069">
        <f>AO362*('Ввод исходных данных'!$D$83-AM362)</f>
        <v>1240.3999999999999</v>
      </c>
      <c r="AQ362" s="1064">
        <v>-11</v>
      </c>
      <c r="AR362" s="1064"/>
      <c r="AS362" s="1064">
        <f t="shared" si="65"/>
        <v>31</v>
      </c>
      <c r="AT362" s="1064">
        <f>AS362*('Ввод исходных данных'!$D$83-AQ362)</f>
        <v>961</v>
      </c>
      <c r="AU362" s="1070">
        <v>4.4000000000000004</v>
      </c>
      <c r="AV362" s="1070"/>
      <c r="AW362" s="1070">
        <f t="shared" si="66"/>
        <v>30</v>
      </c>
      <c r="AX362" s="1070">
        <f>AW362*('Ввод исходных данных'!$D$83-AU362)</f>
        <v>468</v>
      </c>
      <c r="AY362" s="1071">
        <v>12.3</v>
      </c>
      <c r="AZ362" s="1071"/>
      <c r="BA362" s="1071">
        <f t="shared" si="67"/>
        <v>6.5</v>
      </c>
      <c r="BB362" s="1071">
        <f>BA362*('Ввод исходных данных'!$D$83-AY362)</f>
        <v>50.05</v>
      </c>
      <c r="BC362" s="1072">
        <v>18.2</v>
      </c>
      <c r="BD362" s="1072"/>
      <c r="BE362" s="1072">
        <f t="shared" si="59"/>
        <v>0</v>
      </c>
      <c r="BF362" s="1073">
        <f>BE362*('Ввод исходных данных'!$D$83-BC362)</f>
        <v>0</v>
      </c>
    </row>
    <row r="363" spans="2:58" ht="15.75" customHeight="1" x14ac:dyDescent="0.25">
      <c r="B363" s="1052" t="s">
        <v>623</v>
      </c>
      <c r="C363" s="1052" t="s">
        <v>286</v>
      </c>
      <c r="D363" s="1053" t="str">
        <f t="shared" si="68"/>
        <v>Республика ХакассияАбакан</v>
      </c>
      <c r="E363" s="1054">
        <v>223</v>
      </c>
      <c r="F363" s="1055">
        <v>-7.9</v>
      </c>
      <c r="G363" s="1055">
        <v>-37</v>
      </c>
      <c r="H363" s="1057">
        <v>4.8</v>
      </c>
      <c r="I363" s="1058">
        <f>E363*('Ввод исходных данных'!$D$83-F363)</f>
        <v>6221.7</v>
      </c>
      <c r="J363" s="1059" t="str">
        <f t="shared" si="58"/>
        <v>6000-7000</v>
      </c>
      <c r="K363" s="1060">
        <v>19.5</v>
      </c>
      <c r="L363" s="1060"/>
      <c r="M363" s="1061">
        <f t="shared" si="60"/>
        <v>0</v>
      </c>
      <c r="N363" s="1062">
        <f>M363*('Ввод исходных данных'!$D$83-K363)</f>
        <v>0</v>
      </c>
      <c r="O363" s="1063">
        <v>16.399999999999999</v>
      </c>
      <c r="P363" s="1063"/>
      <c r="Q363" s="1063">
        <f t="shared" si="61"/>
        <v>0</v>
      </c>
      <c r="R363" s="1063">
        <f>Q363*('Ввод исходных данных'!$D$83-O363)</f>
        <v>0</v>
      </c>
      <c r="S363" s="1064">
        <v>9.9</v>
      </c>
      <c r="T363" s="1064"/>
      <c r="U363" s="1064">
        <f t="shared" si="62"/>
        <v>5.5</v>
      </c>
      <c r="V363" s="1064">
        <f>U363*('Ввод исходных данных'!$D$83-S363)</f>
        <v>55.55</v>
      </c>
      <c r="W363" s="1065">
        <v>1.6</v>
      </c>
      <c r="X363" s="1065"/>
      <c r="Y363" s="1065">
        <f t="shared" si="63"/>
        <v>31</v>
      </c>
      <c r="Z363" s="1065">
        <f>Y363*('Ввод исходных данных'!$D$83-W363)</f>
        <v>570.4</v>
      </c>
      <c r="AA363" s="1066">
        <v>-9.5</v>
      </c>
      <c r="AB363" s="1066"/>
      <c r="AC363" s="1066">
        <f t="shared" si="64"/>
        <v>30</v>
      </c>
      <c r="AD363" s="1066">
        <f>AC363*('Ввод исходных данных'!$D$83-AA363)</f>
        <v>885</v>
      </c>
      <c r="AE363" s="1067">
        <v>-17.899999999999999</v>
      </c>
      <c r="AF363" s="1067"/>
      <c r="AG363" s="1067">
        <v>31</v>
      </c>
      <c r="AH363" s="1067">
        <f>AG363*('Ввод исходных данных'!$D$83-AE363)</f>
        <v>1174.8999999999999</v>
      </c>
      <c r="AI363" s="1068">
        <v>-25.5</v>
      </c>
      <c r="AJ363" s="1068"/>
      <c r="AK363" s="1068">
        <v>31</v>
      </c>
      <c r="AL363" s="1068">
        <f>AK363*('Ввод исходных данных'!$D$83-AI363)</f>
        <v>1410.5</v>
      </c>
      <c r="AM363" s="1069">
        <v>-18.5</v>
      </c>
      <c r="AN363" s="1069"/>
      <c r="AO363" s="1069">
        <v>28</v>
      </c>
      <c r="AP363" s="1069">
        <f>AO363*('Ввод исходных данных'!$D$83-AM363)</f>
        <v>1078</v>
      </c>
      <c r="AQ363" s="1064">
        <v>-8.5</v>
      </c>
      <c r="AR363" s="1064"/>
      <c r="AS363" s="1064">
        <f t="shared" si="65"/>
        <v>31</v>
      </c>
      <c r="AT363" s="1064">
        <f>AS363*('Ввод исходных данных'!$D$83-AQ363)</f>
        <v>883.5</v>
      </c>
      <c r="AU363" s="1070">
        <v>2.9</v>
      </c>
      <c r="AV363" s="1070"/>
      <c r="AW363" s="1070">
        <f t="shared" si="66"/>
        <v>30</v>
      </c>
      <c r="AX363" s="1070">
        <f>AW363*('Ввод исходных данных'!$D$83-AU363)</f>
        <v>513</v>
      </c>
      <c r="AY363" s="1071">
        <v>10.5</v>
      </c>
      <c r="AZ363" s="1071"/>
      <c r="BA363" s="1071">
        <f t="shared" si="67"/>
        <v>5.5</v>
      </c>
      <c r="BB363" s="1071">
        <f>BA363*('Ввод исходных данных'!$D$83-AY363)</f>
        <v>52.25</v>
      </c>
      <c r="BC363" s="1072">
        <v>17.3</v>
      </c>
      <c r="BD363" s="1072"/>
      <c r="BE363" s="1072">
        <f t="shared" si="59"/>
        <v>0</v>
      </c>
      <c r="BF363" s="1073">
        <f>BE363*('Ввод исходных данных'!$D$83-BC363)</f>
        <v>0</v>
      </c>
    </row>
    <row r="364" spans="2:58" ht="15.75" customHeight="1" x14ac:dyDescent="0.25">
      <c r="B364" s="1076" t="s">
        <v>623</v>
      </c>
      <c r="C364" s="1076" t="s">
        <v>287</v>
      </c>
      <c r="D364" s="1053" t="str">
        <f t="shared" si="68"/>
        <v>Республика ХакассияШира</v>
      </c>
      <c r="E364" s="1054">
        <v>236</v>
      </c>
      <c r="F364" s="1055">
        <v>-7.7</v>
      </c>
      <c r="G364" s="1055">
        <v>-38</v>
      </c>
      <c r="H364" s="1057">
        <v>4.0999999999999996</v>
      </c>
      <c r="I364" s="1058">
        <f>E364*('Ввод исходных данных'!$D$83-F364)</f>
        <v>6537.2</v>
      </c>
      <c r="J364" s="1059" t="str">
        <f t="shared" si="58"/>
        <v>6000-7000</v>
      </c>
      <c r="K364" s="1060">
        <v>17.7</v>
      </c>
      <c r="L364" s="1060"/>
      <c r="M364" s="1061">
        <f t="shared" si="60"/>
        <v>0</v>
      </c>
      <c r="N364" s="1062">
        <f>M364*('Ввод исходных данных'!$D$83-K364)</f>
        <v>0</v>
      </c>
      <c r="O364" s="1063">
        <v>14.9</v>
      </c>
      <c r="P364" s="1063"/>
      <c r="Q364" s="1063">
        <f t="shared" si="61"/>
        <v>0</v>
      </c>
      <c r="R364" s="1063">
        <f>Q364*('Ввод исходных данных'!$D$83-O364)</f>
        <v>0</v>
      </c>
      <c r="S364" s="1064">
        <v>8.8000000000000007</v>
      </c>
      <c r="T364" s="1064"/>
      <c r="U364" s="1064">
        <f t="shared" si="62"/>
        <v>12</v>
      </c>
      <c r="V364" s="1064">
        <f>U364*('Ввод исходных данных'!$D$83-S364)</f>
        <v>134.39999999999998</v>
      </c>
      <c r="W364" s="1065">
        <v>1.2</v>
      </c>
      <c r="X364" s="1065"/>
      <c r="Y364" s="1065">
        <f t="shared" si="63"/>
        <v>31</v>
      </c>
      <c r="Z364" s="1065">
        <f>Y364*('Ввод исходных данных'!$D$83-W364)</f>
        <v>582.80000000000007</v>
      </c>
      <c r="AA364" s="1066">
        <v>-9.1</v>
      </c>
      <c r="AB364" s="1066"/>
      <c r="AC364" s="1066">
        <f t="shared" si="64"/>
        <v>30</v>
      </c>
      <c r="AD364" s="1066">
        <f>AC364*('Ввод исходных данных'!$D$83-AA364)</f>
        <v>873</v>
      </c>
      <c r="AE364" s="1067">
        <v>-16.399999999999999</v>
      </c>
      <c r="AF364" s="1067"/>
      <c r="AG364" s="1067">
        <v>31</v>
      </c>
      <c r="AH364" s="1067">
        <f>AG364*('Ввод исходных данных'!$D$83-AE364)</f>
        <v>1128.3999999999999</v>
      </c>
      <c r="AI364" s="1068">
        <v>-18.5</v>
      </c>
      <c r="AJ364" s="1068"/>
      <c r="AK364" s="1068">
        <v>31</v>
      </c>
      <c r="AL364" s="1068">
        <f>AK364*('Ввод исходных данных'!$D$83-AI364)</f>
        <v>1193.5</v>
      </c>
      <c r="AM364" s="1069">
        <v>-17.2</v>
      </c>
      <c r="AN364" s="1069"/>
      <c r="AO364" s="1069">
        <v>28</v>
      </c>
      <c r="AP364" s="1069">
        <f>AO364*('Ввод исходных данных'!$D$83-AM364)</f>
        <v>1041.6000000000001</v>
      </c>
      <c r="AQ364" s="1064">
        <v>-8.9</v>
      </c>
      <c r="AR364" s="1064"/>
      <c r="AS364" s="1064">
        <f t="shared" si="65"/>
        <v>31</v>
      </c>
      <c r="AT364" s="1064">
        <f>AS364*('Ввод исходных данных'!$D$83-AQ364)</f>
        <v>895.9</v>
      </c>
      <c r="AU364" s="1070">
        <v>1.3</v>
      </c>
      <c r="AV364" s="1070"/>
      <c r="AW364" s="1070">
        <f t="shared" si="66"/>
        <v>30</v>
      </c>
      <c r="AX364" s="1070">
        <f>AW364*('Ввод исходных данных'!$D$83-AU364)</f>
        <v>561</v>
      </c>
      <c r="AY364" s="1071">
        <v>8.9</v>
      </c>
      <c r="AZ364" s="1071"/>
      <c r="BA364" s="1071">
        <f t="shared" si="67"/>
        <v>12</v>
      </c>
      <c r="BB364" s="1071">
        <f>BA364*('Ввод исходных данных'!$D$83-AY364)</f>
        <v>133.19999999999999</v>
      </c>
      <c r="BC364" s="1072">
        <v>15.6</v>
      </c>
      <c r="BD364" s="1072"/>
      <c r="BE364" s="1072">
        <f t="shared" si="59"/>
        <v>0</v>
      </c>
      <c r="BF364" s="1073">
        <f>BE364*('Ввод исходных данных'!$D$83-BC364)</f>
        <v>0</v>
      </c>
    </row>
    <row r="365" spans="2:58" ht="15.75" customHeight="1" x14ac:dyDescent="0.25">
      <c r="B365" s="1052" t="s">
        <v>291</v>
      </c>
      <c r="C365" s="1052" t="s">
        <v>292</v>
      </c>
      <c r="D365" s="1053" t="str">
        <f t="shared" si="68"/>
        <v>Ростовская областьМиллерово</v>
      </c>
      <c r="E365" s="1054">
        <v>179</v>
      </c>
      <c r="F365" s="1055">
        <v>-1.7</v>
      </c>
      <c r="G365" s="1055">
        <v>-21</v>
      </c>
      <c r="H365" s="1057">
        <v>6.1</v>
      </c>
      <c r="I365" s="1058">
        <f>E365*('Ввод исходных данных'!$D$83-F365)</f>
        <v>3884.2999999999997</v>
      </c>
      <c r="J365" s="1059" t="str">
        <f t="shared" si="58"/>
        <v>3000-4000</v>
      </c>
      <c r="K365" s="1060">
        <v>21.8</v>
      </c>
      <c r="L365" s="1060"/>
      <c r="M365" s="1061">
        <f t="shared" si="60"/>
        <v>0</v>
      </c>
      <c r="N365" s="1062">
        <f>M365*('Ввод исходных данных'!$D$83-K365)</f>
        <v>0</v>
      </c>
      <c r="O365" s="1063">
        <v>20.9</v>
      </c>
      <c r="P365" s="1063"/>
      <c r="Q365" s="1063">
        <f t="shared" si="61"/>
        <v>0</v>
      </c>
      <c r="R365" s="1063">
        <f>Q365*('Ввод исходных данных'!$D$83-O365)</f>
        <v>0</v>
      </c>
      <c r="S365" s="1064">
        <v>15</v>
      </c>
      <c r="T365" s="1064"/>
      <c r="U365" s="1064">
        <f t="shared" si="62"/>
        <v>0</v>
      </c>
      <c r="V365" s="1064">
        <f>U365*('Ввод исходных данных'!$D$83-S365)</f>
        <v>0</v>
      </c>
      <c r="W365" s="1065">
        <v>7.8</v>
      </c>
      <c r="X365" s="1065"/>
      <c r="Y365" s="1065">
        <f t="shared" si="63"/>
        <v>14</v>
      </c>
      <c r="Z365" s="1065">
        <f>Y365*('Ввод исходных данных'!$D$83-W365)</f>
        <v>170.79999999999998</v>
      </c>
      <c r="AA365" s="1066">
        <v>1.3</v>
      </c>
      <c r="AB365" s="1066"/>
      <c r="AC365" s="1066">
        <f t="shared" si="64"/>
        <v>30</v>
      </c>
      <c r="AD365" s="1066">
        <f>AC365*('Ввод исходных данных'!$D$83-AA365)</f>
        <v>561</v>
      </c>
      <c r="AE365" s="1067">
        <v>-3.8</v>
      </c>
      <c r="AF365" s="1067"/>
      <c r="AG365" s="1067">
        <v>31</v>
      </c>
      <c r="AH365" s="1067">
        <f>AG365*('Ввод исходных данных'!$D$83-AE365)</f>
        <v>737.80000000000007</v>
      </c>
      <c r="AI365" s="1068">
        <v>-6.3</v>
      </c>
      <c r="AJ365" s="1068"/>
      <c r="AK365" s="1068">
        <v>31</v>
      </c>
      <c r="AL365" s="1068">
        <f>AK365*('Ввод исходных данных'!$D$83-AI365)</f>
        <v>815.30000000000007</v>
      </c>
      <c r="AM365" s="1069">
        <v>-5.7</v>
      </c>
      <c r="AN365" s="1069"/>
      <c r="AO365" s="1069">
        <v>28</v>
      </c>
      <c r="AP365" s="1069">
        <f>AO365*('Ввод исходных данных'!$D$83-AM365)</f>
        <v>719.6</v>
      </c>
      <c r="AQ365" s="1064">
        <v>0</v>
      </c>
      <c r="AR365" s="1064"/>
      <c r="AS365" s="1064">
        <f t="shared" si="65"/>
        <v>31</v>
      </c>
      <c r="AT365" s="1064">
        <f>AS365*('Ввод исходных данных'!$D$83-AQ365)</f>
        <v>620</v>
      </c>
      <c r="AU365" s="1070">
        <v>9.3000000000000007</v>
      </c>
      <c r="AV365" s="1070"/>
      <c r="AW365" s="1070">
        <f t="shared" si="66"/>
        <v>14</v>
      </c>
      <c r="AX365" s="1070">
        <f>AW365*('Ввод исходных данных'!$D$83-AU365)</f>
        <v>149.79999999999998</v>
      </c>
      <c r="AY365" s="1071">
        <v>15.7</v>
      </c>
      <c r="AZ365" s="1071"/>
      <c r="BA365" s="1071">
        <f t="shared" si="67"/>
        <v>0</v>
      </c>
      <c r="BB365" s="1071">
        <f>BA365*('Ввод исходных данных'!$D$83-AY365)</f>
        <v>0</v>
      </c>
      <c r="BC365" s="1072">
        <v>19.7</v>
      </c>
      <c r="BD365" s="1072"/>
      <c r="BE365" s="1072">
        <f t="shared" si="59"/>
        <v>0</v>
      </c>
      <c r="BF365" s="1073">
        <f>BE365*('Ввод исходных данных'!$D$83-BC365)</f>
        <v>0</v>
      </c>
    </row>
    <row r="366" spans="2:58" ht="15.75" customHeight="1" x14ac:dyDescent="0.25">
      <c r="B366" s="1076" t="s">
        <v>291</v>
      </c>
      <c r="C366" s="1076" t="s">
        <v>690</v>
      </c>
      <c r="D366" s="1053" t="str">
        <f t="shared" si="68"/>
        <v>Ростовская областьРостов-на- Дону</v>
      </c>
      <c r="E366" s="1054">
        <v>166</v>
      </c>
      <c r="F366" s="1055">
        <v>-0.1</v>
      </c>
      <c r="G366" s="1055">
        <v>-19</v>
      </c>
      <c r="H366" s="1057">
        <v>4.8</v>
      </c>
      <c r="I366" s="1058">
        <f>E366*('Ввод исходных данных'!$D$83-F366)</f>
        <v>3336.6000000000004</v>
      </c>
      <c r="J366" s="1059" t="str">
        <f t="shared" si="58"/>
        <v>3000-4000</v>
      </c>
      <c r="K366" s="1060">
        <v>23.2</v>
      </c>
      <c r="L366" s="1060"/>
      <c r="M366" s="1061">
        <f t="shared" si="60"/>
        <v>0</v>
      </c>
      <c r="N366" s="1062">
        <f>M366*('Ввод исходных данных'!$D$83-K366)</f>
        <v>0</v>
      </c>
      <c r="O366" s="1063">
        <v>22.3</v>
      </c>
      <c r="P366" s="1063"/>
      <c r="Q366" s="1063">
        <f t="shared" si="61"/>
        <v>0</v>
      </c>
      <c r="R366" s="1063">
        <f>Q366*('Ввод исходных данных'!$D$83-O366)</f>
        <v>0</v>
      </c>
      <c r="S366" s="1064">
        <v>16.600000000000001</v>
      </c>
      <c r="T366" s="1064"/>
      <c r="U366" s="1064">
        <f t="shared" si="62"/>
        <v>0</v>
      </c>
      <c r="V366" s="1064">
        <f>U366*('Ввод исходных данных'!$D$83-S366)</f>
        <v>0</v>
      </c>
      <c r="W366" s="1065">
        <v>9.6</v>
      </c>
      <c r="X366" s="1065"/>
      <c r="Y366" s="1065">
        <f t="shared" si="63"/>
        <v>7.5</v>
      </c>
      <c r="Z366" s="1065">
        <f>Y366*('Ввод исходных данных'!$D$83-W366)</f>
        <v>78</v>
      </c>
      <c r="AA366" s="1066">
        <v>3.3</v>
      </c>
      <c r="AB366" s="1066"/>
      <c r="AC366" s="1066">
        <f t="shared" si="64"/>
        <v>30</v>
      </c>
      <c r="AD366" s="1066">
        <f>AC366*('Ввод исходных данных'!$D$83-AA366)</f>
        <v>501</v>
      </c>
      <c r="AE366" s="1067">
        <v>-1.5</v>
      </c>
      <c r="AF366" s="1067"/>
      <c r="AG366" s="1067">
        <v>31</v>
      </c>
      <c r="AH366" s="1067">
        <f>AG366*('Ввод исходных данных'!$D$83-AE366)</f>
        <v>666.5</v>
      </c>
      <c r="AI366" s="1068">
        <v>-3.8</v>
      </c>
      <c r="AJ366" s="1068"/>
      <c r="AK366" s="1068">
        <v>31</v>
      </c>
      <c r="AL366" s="1068">
        <f>AK366*('Ввод исходных данных'!$D$83-AI366)</f>
        <v>737.80000000000007</v>
      </c>
      <c r="AM366" s="1069">
        <v>-2.9</v>
      </c>
      <c r="AN366" s="1069"/>
      <c r="AO366" s="1069">
        <v>28</v>
      </c>
      <c r="AP366" s="1069">
        <f>AO366*('Ввод исходных данных'!$D$83-AM366)</f>
        <v>641.19999999999993</v>
      </c>
      <c r="AQ366" s="1064">
        <v>2.2000000000000002</v>
      </c>
      <c r="AR366" s="1064"/>
      <c r="AS366" s="1064">
        <f t="shared" si="65"/>
        <v>31</v>
      </c>
      <c r="AT366" s="1064">
        <f>AS366*('Ввод исходных данных'!$D$83-AQ366)</f>
        <v>551.80000000000007</v>
      </c>
      <c r="AU366" s="1070">
        <v>10.8</v>
      </c>
      <c r="AV366" s="1070"/>
      <c r="AW366" s="1070">
        <f t="shared" si="66"/>
        <v>7.5</v>
      </c>
      <c r="AX366" s="1070">
        <f>AW366*('Ввод исходных данных'!$D$83-AU366)</f>
        <v>69</v>
      </c>
      <c r="AY366" s="1071">
        <v>16.8</v>
      </c>
      <c r="AZ366" s="1071"/>
      <c r="BA366" s="1071">
        <f t="shared" si="67"/>
        <v>0</v>
      </c>
      <c r="BB366" s="1071">
        <f>BA366*('Ввод исходных данных'!$D$83-AY366)</f>
        <v>0</v>
      </c>
      <c r="BC366" s="1072">
        <v>20.8</v>
      </c>
      <c r="BD366" s="1072"/>
      <c r="BE366" s="1072">
        <f t="shared" si="59"/>
        <v>0</v>
      </c>
      <c r="BF366" s="1073">
        <f>BE366*('Ввод исходных данных'!$D$83-BC366)</f>
        <v>0</v>
      </c>
    </row>
    <row r="367" spans="2:58" ht="15.75" customHeight="1" x14ac:dyDescent="0.25">
      <c r="B367" s="1052" t="s">
        <v>291</v>
      </c>
      <c r="C367" s="1052" t="s">
        <v>1597</v>
      </c>
      <c r="D367" s="1053" t="str">
        <f t="shared" si="68"/>
        <v>Ростовская областьТаганрог</v>
      </c>
      <c r="E367" s="1054">
        <v>165</v>
      </c>
      <c r="F367" s="1055">
        <v>0</v>
      </c>
      <c r="G367" s="1055">
        <v>-18</v>
      </c>
      <c r="H367" s="1057">
        <v>4</v>
      </c>
      <c r="I367" s="1058">
        <f>E367*('Ввод исходных данных'!$D$83-F367)</f>
        <v>3300</v>
      </c>
      <c r="J367" s="1059" t="str">
        <f t="shared" si="58"/>
        <v>3000-4000</v>
      </c>
      <c r="K367" s="1060">
        <v>23.6</v>
      </c>
      <c r="L367" s="1060"/>
      <c r="M367" s="1061">
        <f t="shared" si="60"/>
        <v>0</v>
      </c>
      <c r="N367" s="1062">
        <f>M367*('Ввод исходных данных'!$D$83-K367)</f>
        <v>0</v>
      </c>
      <c r="O367" s="1063">
        <v>22.8</v>
      </c>
      <c r="P367" s="1063"/>
      <c r="Q367" s="1063">
        <f t="shared" si="61"/>
        <v>0</v>
      </c>
      <c r="R367" s="1063">
        <f>Q367*('Ввод исходных данных'!$D$83-O367)</f>
        <v>0</v>
      </c>
      <c r="S367" s="1064">
        <v>17.2</v>
      </c>
      <c r="T367" s="1064"/>
      <c r="U367" s="1064">
        <f t="shared" si="62"/>
        <v>0</v>
      </c>
      <c r="V367" s="1064">
        <f>U367*('Ввод исходных данных'!$D$83-S367)</f>
        <v>0</v>
      </c>
      <c r="W367" s="1065">
        <v>10.199999999999999</v>
      </c>
      <c r="X367" s="1065"/>
      <c r="Y367" s="1065">
        <f t="shared" si="63"/>
        <v>7</v>
      </c>
      <c r="Z367" s="1065">
        <f>Y367*('Ввод исходных данных'!$D$83-W367)</f>
        <v>68.600000000000009</v>
      </c>
      <c r="AA367" s="1066">
        <v>3.5</v>
      </c>
      <c r="AB367" s="1066"/>
      <c r="AC367" s="1066">
        <f t="shared" si="64"/>
        <v>30</v>
      </c>
      <c r="AD367" s="1066">
        <f>AC367*('Ввод исходных данных'!$D$83-AA367)</f>
        <v>495</v>
      </c>
      <c r="AE367" s="1067">
        <v>-1.2</v>
      </c>
      <c r="AF367" s="1067"/>
      <c r="AG367" s="1067">
        <v>31</v>
      </c>
      <c r="AH367" s="1067">
        <f>AG367*('Ввод исходных данных'!$D$83-AE367)</f>
        <v>657.19999999999993</v>
      </c>
      <c r="AI367" s="1068">
        <v>-3.5</v>
      </c>
      <c r="AJ367" s="1068"/>
      <c r="AK367" s="1068">
        <v>31</v>
      </c>
      <c r="AL367" s="1068">
        <f>AK367*('Ввод исходных данных'!$D$83-AI367)</f>
        <v>728.5</v>
      </c>
      <c r="AM367" s="1069">
        <v>-3</v>
      </c>
      <c r="AN367" s="1069"/>
      <c r="AO367" s="1069">
        <v>28</v>
      </c>
      <c r="AP367" s="1069">
        <f>AO367*('Ввод исходных данных'!$D$83-AM367)</f>
        <v>644</v>
      </c>
      <c r="AQ367" s="1064">
        <v>2.1</v>
      </c>
      <c r="AR367" s="1064"/>
      <c r="AS367" s="1064">
        <f t="shared" si="65"/>
        <v>31</v>
      </c>
      <c r="AT367" s="1064">
        <f>AS367*('Ввод исходных данных'!$D$83-AQ367)</f>
        <v>554.9</v>
      </c>
      <c r="AU367" s="1070">
        <v>10.7</v>
      </c>
      <c r="AV367" s="1070"/>
      <c r="AW367" s="1070">
        <f t="shared" si="66"/>
        <v>7</v>
      </c>
      <c r="AX367" s="1070">
        <f>AW367*('Ввод исходных данных'!$D$83-AU367)</f>
        <v>65.100000000000009</v>
      </c>
      <c r="AY367" s="1071">
        <v>17.100000000000001</v>
      </c>
      <c r="AZ367" s="1071"/>
      <c r="BA367" s="1071">
        <f t="shared" si="67"/>
        <v>0</v>
      </c>
      <c r="BB367" s="1071">
        <f>BA367*('Ввод исходных данных'!$D$83-AY367)</f>
        <v>0</v>
      </c>
      <c r="BC367" s="1072">
        <v>21.2</v>
      </c>
      <c r="BD367" s="1072"/>
      <c r="BE367" s="1072">
        <f t="shared" si="59"/>
        <v>0</v>
      </c>
      <c r="BF367" s="1073">
        <f>BE367*('Ввод исходных данных'!$D$83-BC367)</f>
        <v>0</v>
      </c>
    </row>
    <row r="368" spans="2:58" ht="15.75" customHeight="1" x14ac:dyDescent="0.25">
      <c r="B368" s="1076" t="s">
        <v>294</v>
      </c>
      <c r="C368" s="1076" t="s">
        <v>295</v>
      </c>
      <c r="D368" s="1053" t="str">
        <f t="shared" si="68"/>
        <v>Рязанская областьРязань</v>
      </c>
      <c r="E368" s="1054">
        <v>208</v>
      </c>
      <c r="F368" s="1055">
        <v>-3.5</v>
      </c>
      <c r="G368" s="1055">
        <v>-27</v>
      </c>
      <c r="H368" s="1057">
        <v>7.3</v>
      </c>
      <c r="I368" s="1058">
        <f>E368*('Ввод исходных данных'!$D$83-F368)</f>
        <v>4888</v>
      </c>
      <c r="J368" s="1059" t="str">
        <f t="shared" si="58"/>
        <v>4000-5000</v>
      </c>
      <c r="K368" s="1060">
        <v>18.5</v>
      </c>
      <c r="L368" s="1060"/>
      <c r="M368" s="1061">
        <f t="shared" si="60"/>
        <v>0</v>
      </c>
      <c r="N368" s="1062">
        <f>M368*('Ввод исходных данных'!$D$83-K368)</f>
        <v>0</v>
      </c>
      <c r="O368" s="1063">
        <v>17.2</v>
      </c>
      <c r="P368" s="1063"/>
      <c r="Q368" s="1063">
        <f t="shared" si="61"/>
        <v>0</v>
      </c>
      <c r="R368" s="1063">
        <f>Q368*('Ввод исходных данных'!$D$83-O368)</f>
        <v>0</v>
      </c>
      <c r="S368" s="1064">
        <v>11.6</v>
      </c>
      <c r="T368" s="1064"/>
      <c r="U368" s="1064">
        <f t="shared" si="62"/>
        <v>0</v>
      </c>
      <c r="V368" s="1064">
        <f>U368*('Ввод исходных данных'!$D$83-S368)</f>
        <v>0</v>
      </c>
      <c r="W368" s="1065">
        <v>4.4000000000000004</v>
      </c>
      <c r="X368" s="1065"/>
      <c r="Y368" s="1065">
        <f t="shared" si="63"/>
        <v>28.5</v>
      </c>
      <c r="Z368" s="1065">
        <f>Y368*('Ввод исходных данных'!$D$83-W368)</f>
        <v>444.59999999999997</v>
      </c>
      <c r="AA368" s="1066">
        <v>-2.2000000000000002</v>
      </c>
      <c r="AB368" s="1066"/>
      <c r="AC368" s="1066">
        <f t="shared" si="64"/>
        <v>30</v>
      </c>
      <c r="AD368" s="1066">
        <f>AC368*('Ввод исходных данных'!$D$83-AA368)</f>
        <v>666</v>
      </c>
      <c r="AE368" s="1067">
        <v>-7</v>
      </c>
      <c r="AF368" s="1067"/>
      <c r="AG368" s="1067">
        <v>31</v>
      </c>
      <c r="AH368" s="1067">
        <f>AG368*('Ввод исходных данных'!$D$83-AE368)</f>
        <v>837</v>
      </c>
      <c r="AI368" s="1068">
        <v>-11</v>
      </c>
      <c r="AJ368" s="1068"/>
      <c r="AK368" s="1068">
        <v>31</v>
      </c>
      <c r="AL368" s="1068">
        <f>AK368*('Ввод исходных данных'!$D$83-AI368)</f>
        <v>961</v>
      </c>
      <c r="AM368" s="1069">
        <v>-10</v>
      </c>
      <c r="AN368" s="1069"/>
      <c r="AO368" s="1069">
        <v>28</v>
      </c>
      <c r="AP368" s="1069">
        <f>AO368*('Ввод исходных данных'!$D$83-AM368)</f>
        <v>840</v>
      </c>
      <c r="AQ368" s="1064">
        <v>-4.7</v>
      </c>
      <c r="AR368" s="1064"/>
      <c r="AS368" s="1064">
        <f t="shared" si="65"/>
        <v>31</v>
      </c>
      <c r="AT368" s="1064">
        <f>AS368*('Ввод исходных данных'!$D$83-AQ368)</f>
        <v>765.69999999999993</v>
      </c>
      <c r="AU368" s="1070">
        <v>5.2</v>
      </c>
      <c r="AV368" s="1070"/>
      <c r="AW368" s="1070">
        <f t="shared" si="66"/>
        <v>28.5</v>
      </c>
      <c r="AX368" s="1070">
        <f>AW368*('Ввод исходных данных'!$D$83-AU368)</f>
        <v>421.8</v>
      </c>
      <c r="AY368" s="1071">
        <v>12.9</v>
      </c>
      <c r="AZ368" s="1071"/>
      <c r="BA368" s="1071">
        <f t="shared" si="67"/>
        <v>0</v>
      </c>
      <c r="BB368" s="1071">
        <f>BA368*('Ввод исходных данных'!$D$83-AY368)</f>
        <v>0</v>
      </c>
      <c r="BC368" s="1072">
        <v>17.3</v>
      </c>
      <c r="BD368" s="1072"/>
      <c r="BE368" s="1072">
        <f t="shared" si="59"/>
        <v>0</v>
      </c>
      <c r="BF368" s="1073">
        <f>BE368*('Ввод исходных данных'!$D$83-BC368)</f>
        <v>0</v>
      </c>
    </row>
    <row r="369" spans="1:58" ht="15.75" customHeight="1" x14ac:dyDescent="0.25">
      <c r="B369" s="1052" t="s">
        <v>307</v>
      </c>
      <c r="C369" s="1052" t="s">
        <v>308</v>
      </c>
      <c r="D369" s="1053" t="str">
        <f t="shared" si="68"/>
        <v>Самарская областьСамара</v>
      </c>
      <c r="E369" s="1054">
        <v>203</v>
      </c>
      <c r="F369" s="1055">
        <v>-5.2</v>
      </c>
      <c r="G369" s="1055">
        <v>-30</v>
      </c>
      <c r="H369" s="1057">
        <v>5.4</v>
      </c>
      <c r="I369" s="1058">
        <f>E369*('Ввод исходных данных'!$D$83-F369)</f>
        <v>5115.5999999999995</v>
      </c>
      <c r="J369" s="1059" t="str">
        <f t="shared" si="58"/>
        <v>5000-6000</v>
      </c>
      <c r="K369" s="1060">
        <v>20.399999999999999</v>
      </c>
      <c r="L369" s="1060"/>
      <c r="M369" s="1061">
        <f t="shared" si="60"/>
        <v>0</v>
      </c>
      <c r="N369" s="1062">
        <f>M369*('Ввод исходных данных'!$D$83-K369)</f>
        <v>0</v>
      </c>
      <c r="O369" s="1063">
        <v>19</v>
      </c>
      <c r="P369" s="1063"/>
      <c r="Q369" s="1063">
        <f t="shared" si="61"/>
        <v>0</v>
      </c>
      <c r="R369" s="1063">
        <f>Q369*('Ввод исходных данных'!$D$83-O369)</f>
        <v>0</v>
      </c>
      <c r="S369" s="1064">
        <v>12.8</v>
      </c>
      <c r="T369" s="1064"/>
      <c r="U369" s="1064">
        <f t="shared" si="62"/>
        <v>0</v>
      </c>
      <c r="V369" s="1064">
        <f>U369*('Ввод исходных данных'!$D$83-S369)</f>
        <v>0</v>
      </c>
      <c r="W369" s="1065">
        <v>4.2</v>
      </c>
      <c r="X369" s="1065"/>
      <c r="Y369" s="1065">
        <f t="shared" si="63"/>
        <v>26</v>
      </c>
      <c r="Z369" s="1065">
        <f>Y369*('Ввод исходных данных'!$D$83-W369)</f>
        <v>410.8</v>
      </c>
      <c r="AA369" s="1066">
        <v>-3.4</v>
      </c>
      <c r="AB369" s="1066"/>
      <c r="AC369" s="1066">
        <f t="shared" si="64"/>
        <v>30</v>
      </c>
      <c r="AD369" s="1066">
        <f>AC369*('Ввод исходных данных'!$D$83-AA369)</f>
        <v>702</v>
      </c>
      <c r="AE369" s="1067">
        <v>-9.6</v>
      </c>
      <c r="AF369" s="1067"/>
      <c r="AG369" s="1067">
        <v>31</v>
      </c>
      <c r="AH369" s="1067">
        <f>AG369*('Ввод исходных данных'!$D$83-AE369)</f>
        <v>917.6</v>
      </c>
      <c r="AI369" s="1068">
        <v>-13.5</v>
      </c>
      <c r="AJ369" s="1068"/>
      <c r="AK369" s="1068">
        <v>31</v>
      </c>
      <c r="AL369" s="1068">
        <f>AK369*('Ввод исходных данных'!$D$83-AI369)</f>
        <v>1038.5</v>
      </c>
      <c r="AM369" s="1069">
        <v>-12.6</v>
      </c>
      <c r="AN369" s="1069"/>
      <c r="AO369" s="1069">
        <v>28</v>
      </c>
      <c r="AP369" s="1069">
        <f>AO369*('Ввод исходных данных'!$D$83-AM369)</f>
        <v>912.80000000000007</v>
      </c>
      <c r="AQ369" s="1064">
        <v>-5.8</v>
      </c>
      <c r="AR369" s="1064"/>
      <c r="AS369" s="1064">
        <f t="shared" si="65"/>
        <v>31</v>
      </c>
      <c r="AT369" s="1064">
        <f>AS369*('Ввод исходных данных'!$D$83-AQ369)</f>
        <v>799.80000000000007</v>
      </c>
      <c r="AU369" s="1070">
        <v>5.8</v>
      </c>
      <c r="AV369" s="1070"/>
      <c r="AW369" s="1070">
        <f t="shared" si="66"/>
        <v>26</v>
      </c>
      <c r="AX369" s="1070">
        <f>AW369*('Ввод исходных данных'!$D$83-AU369)</f>
        <v>369.2</v>
      </c>
      <c r="AY369" s="1071">
        <v>14.3</v>
      </c>
      <c r="AZ369" s="1071"/>
      <c r="BA369" s="1071">
        <f t="shared" si="67"/>
        <v>0</v>
      </c>
      <c r="BB369" s="1071">
        <f>BA369*('Ввод исходных данных'!$D$83-AY369)</f>
        <v>0</v>
      </c>
      <c r="BC369" s="1072">
        <v>18.600000000000001</v>
      </c>
      <c r="BD369" s="1072"/>
      <c r="BE369" s="1072">
        <f t="shared" si="59"/>
        <v>0</v>
      </c>
      <c r="BF369" s="1073">
        <f>BE369*('Ввод исходных данных'!$D$83-BC369)</f>
        <v>0</v>
      </c>
    </row>
    <row r="370" spans="1:58" ht="15.75" customHeight="1" x14ac:dyDescent="0.25">
      <c r="B370" s="1076" t="s">
        <v>916</v>
      </c>
      <c r="C370" s="1076" t="s">
        <v>691</v>
      </c>
      <c r="D370" s="1053" t="str">
        <f t="shared" si="68"/>
        <v>Санкт-Петербург г,Санкт- Петербург</v>
      </c>
      <c r="E370" s="1054">
        <v>213</v>
      </c>
      <c r="F370" s="1055">
        <v>-1.3</v>
      </c>
      <c r="G370" s="1055">
        <v>-24</v>
      </c>
      <c r="H370" s="1057">
        <v>3.3</v>
      </c>
      <c r="I370" s="1058">
        <f>E370*('Ввод исходных данных'!$D$83-F370)</f>
        <v>4536.9000000000005</v>
      </c>
      <c r="J370" s="1059" t="str">
        <f t="shared" si="58"/>
        <v>4000-5000</v>
      </c>
      <c r="K370" s="1060">
        <v>18.3</v>
      </c>
      <c r="L370" s="1060"/>
      <c r="M370" s="1061">
        <f t="shared" si="60"/>
        <v>0</v>
      </c>
      <c r="N370" s="1062">
        <f>M370*('Ввод исходных данных'!$D$83-K370)</f>
        <v>0</v>
      </c>
      <c r="O370" s="1063">
        <v>16.7</v>
      </c>
      <c r="P370" s="1063"/>
      <c r="Q370" s="1063">
        <f t="shared" si="61"/>
        <v>0</v>
      </c>
      <c r="R370" s="1063">
        <f>Q370*('Ввод исходных данных'!$D$83-O370)</f>
        <v>0</v>
      </c>
      <c r="S370" s="1064">
        <v>11.4</v>
      </c>
      <c r="T370" s="1064"/>
      <c r="U370" s="1064">
        <f t="shared" si="62"/>
        <v>0.5</v>
      </c>
      <c r="V370" s="1064">
        <f>U370*('Ввод исходных данных'!$D$83-S370)</f>
        <v>4.3</v>
      </c>
      <c r="W370" s="1065">
        <v>5.7</v>
      </c>
      <c r="X370" s="1065"/>
      <c r="Y370" s="1065">
        <f t="shared" si="63"/>
        <v>31</v>
      </c>
      <c r="Z370" s="1065">
        <f>Y370*('Ввод исходных данных'!$D$83-W370)</f>
        <v>443.3</v>
      </c>
      <c r="AA370" s="1066">
        <v>0.2</v>
      </c>
      <c r="AB370" s="1066"/>
      <c r="AC370" s="1066">
        <f t="shared" si="64"/>
        <v>30</v>
      </c>
      <c r="AD370" s="1066">
        <f>AC370*('Ввод исходных данных'!$D$83-AA370)</f>
        <v>594</v>
      </c>
      <c r="AE370" s="1067">
        <v>-3.9</v>
      </c>
      <c r="AF370" s="1067"/>
      <c r="AG370" s="1067">
        <v>31</v>
      </c>
      <c r="AH370" s="1067">
        <f>AG370*('Ввод исходных данных'!$D$83-AE370)</f>
        <v>740.9</v>
      </c>
      <c r="AI370" s="1068">
        <v>-6.6</v>
      </c>
      <c r="AJ370" s="1068"/>
      <c r="AK370" s="1068">
        <v>31</v>
      </c>
      <c r="AL370" s="1068">
        <f>AK370*('Ввод исходных данных'!$D$83-AI370)</f>
        <v>824.6</v>
      </c>
      <c r="AM370" s="1069">
        <v>-6.3</v>
      </c>
      <c r="AN370" s="1069"/>
      <c r="AO370" s="1069">
        <v>28</v>
      </c>
      <c r="AP370" s="1069">
        <f>AO370*('Ввод исходных данных'!$D$83-AM370)</f>
        <v>736.4</v>
      </c>
      <c r="AQ370" s="1064">
        <v>-1.5</v>
      </c>
      <c r="AR370" s="1064"/>
      <c r="AS370" s="1064">
        <f t="shared" si="65"/>
        <v>31</v>
      </c>
      <c r="AT370" s="1064">
        <f>AS370*('Ввод исходных данных'!$D$83-AQ370)</f>
        <v>666.5</v>
      </c>
      <c r="AU370" s="1070">
        <v>4.5</v>
      </c>
      <c r="AV370" s="1070"/>
      <c r="AW370" s="1070">
        <f t="shared" si="66"/>
        <v>30</v>
      </c>
      <c r="AX370" s="1070">
        <f>AW370*('Ввод исходных данных'!$D$83-AU370)</f>
        <v>465</v>
      </c>
      <c r="AY370" s="1071">
        <v>10.9</v>
      </c>
      <c r="AZ370" s="1071"/>
      <c r="BA370" s="1071">
        <f t="shared" si="67"/>
        <v>0.5</v>
      </c>
      <c r="BB370" s="1071">
        <f>BA370*('Ввод исходных данных'!$D$83-AY370)</f>
        <v>4.55</v>
      </c>
      <c r="BC370" s="1072">
        <v>15.7</v>
      </c>
      <c r="BD370" s="1072"/>
      <c r="BE370" s="1072">
        <f t="shared" si="59"/>
        <v>0</v>
      </c>
      <c r="BF370" s="1073">
        <f>BE370*('Ввод исходных данных'!$D$83-BC370)</f>
        <v>0</v>
      </c>
    </row>
    <row r="371" spans="1:58" ht="15.75" customHeight="1" x14ac:dyDescent="0.25">
      <c r="B371" s="1052" t="s">
        <v>249</v>
      </c>
      <c r="C371" s="1052" t="s">
        <v>309</v>
      </c>
      <c r="D371" s="1053" t="str">
        <f t="shared" si="68"/>
        <v>Саратовская областьАлександров Гай</v>
      </c>
      <c r="E371" s="1054">
        <v>191</v>
      </c>
      <c r="F371" s="1055">
        <v>-5.2</v>
      </c>
      <c r="G371" s="1055">
        <v>-28</v>
      </c>
      <c r="H371" s="1057">
        <f>H372</f>
        <v>7.3</v>
      </c>
      <c r="I371" s="1058">
        <f>E371*('Ввод исходных данных'!$D$83-F371)</f>
        <v>4813.2</v>
      </c>
      <c r="J371" s="1059" t="str">
        <f t="shared" si="58"/>
        <v>4000-5000</v>
      </c>
      <c r="K371" s="1060">
        <v>23.6</v>
      </c>
      <c r="L371" s="1060"/>
      <c r="M371" s="1061">
        <f t="shared" si="60"/>
        <v>0</v>
      </c>
      <c r="N371" s="1062">
        <f>M371*('Ввод исходных данных'!$D$83-K371)</f>
        <v>0</v>
      </c>
      <c r="O371" s="1063">
        <v>22</v>
      </c>
      <c r="P371" s="1063"/>
      <c r="Q371" s="1063">
        <f t="shared" si="61"/>
        <v>0</v>
      </c>
      <c r="R371" s="1063">
        <f>Q371*('Ввод исходных данных'!$D$83-O371)</f>
        <v>0</v>
      </c>
      <c r="S371" s="1064">
        <v>14.9</v>
      </c>
      <c r="T371" s="1064"/>
      <c r="U371" s="1064">
        <f t="shared" si="62"/>
        <v>0</v>
      </c>
      <c r="V371" s="1064">
        <f>U371*('Ввод исходных данных'!$D$83-S371)</f>
        <v>0</v>
      </c>
      <c r="W371" s="1065">
        <v>6.1</v>
      </c>
      <c r="X371" s="1065"/>
      <c r="Y371" s="1065">
        <f t="shared" si="63"/>
        <v>20</v>
      </c>
      <c r="Z371" s="1065">
        <f>Y371*('Ввод исходных данных'!$D$83-W371)</f>
        <v>278</v>
      </c>
      <c r="AA371" s="1066">
        <v>-1.7</v>
      </c>
      <c r="AB371" s="1066"/>
      <c r="AC371" s="1066">
        <f t="shared" si="64"/>
        <v>30</v>
      </c>
      <c r="AD371" s="1066">
        <f>AC371*('Ввод исходных данных'!$D$83-AA371)</f>
        <v>651</v>
      </c>
      <c r="AE371" s="1067">
        <v>-8.3000000000000007</v>
      </c>
      <c r="AF371" s="1067"/>
      <c r="AG371" s="1067">
        <v>31</v>
      </c>
      <c r="AH371" s="1067">
        <f>AG371*('Ввод исходных данных'!$D$83-AE371)</f>
        <v>877.30000000000007</v>
      </c>
      <c r="AI371" s="1068">
        <v>-12.7</v>
      </c>
      <c r="AJ371" s="1068"/>
      <c r="AK371" s="1068">
        <v>31</v>
      </c>
      <c r="AL371" s="1068">
        <f>AK371*('Ввод исходных данных'!$D$83-AI371)</f>
        <v>1013.7</v>
      </c>
      <c r="AM371" s="1069">
        <v>-12.1</v>
      </c>
      <c r="AN371" s="1069"/>
      <c r="AO371" s="1069">
        <v>28</v>
      </c>
      <c r="AP371" s="1069">
        <f>AO371*('Ввод исходных данных'!$D$83-AM371)</f>
        <v>898.80000000000007</v>
      </c>
      <c r="AQ371" s="1064">
        <v>-4.9000000000000004</v>
      </c>
      <c r="AR371" s="1064"/>
      <c r="AS371" s="1064">
        <f t="shared" si="65"/>
        <v>31</v>
      </c>
      <c r="AT371" s="1064">
        <f>AS371*('Ввод исходных данных'!$D$83-AQ371)</f>
        <v>771.9</v>
      </c>
      <c r="AU371" s="1070">
        <v>7.9</v>
      </c>
      <c r="AV371" s="1070"/>
      <c r="AW371" s="1070">
        <f t="shared" si="66"/>
        <v>20</v>
      </c>
      <c r="AX371" s="1070">
        <f>AW371*('Ввод исходных данных'!$D$83-AU371)</f>
        <v>242</v>
      </c>
      <c r="AY371" s="1071">
        <v>16.3</v>
      </c>
      <c r="AZ371" s="1071"/>
      <c r="BA371" s="1071">
        <f t="shared" si="67"/>
        <v>0</v>
      </c>
      <c r="BB371" s="1071">
        <f>BA371*('Ввод исходных данных'!$D$83-AY371)</f>
        <v>0</v>
      </c>
      <c r="BC371" s="1072">
        <v>21</v>
      </c>
      <c r="BD371" s="1072"/>
      <c r="BE371" s="1072">
        <f t="shared" si="59"/>
        <v>0</v>
      </c>
      <c r="BF371" s="1073">
        <f>BE371*('Ввод исходных данных'!$D$83-BC371)</f>
        <v>0</v>
      </c>
    </row>
    <row r="372" spans="1:58" ht="15.75" customHeight="1" x14ac:dyDescent="0.25">
      <c r="B372" s="1076" t="s">
        <v>249</v>
      </c>
      <c r="C372" s="1088" t="s">
        <v>310</v>
      </c>
      <c r="D372" s="1053" t="str">
        <f>CONCATENATE(B372,C372)</f>
        <v>Саратовская областьБалашов</v>
      </c>
      <c r="E372" s="1054">
        <v>199</v>
      </c>
      <c r="F372" s="1055">
        <v>-4.2</v>
      </c>
      <c r="G372" s="1055">
        <v>-29</v>
      </c>
      <c r="H372" s="1057">
        <v>7.3</v>
      </c>
      <c r="I372" s="1058">
        <f>E372*('Ввод исходных данных'!$D$83-F372)</f>
        <v>4815.8</v>
      </c>
      <c r="J372" s="1059" t="str">
        <f t="shared" si="58"/>
        <v>4000-5000</v>
      </c>
      <c r="K372" s="1060">
        <v>20.6</v>
      </c>
      <c r="L372" s="1060"/>
      <c r="M372" s="1061">
        <f t="shared" si="60"/>
        <v>0</v>
      </c>
      <c r="N372" s="1062">
        <f>M372*('Ввод исходных данных'!$D$83-K372)</f>
        <v>0</v>
      </c>
      <c r="O372" s="1063">
        <v>19.2</v>
      </c>
      <c r="P372" s="1063"/>
      <c r="Q372" s="1063">
        <f t="shared" si="61"/>
        <v>0</v>
      </c>
      <c r="R372" s="1063">
        <f>Q372*('Ввод исходных данных'!$D$83-O372)</f>
        <v>0</v>
      </c>
      <c r="S372" s="1064">
        <v>12.9</v>
      </c>
      <c r="T372" s="1064"/>
      <c r="U372" s="1064">
        <f t="shared" si="62"/>
        <v>0</v>
      </c>
      <c r="V372" s="1064">
        <f>U372*('Ввод исходных данных'!$D$83-S372)</f>
        <v>0</v>
      </c>
      <c r="W372" s="1065">
        <v>5.2</v>
      </c>
      <c r="X372" s="1065"/>
      <c r="Y372" s="1065">
        <f t="shared" si="63"/>
        <v>24</v>
      </c>
      <c r="Z372" s="1065">
        <f>Y372*('Ввод исходных данных'!$D$83-W372)</f>
        <v>355.20000000000005</v>
      </c>
      <c r="AA372" s="1066">
        <v>-1.5</v>
      </c>
      <c r="AB372" s="1066"/>
      <c r="AC372" s="1066">
        <f t="shared" si="64"/>
        <v>30</v>
      </c>
      <c r="AD372" s="1066">
        <f>AC372*('Ввод исходных данных'!$D$83-AA372)</f>
        <v>645</v>
      </c>
      <c r="AE372" s="1067">
        <v>-7.6</v>
      </c>
      <c r="AF372" s="1067"/>
      <c r="AG372" s="1067">
        <v>31</v>
      </c>
      <c r="AH372" s="1067">
        <f>AG372*('Ввод исходных данных'!$D$83-AE372)</f>
        <v>855.6</v>
      </c>
      <c r="AI372" s="1068">
        <v>-10.6</v>
      </c>
      <c r="AJ372" s="1068"/>
      <c r="AK372" s="1068">
        <v>31</v>
      </c>
      <c r="AL372" s="1068">
        <f>AK372*('Ввод исходных данных'!$D$83-AI372)</f>
        <v>948.6</v>
      </c>
      <c r="AM372" s="1069">
        <v>-10.4</v>
      </c>
      <c r="AN372" s="1069"/>
      <c r="AO372" s="1069">
        <v>28</v>
      </c>
      <c r="AP372" s="1069">
        <f>AO372*('Ввод исходных данных'!$D$83-AM372)</f>
        <v>851.19999999999993</v>
      </c>
      <c r="AQ372" s="1064">
        <v>-4.5999999999999996</v>
      </c>
      <c r="AR372" s="1064"/>
      <c r="AS372" s="1064">
        <f t="shared" si="65"/>
        <v>31</v>
      </c>
      <c r="AT372" s="1064">
        <f>AS372*('Ввод исходных данных'!$D$83-AQ372)</f>
        <v>762.6</v>
      </c>
      <c r="AU372" s="1070">
        <v>6.3</v>
      </c>
      <c r="AV372" s="1070"/>
      <c r="AW372" s="1070">
        <f t="shared" si="66"/>
        <v>24</v>
      </c>
      <c r="AX372" s="1070">
        <f>AW372*('Ввод исходных данных'!$D$83-AU372)</f>
        <v>328.79999999999995</v>
      </c>
      <c r="AY372" s="1071">
        <v>14.5</v>
      </c>
      <c r="AZ372" s="1071"/>
      <c r="BA372" s="1071">
        <f t="shared" si="67"/>
        <v>0</v>
      </c>
      <c r="BB372" s="1071">
        <f>BA372*('Ввод исходных данных'!$D$83-AY372)</f>
        <v>0</v>
      </c>
      <c r="BC372" s="1072">
        <v>18.600000000000001</v>
      </c>
      <c r="BD372" s="1072"/>
      <c r="BE372" s="1072">
        <f t="shared" si="59"/>
        <v>0</v>
      </c>
      <c r="BF372" s="1073">
        <f>BE372*('Ввод исходных данных'!$D$83-BC372)</f>
        <v>0</v>
      </c>
    </row>
    <row r="373" spans="1:58" ht="15.75" customHeight="1" x14ac:dyDescent="0.25">
      <c r="B373" s="1052" t="s">
        <v>249</v>
      </c>
      <c r="C373" s="1052" t="s">
        <v>311</v>
      </c>
      <c r="D373" s="1053" t="str">
        <f t="shared" si="68"/>
        <v>Саратовская областьСаратов</v>
      </c>
      <c r="E373" s="1054">
        <v>188</v>
      </c>
      <c r="F373" s="1055">
        <v>-3.5</v>
      </c>
      <c r="G373" s="1055">
        <v>-25</v>
      </c>
      <c r="H373" s="1057">
        <v>4.4000000000000004</v>
      </c>
      <c r="I373" s="1058">
        <f>E373*('Ввод исходных данных'!$D$83-F373)</f>
        <v>4418</v>
      </c>
      <c r="J373" s="1059" t="str">
        <f t="shared" si="58"/>
        <v>4000-5000</v>
      </c>
      <c r="K373" s="1060">
        <v>22.3</v>
      </c>
      <c r="L373" s="1060"/>
      <c r="M373" s="1061">
        <f t="shared" si="60"/>
        <v>0</v>
      </c>
      <c r="N373" s="1062">
        <f>M373*('Ввод исходных данных'!$D$83-K373)</f>
        <v>0</v>
      </c>
      <c r="O373" s="1063">
        <v>20.6</v>
      </c>
      <c r="P373" s="1063"/>
      <c r="Q373" s="1063">
        <f t="shared" si="61"/>
        <v>0</v>
      </c>
      <c r="R373" s="1063">
        <f>Q373*('Ввод исходных данных'!$D$83-O373)</f>
        <v>0</v>
      </c>
      <c r="S373" s="1064">
        <v>14.3</v>
      </c>
      <c r="T373" s="1064"/>
      <c r="U373" s="1064">
        <f t="shared" si="62"/>
        <v>0</v>
      </c>
      <c r="V373" s="1064">
        <f>U373*('Ввод исходных данных'!$D$83-S373)</f>
        <v>0</v>
      </c>
      <c r="W373" s="1065">
        <v>6.7</v>
      </c>
      <c r="X373" s="1065"/>
      <c r="Y373" s="1065">
        <f t="shared" si="63"/>
        <v>18.5</v>
      </c>
      <c r="Z373" s="1065">
        <f>Y373*('Ввод исходных данных'!$D$83-W373)</f>
        <v>246.05</v>
      </c>
      <c r="AA373" s="1066">
        <v>-0.6</v>
      </c>
      <c r="AB373" s="1066"/>
      <c r="AC373" s="1066">
        <f t="shared" si="64"/>
        <v>30</v>
      </c>
      <c r="AD373" s="1066">
        <f>AC373*('Ввод исходных данных'!$D$83-AA373)</f>
        <v>618</v>
      </c>
      <c r="AE373" s="1067">
        <v>-6.4</v>
      </c>
      <c r="AF373" s="1067"/>
      <c r="AG373" s="1067">
        <v>31</v>
      </c>
      <c r="AH373" s="1067">
        <f>AG373*('Ввод исходных данных'!$D$83-AE373)</f>
        <v>818.4</v>
      </c>
      <c r="AI373" s="1068">
        <v>-8.6999999999999993</v>
      </c>
      <c r="AJ373" s="1068"/>
      <c r="AK373" s="1068">
        <v>31</v>
      </c>
      <c r="AL373" s="1068">
        <f>AK373*('Ввод исходных данных'!$D$83-AI373)</f>
        <v>889.69999999999993</v>
      </c>
      <c r="AM373" s="1069">
        <v>-8.4</v>
      </c>
      <c r="AN373" s="1069"/>
      <c r="AO373" s="1069">
        <v>28</v>
      </c>
      <c r="AP373" s="1069">
        <f>AO373*('Ввод исходных данных'!$D$83-AM373)</f>
        <v>795.19999999999993</v>
      </c>
      <c r="AQ373" s="1064">
        <v>-2.5</v>
      </c>
      <c r="AR373" s="1064"/>
      <c r="AS373" s="1064">
        <f t="shared" si="65"/>
        <v>31</v>
      </c>
      <c r="AT373" s="1064">
        <f>AS373*('Ввод исходных данных'!$D$83-AQ373)</f>
        <v>697.5</v>
      </c>
      <c r="AU373" s="1070">
        <v>8.4</v>
      </c>
      <c r="AV373" s="1070"/>
      <c r="AW373" s="1070">
        <f t="shared" si="66"/>
        <v>18.5</v>
      </c>
      <c r="AX373" s="1070">
        <f>AW373*('Ввод исходных данных'!$D$83-AU373)</f>
        <v>214.6</v>
      </c>
      <c r="AY373" s="1071">
        <v>15.9</v>
      </c>
      <c r="AZ373" s="1071"/>
      <c r="BA373" s="1071">
        <f t="shared" si="67"/>
        <v>0</v>
      </c>
      <c r="BB373" s="1071">
        <f>BA373*('Ввод исходных данных'!$D$83-AY373)</f>
        <v>0</v>
      </c>
      <c r="BC373" s="1072">
        <v>20.2</v>
      </c>
      <c r="BD373" s="1072"/>
      <c r="BE373" s="1072">
        <f t="shared" si="59"/>
        <v>0</v>
      </c>
      <c r="BF373" s="1073">
        <f>BE373*('Ввод исходных данных'!$D$83-BC373)</f>
        <v>0</v>
      </c>
    </row>
    <row r="374" spans="1:58" ht="15.75" customHeight="1" x14ac:dyDescent="0.25">
      <c r="B374" s="1076" t="s">
        <v>296</v>
      </c>
      <c r="C374" s="1076" t="s">
        <v>692</v>
      </c>
      <c r="D374" s="1053" t="str">
        <f t="shared" si="68"/>
        <v>Сахалинская областьАлександровск- Сахалинский</v>
      </c>
      <c r="E374" s="1054">
        <v>237</v>
      </c>
      <c r="F374" s="1055">
        <v>-6.4</v>
      </c>
      <c r="G374" s="1055">
        <v>-27</v>
      </c>
      <c r="H374" s="1057">
        <v>5.9</v>
      </c>
      <c r="I374" s="1058">
        <f>E374*('Ввод исходных данных'!$D$83-F374)</f>
        <v>6256.7999999999993</v>
      </c>
      <c r="J374" s="1059" t="str">
        <f t="shared" si="58"/>
        <v>6000-7000</v>
      </c>
      <c r="K374" s="1060">
        <v>15.2</v>
      </c>
      <c r="L374" s="1060"/>
      <c r="M374" s="1061">
        <f t="shared" si="60"/>
        <v>0</v>
      </c>
      <c r="N374" s="1062">
        <f>M374*('Ввод исходных данных'!$D$83-K374)</f>
        <v>0</v>
      </c>
      <c r="O374" s="1063">
        <v>16.3</v>
      </c>
      <c r="P374" s="1063"/>
      <c r="Q374" s="1063">
        <f t="shared" si="61"/>
        <v>0</v>
      </c>
      <c r="R374" s="1063">
        <f>Q374*('Ввод исходных данных'!$D$83-O374)</f>
        <v>0</v>
      </c>
      <c r="S374" s="1064">
        <v>12.1</v>
      </c>
      <c r="T374" s="1064"/>
      <c r="U374" s="1064">
        <f t="shared" si="62"/>
        <v>12.5</v>
      </c>
      <c r="V374" s="1064">
        <f>U374*('Ввод исходных данных'!$D$83-S374)</f>
        <v>98.75</v>
      </c>
      <c r="W374" s="1065">
        <v>4.8</v>
      </c>
      <c r="X374" s="1065"/>
      <c r="Y374" s="1065">
        <f t="shared" si="63"/>
        <v>31</v>
      </c>
      <c r="Z374" s="1065">
        <f>Y374*('Ввод исходных данных'!$D$83-W374)</f>
        <v>471.2</v>
      </c>
      <c r="AA374" s="1066">
        <v>-4.5999999999999996</v>
      </c>
      <c r="AB374" s="1066"/>
      <c r="AC374" s="1066">
        <f t="shared" si="64"/>
        <v>30</v>
      </c>
      <c r="AD374" s="1066">
        <f>AC374*('Ввод исходных данных'!$D$83-AA374)</f>
        <v>738</v>
      </c>
      <c r="AE374" s="1067">
        <v>-12.6</v>
      </c>
      <c r="AF374" s="1067"/>
      <c r="AG374" s="1067">
        <v>31</v>
      </c>
      <c r="AH374" s="1067">
        <f>AG374*('Ввод исходных данных'!$D$83-AE374)</f>
        <v>1010.6</v>
      </c>
      <c r="AI374" s="1068">
        <v>-16.899999999999999</v>
      </c>
      <c r="AJ374" s="1068"/>
      <c r="AK374" s="1068">
        <v>31</v>
      </c>
      <c r="AL374" s="1068">
        <f>AK374*('Ввод исходных данных'!$D$83-AI374)</f>
        <v>1143.8999999999999</v>
      </c>
      <c r="AM374" s="1069">
        <v>-15</v>
      </c>
      <c r="AN374" s="1069"/>
      <c r="AO374" s="1069">
        <v>28</v>
      </c>
      <c r="AP374" s="1069">
        <f>AO374*('Ввод исходных данных'!$D$83-AM374)</f>
        <v>980</v>
      </c>
      <c r="AQ374" s="1064">
        <v>-8.1</v>
      </c>
      <c r="AR374" s="1064"/>
      <c r="AS374" s="1064">
        <f t="shared" si="65"/>
        <v>31</v>
      </c>
      <c r="AT374" s="1064">
        <f>AS374*('Ввод исходных данных'!$D$83-AQ374)</f>
        <v>871.1</v>
      </c>
      <c r="AU374" s="1070">
        <v>0.1</v>
      </c>
      <c r="AV374" s="1070"/>
      <c r="AW374" s="1070">
        <f t="shared" si="66"/>
        <v>30</v>
      </c>
      <c r="AX374" s="1070">
        <f>AW374*('Ввод исходных данных'!$D$83-AU374)</f>
        <v>597</v>
      </c>
      <c r="AY374" s="1071">
        <v>5.9</v>
      </c>
      <c r="AZ374" s="1071"/>
      <c r="BA374" s="1071">
        <f t="shared" si="67"/>
        <v>12.5</v>
      </c>
      <c r="BB374" s="1071">
        <f>BA374*('Ввод исходных данных'!$D$83-AY374)</f>
        <v>176.25</v>
      </c>
      <c r="BC374" s="1072">
        <v>11.1</v>
      </c>
      <c r="BD374" s="1072"/>
      <c r="BE374" s="1072">
        <f t="shared" si="59"/>
        <v>0</v>
      </c>
      <c r="BF374" s="1073">
        <f>BE374*('Ввод исходных данных'!$D$83-BC374)</f>
        <v>0</v>
      </c>
    </row>
    <row r="375" spans="1:58" ht="15.75" customHeight="1" x14ac:dyDescent="0.25">
      <c r="B375" s="1052" t="s">
        <v>296</v>
      </c>
      <c r="C375" s="1052" t="s">
        <v>297</v>
      </c>
      <c r="D375" s="1053" t="str">
        <f t="shared" si="68"/>
        <v>Сахалинская областьДолинск</v>
      </c>
      <c r="E375" s="1054">
        <v>231</v>
      </c>
      <c r="F375" s="1055">
        <v>-4</v>
      </c>
      <c r="G375" s="1055">
        <v>-24</v>
      </c>
      <c r="H375" s="1057">
        <v>5.6</v>
      </c>
      <c r="I375" s="1058">
        <f>E375*('Ввод исходных данных'!$D$83-F375)</f>
        <v>5544</v>
      </c>
      <c r="J375" s="1059" t="str">
        <f t="shared" si="58"/>
        <v>5000-6000</v>
      </c>
      <c r="K375" s="1060">
        <v>15.3</v>
      </c>
      <c r="L375" s="1060"/>
      <c r="M375" s="1061">
        <f t="shared" si="60"/>
        <v>0</v>
      </c>
      <c r="N375" s="1062">
        <f>M375*('Ввод исходных данных'!$D$83-K375)</f>
        <v>0</v>
      </c>
      <c r="O375" s="1063">
        <v>16.899999999999999</v>
      </c>
      <c r="P375" s="1063"/>
      <c r="Q375" s="1063">
        <f t="shared" si="61"/>
        <v>0</v>
      </c>
      <c r="R375" s="1063">
        <f>Q375*('Ввод исходных данных'!$D$83-O375)</f>
        <v>0</v>
      </c>
      <c r="S375" s="1064">
        <v>13.1</v>
      </c>
      <c r="T375" s="1064"/>
      <c r="U375" s="1064">
        <f t="shared" si="62"/>
        <v>9.5</v>
      </c>
      <c r="V375" s="1064">
        <f>U375*('Ввод исходных данных'!$D$83-S375)</f>
        <v>65.55</v>
      </c>
      <c r="W375" s="1065">
        <v>6.4</v>
      </c>
      <c r="X375" s="1065"/>
      <c r="Y375" s="1065">
        <f t="shared" si="63"/>
        <v>31</v>
      </c>
      <c r="Z375" s="1065">
        <f>Y375*('Ввод исходных данных'!$D$83-W375)</f>
        <v>421.59999999999997</v>
      </c>
      <c r="AA375" s="1066">
        <v>-1.9</v>
      </c>
      <c r="AB375" s="1066"/>
      <c r="AC375" s="1066">
        <f t="shared" si="64"/>
        <v>30</v>
      </c>
      <c r="AD375" s="1066">
        <f>AC375*('Ввод исходных данных'!$D$83-AA375)</f>
        <v>657</v>
      </c>
      <c r="AE375" s="1067">
        <v>-8.6</v>
      </c>
      <c r="AF375" s="1067"/>
      <c r="AG375" s="1067">
        <v>31</v>
      </c>
      <c r="AH375" s="1067">
        <f>AG375*('Ввод исходных данных'!$D$83-AE375)</f>
        <v>886.6</v>
      </c>
      <c r="AI375" s="1068">
        <v>-13.5</v>
      </c>
      <c r="AJ375" s="1068"/>
      <c r="AK375" s="1068">
        <v>31</v>
      </c>
      <c r="AL375" s="1068">
        <f>AK375*('Ввод исходных данных'!$D$83-AI375)</f>
        <v>1038.5</v>
      </c>
      <c r="AM375" s="1069">
        <v>-12.4</v>
      </c>
      <c r="AN375" s="1069"/>
      <c r="AO375" s="1069">
        <v>28</v>
      </c>
      <c r="AP375" s="1069">
        <f>AO375*('Ввод исходных данных'!$D$83-AM375)</f>
        <v>907.19999999999993</v>
      </c>
      <c r="AQ375" s="1064">
        <v>-6.5</v>
      </c>
      <c r="AR375" s="1064"/>
      <c r="AS375" s="1064">
        <f t="shared" si="65"/>
        <v>31</v>
      </c>
      <c r="AT375" s="1064">
        <f>AS375*('Ввод исходных данных'!$D$83-AQ375)</f>
        <v>821.5</v>
      </c>
      <c r="AU375" s="1070">
        <v>0.9</v>
      </c>
      <c r="AV375" s="1070"/>
      <c r="AW375" s="1070">
        <f t="shared" si="66"/>
        <v>30</v>
      </c>
      <c r="AX375" s="1070">
        <f>AW375*('Ввод исходных данных'!$D$83-AU375)</f>
        <v>573</v>
      </c>
      <c r="AY375" s="1071">
        <v>6.2</v>
      </c>
      <c r="AZ375" s="1071"/>
      <c r="BA375" s="1071">
        <f t="shared" si="67"/>
        <v>9.5</v>
      </c>
      <c r="BB375" s="1071">
        <f>BA375*('Ввод исходных данных'!$D$83-AY375)</f>
        <v>131.1</v>
      </c>
      <c r="BC375" s="1072">
        <v>10.9</v>
      </c>
      <c r="BD375" s="1072"/>
      <c r="BE375" s="1072">
        <f t="shared" si="59"/>
        <v>0</v>
      </c>
      <c r="BF375" s="1073">
        <f>BE375*('Ввод исходных данных'!$D$83-BC375)</f>
        <v>0</v>
      </c>
    </row>
    <row r="376" spans="1:58" ht="15.75" customHeight="1" x14ac:dyDescent="0.25">
      <c r="B376" s="1076" t="s">
        <v>296</v>
      </c>
      <c r="C376" s="1076" t="s">
        <v>298</v>
      </c>
      <c r="D376" s="1053" t="str">
        <f t="shared" si="68"/>
        <v>Сахалинская областьКировское</v>
      </c>
      <c r="E376" s="1054">
        <v>246</v>
      </c>
      <c r="F376" s="1055">
        <v>-9.1999999999999993</v>
      </c>
      <c r="G376" s="1055">
        <v>-36</v>
      </c>
      <c r="H376" s="1057">
        <v>5.7</v>
      </c>
      <c r="I376" s="1058">
        <f>E376*('Ввод исходных данных'!$D$83-F376)</f>
        <v>7183.2</v>
      </c>
      <c r="J376" s="1059" t="str">
        <f t="shared" si="58"/>
        <v>7000-8000</v>
      </c>
      <c r="K376" s="1060">
        <v>15.6</v>
      </c>
      <c r="L376" s="1060"/>
      <c r="M376" s="1061">
        <f t="shared" si="60"/>
        <v>0</v>
      </c>
      <c r="N376" s="1062">
        <f>M376*('Ввод исходных данных'!$D$83-K376)</f>
        <v>0</v>
      </c>
      <c r="O376" s="1063">
        <v>15.5</v>
      </c>
      <c r="P376" s="1063"/>
      <c r="Q376" s="1063">
        <f t="shared" si="61"/>
        <v>0</v>
      </c>
      <c r="R376" s="1063">
        <f>Q376*('Ввод исходных данных'!$D$83-O376)</f>
        <v>0</v>
      </c>
      <c r="S376" s="1064">
        <v>10.4</v>
      </c>
      <c r="T376" s="1064"/>
      <c r="U376" s="1064">
        <f t="shared" si="62"/>
        <v>17</v>
      </c>
      <c r="V376" s="1064">
        <f>U376*('Ввод исходных данных'!$D$83-S376)</f>
        <v>163.19999999999999</v>
      </c>
      <c r="W376" s="1065">
        <v>2.1</v>
      </c>
      <c r="X376" s="1065"/>
      <c r="Y376" s="1065">
        <f t="shared" si="63"/>
        <v>31</v>
      </c>
      <c r="Z376" s="1065">
        <f>Y376*('Ввод исходных данных'!$D$83-W376)</f>
        <v>554.9</v>
      </c>
      <c r="AA376" s="1066">
        <v>-9.1</v>
      </c>
      <c r="AB376" s="1066"/>
      <c r="AC376" s="1066">
        <f t="shared" si="64"/>
        <v>30</v>
      </c>
      <c r="AD376" s="1066">
        <f>AC376*('Ввод исходных данных'!$D$83-AA376)</f>
        <v>873</v>
      </c>
      <c r="AE376" s="1067">
        <v>-19.3</v>
      </c>
      <c r="AF376" s="1067"/>
      <c r="AG376" s="1067">
        <v>31</v>
      </c>
      <c r="AH376" s="1067">
        <f>AG376*('Ввод исходных данных'!$D$83-AE376)</f>
        <v>1218.3</v>
      </c>
      <c r="AI376" s="1068">
        <v>-23.6</v>
      </c>
      <c r="AJ376" s="1068"/>
      <c r="AK376" s="1068">
        <v>31</v>
      </c>
      <c r="AL376" s="1068">
        <f>AK376*('Ввод исходных данных'!$D$83-AI376)</f>
        <v>1351.6000000000001</v>
      </c>
      <c r="AM376" s="1069">
        <v>-19.7</v>
      </c>
      <c r="AN376" s="1069"/>
      <c r="AO376" s="1069">
        <v>28</v>
      </c>
      <c r="AP376" s="1069">
        <f>AO376*('Ввод исходных данных'!$D$83-AM376)</f>
        <v>1111.6000000000001</v>
      </c>
      <c r="AQ376" s="1064">
        <v>-12</v>
      </c>
      <c r="AR376" s="1064"/>
      <c r="AS376" s="1064">
        <f t="shared" si="65"/>
        <v>31</v>
      </c>
      <c r="AT376" s="1064">
        <f>AS376*('Ввод исходных данных'!$D$83-AQ376)</f>
        <v>992</v>
      </c>
      <c r="AU376" s="1070">
        <v>-1.7</v>
      </c>
      <c r="AV376" s="1070"/>
      <c r="AW376" s="1070">
        <f t="shared" si="66"/>
        <v>30</v>
      </c>
      <c r="AX376" s="1070">
        <f>AW376*('Ввод исходных данных'!$D$83-AU376)</f>
        <v>651</v>
      </c>
      <c r="AY376" s="1071">
        <v>5.6</v>
      </c>
      <c r="AZ376" s="1071"/>
      <c r="BA376" s="1071">
        <f t="shared" si="67"/>
        <v>17</v>
      </c>
      <c r="BB376" s="1071">
        <f>BA376*('Ввод исходных данных'!$D$83-AY376)</f>
        <v>244.8</v>
      </c>
      <c r="BC376" s="1072">
        <v>11.7</v>
      </c>
      <c r="BD376" s="1072"/>
      <c r="BE376" s="1072">
        <f t="shared" si="59"/>
        <v>0</v>
      </c>
      <c r="BF376" s="1073">
        <f>BE376*('Ввод исходных данных'!$D$83-BC376)</f>
        <v>0</v>
      </c>
    </row>
    <row r="377" spans="1:58" ht="15.75" customHeight="1" x14ac:dyDescent="0.25">
      <c r="B377" s="1052" t="s">
        <v>296</v>
      </c>
      <c r="C377" s="1052" t="s">
        <v>299</v>
      </c>
      <c r="D377" s="1053" t="str">
        <f t="shared" si="68"/>
        <v>Сахалинская областьКорсаков</v>
      </c>
      <c r="E377" s="1054">
        <v>232</v>
      </c>
      <c r="F377" s="1055">
        <v>-2.7</v>
      </c>
      <c r="G377" s="1055">
        <v>-20</v>
      </c>
      <c r="H377" s="1057">
        <v>5.6</v>
      </c>
      <c r="I377" s="1058">
        <f>E377*('Ввод исходных данных'!$D$83-F377)</f>
        <v>5266.4</v>
      </c>
      <c r="J377" s="1059" t="str">
        <f t="shared" si="58"/>
        <v>5000-6000</v>
      </c>
      <c r="K377" s="1060">
        <v>14.5</v>
      </c>
      <c r="L377" s="1060"/>
      <c r="M377" s="1061">
        <f t="shared" si="60"/>
        <v>0</v>
      </c>
      <c r="N377" s="1062">
        <f>M377*('Ввод исходных данных'!$D$83-K377)</f>
        <v>0</v>
      </c>
      <c r="O377" s="1063">
        <v>16.899999999999999</v>
      </c>
      <c r="P377" s="1063"/>
      <c r="Q377" s="1063">
        <f t="shared" si="61"/>
        <v>0</v>
      </c>
      <c r="R377" s="1063">
        <f>Q377*('Ввод исходных данных'!$D$83-O377)</f>
        <v>0</v>
      </c>
      <c r="S377" s="1064">
        <v>13.7</v>
      </c>
      <c r="T377" s="1064"/>
      <c r="U377" s="1064">
        <f t="shared" si="62"/>
        <v>10</v>
      </c>
      <c r="V377" s="1064">
        <f>U377*('Ввод исходных данных'!$D$83-S377)</f>
        <v>63.000000000000007</v>
      </c>
      <c r="W377" s="1065">
        <v>7.4</v>
      </c>
      <c r="X377" s="1065"/>
      <c r="Y377" s="1065">
        <f t="shared" si="63"/>
        <v>31</v>
      </c>
      <c r="Z377" s="1065">
        <f>Y377*('Ввод исходных данных'!$D$83-W377)</f>
        <v>390.59999999999997</v>
      </c>
      <c r="AA377" s="1066">
        <v>-0.4</v>
      </c>
      <c r="AB377" s="1066"/>
      <c r="AC377" s="1066">
        <f t="shared" si="64"/>
        <v>30</v>
      </c>
      <c r="AD377" s="1066">
        <f>AC377*('Ввод исходных данных'!$D$83-AA377)</f>
        <v>612</v>
      </c>
      <c r="AE377" s="1067">
        <v>-6.8</v>
      </c>
      <c r="AF377" s="1067"/>
      <c r="AG377" s="1067">
        <v>31</v>
      </c>
      <c r="AH377" s="1067">
        <f>AG377*('Ввод исходных данных'!$D$83-AE377)</f>
        <v>830.80000000000007</v>
      </c>
      <c r="AI377" s="1068">
        <v>-10.7</v>
      </c>
      <c r="AJ377" s="1068"/>
      <c r="AK377" s="1068">
        <v>31</v>
      </c>
      <c r="AL377" s="1068">
        <f>AK377*('Ввод исходных данных'!$D$83-AI377)</f>
        <v>951.69999999999993</v>
      </c>
      <c r="AM377" s="1069">
        <v>-10.1</v>
      </c>
      <c r="AN377" s="1069"/>
      <c r="AO377" s="1069">
        <v>28</v>
      </c>
      <c r="AP377" s="1069">
        <f>AO377*('Ввод исходных данных'!$D$83-AM377)</f>
        <v>842.80000000000007</v>
      </c>
      <c r="AQ377" s="1064">
        <v>-5.3</v>
      </c>
      <c r="AR377" s="1064"/>
      <c r="AS377" s="1064">
        <f t="shared" si="65"/>
        <v>31</v>
      </c>
      <c r="AT377" s="1064">
        <f>AS377*('Ввод исходных данных'!$D$83-AQ377)</f>
        <v>784.30000000000007</v>
      </c>
      <c r="AU377" s="1070">
        <v>1.2</v>
      </c>
      <c r="AV377" s="1070"/>
      <c r="AW377" s="1070">
        <f t="shared" si="66"/>
        <v>30</v>
      </c>
      <c r="AX377" s="1070">
        <f>AW377*('Ввод исходных данных'!$D$83-AU377)</f>
        <v>564</v>
      </c>
      <c r="AY377" s="1071">
        <v>5.6</v>
      </c>
      <c r="AZ377" s="1071"/>
      <c r="BA377" s="1071">
        <f t="shared" si="67"/>
        <v>10</v>
      </c>
      <c r="BB377" s="1071">
        <f>BA377*('Ввод исходных данных'!$D$83-AY377)</f>
        <v>144</v>
      </c>
      <c r="BC377" s="1072">
        <v>10</v>
      </c>
      <c r="BD377" s="1072"/>
      <c r="BE377" s="1072">
        <f t="shared" si="59"/>
        <v>0</v>
      </c>
      <c r="BF377" s="1073">
        <f>BE377*('Ввод исходных данных'!$D$83-BC377)</f>
        <v>0</v>
      </c>
    </row>
    <row r="378" spans="1:58" ht="15.75" customHeight="1" x14ac:dyDescent="0.25">
      <c r="B378" s="1076" t="s">
        <v>296</v>
      </c>
      <c r="C378" s="1076" t="s">
        <v>300</v>
      </c>
      <c r="D378" s="1053" t="str">
        <f t="shared" si="68"/>
        <v>Сахалинская областьКурильск</v>
      </c>
      <c r="E378" s="1054">
        <v>223</v>
      </c>
      <c r="F378" s="1055">
        <v>-0.4</v>
      </c>
      <c r="G378" s="1055">
        <v>-15</v>
      </c>
      <c r="H378" s="1057">
        <v>9.5</v>
      </c>
      <c r="I378" s="1058">
        <f>E378*('Ввод исходных данных'!$D$83-F378)</f>
        <v>4549.2</v>
      </c>
      <c r="J378" s="1059" t="str">
        <f t="shared" si="58"/>
        <v>4000-5000</v>
      </c>
      <c r="K378" s="1060">
        <v>13.3</v>
      </c>
      <c r="L378" s="1060"/>
      <c r="M378" s="1061">
        <f t="shared" si="60"/>
        <v>0</v>
      </c>
      <c r="N378" s="1062">
        <f>M378*('Ввод исходных данных'!$D$83-K378)</f>
        <v>0</v>
      </c>
      <c r="O378" s="1063">
        <v>15.7</v>
      </c>
      <c r="P378" s="1063"/>
      <c r="Q378" s="1063">
        <f t="shared" si="61"/>
        <v>0</v>
      </c>
      <c r="R378" s="1063">
        <f>Q378*('Ввод исходных данных'!$D$83-O378)</f>
        <v>0</v>
      </c>
      <c r="S378" s="1064">
        <v>13.5</v>
      </c>
      <c r="T378" s="1064"/>
      <c r="U378" s="1064">
        <f t="shared" si="62"/>
        <v>5.5</v>
      </c>
      <c r="V378" s="1064">
        <f>U378*('Ввод исходных данных'!$D$83-S378)</f>
        <v>35.75</v>
      </c>
      <c r="W378" s="1065">
        <v>9.1999999999999993</v>
      </c>
      <c r="X378" s="1065"/>
      <c r="Y378" s="1065">
        <f t="shared" si="63"/>
        <v>31</v>
      </c>
      <c r="Z378" s="1065">
        <f>Y378*('Ввод исходных данных'!$D$83-W378)</f>
        <v>334.8</v>
      </c>
      <c r="AA378" s="1066">
        <v>3.6</v>
      </c>
      <c r="AB378" s="1066"/>
      <c r="AC378" s="1066">
        <f t="shared" si="64"/>
        <v>30</v>
      </c>
      <c r="AD378" s="1066">
        <f>AC378*('Ввод исходных данных'!$D$83-AA378)</f>
        <v>491.99999999999994</v>
      </c>
      <c r="AE378" s="1067">
        <v>-1.4</v>
      </c>
      <c r="AF378" s="1067"/>
      <c r="AG378" s="1067">
        <v>31</v>
      </c>
      <c r="AH378" s="1067">
        <f>AG378*('Ввод исходных данных'!$D$83-AE378)</f>
        <v>663.4</v>
      </c>
      <c r="AI378" s="1068">
        <v>-4.5999999999999996</v>
      </c>
      <c r="AJ378" s="1068"/>
      <c r="AK378" s="1068">
        <v>31</v>
      </c>
      <c r="AL378" s="1068">
        <f>AK378*('Ввод исходных данных'!$D$83-AI378)</f>
        <v>762.6</v>
      </c>
      <c r="AM378" s="1069">
        <v>-6.1</v>
      </c>
      <c r="AN378" s="1069"/>
      <c r="AO378" s="1069">
        <v>28</v>
      </c>
      <c r="AP378" s="1069">
        <f>AO378*('Ввод исходных данных'!$D$83-AM378)</f>
        <v>730.80000000000007</v>
      </c>
      <c r="AQ378" s="1064">
        <v>-3.6</v>
      </c>
      <c r="AR378" s="1064"/>
      <c r="AS378" s="1064">
        <f t="shared" si="65"/>
        <v>31</v>
      </c>
      <c r="AT378" s="1064">
        <f>AS378*('Ввод исходных данных'!$D$83-AQ378)</f>
        <v>731.6</v>
      </c>
      <c r="AU378" s="1070">
        <v>1.5</v>
      </c>
      <c r="AV378" s="1070"/>
      <c r="AW378" s="1070">
        <f t="shared" si="66"/>
        <v>30</v>
      </c>
      <c r="AX378" s="1070">
        <f>AW378*('Ввод исходных данных'!$D$83-AU378)</f>
        <v>555</v>
      </c>
      <c r="AY378" s="1071">
        <v>6</v>
      </c>
      <c r="AZ378" s="1071"/>
      <c r="BA378" s="1071">
        <f t="shared" si="67"/>
        <v>5.5</v>
      </c>
      <c r="BB378" s="1071">
        <f>BA378*('Ввод исходных данных'!$D$83-AY378)</f>
        <v>77</v>
      </c>
      <c r="BC378" s="1072">
        <v>9.5</v>
      </c>
      <c r="BD378" s="1072"/>
      <c r="BE378" s="1072">
        <f t="shared" si="59"/>
        <v>0</v>
      </c>
      <c r="BF378" s="1073">
        <f>BE378*('Ввод исходных данных'!$D$83-BC378)</f>
        <v>0</v>
      </c>
    </row>
    <row r="379" spans="1:58" ht="15.75" customHeight="1" x14ac:dyDescent="0.25">
      <c r="B379" s="1052" t="s">
        <v>296</v>
      </c>
      <c r="C379" s="1052" t="s">
        <v>301</v>
      </c>
      <c r="D379" s="1053" t="str">
        <f t="shared" si="68"/>
        <v>Сахалинская областьМакаров</v>
      </c>
      <c r="E379" s="1054">
        <v>241</v>
      </c>
      <c r="F379" s="1055">
        <v>-4.2</v>
      </c>
      <c r="G379" s="1055">
        <v>-23</v>
      </c>
      <c r="H379" s="1057">
        <f>H378</f>
        <v>9.5</v>
      </c>
      <c r="I379" s="1058">
        <f>E379*('Ввод исходных данных'!$D$83-F379)</f>
        <v>5832.2</v>
      </c>
      <c r="J379" s="1059" t="str">
        <f t="shared" si="58"/>
        <v>5000-6000</v>
      </c>
      <c r="K379" s="1060">
        <v>13.8</v>
      </c>
      <c r="L379" s="1060"/>
      <c r="M379" s="1061">
        <f t="shared" si="60"/>
        <v>0</v>
      </c>
      <c r="N379" s="1062">
        <f>M379*('Ввод исходных данных'!$D$83-K379)</f>
        <v>0</v>
      </c>
      <c r="O379" s="1063">
        <v>15.7</v>
      </c>
      <c r="P379" s="1063"/>
      <c r="Q379" s="1063">
        <f t="shared" si="61"/>
        <v>0</v>
      </c>
      <c r="R379" s="1063">
        <f>Q379*('Ввод исходных данных'!$D$83-O379)</f>
        <v>0</v>
      </c>
      <c r="S379" s="1064">
        <v>12.8</v>
      </c>
      <c r="T379" s="1064"/>
      <c r="U379" s="1064">
        <f t="shared" si="62"/>
        <v>14.5</v>
      </c>
      <c r="V379" s="1064">
        <f>U379*('Ввод исходных данных'!$D$83-S379)</f>
        <v>104.39999999999999</v>
      </c>
      <c r="W379" s="1065">
        <v>6</v>
      </c>
      <c r="X379" s="1065"/>
      <c r="Y379" s="1065">
        <f t="shared" si="63"/>
        <v>31</v>
      </c>
      <c r="Z379" s="1065">
        <f>Y379*('Ввод исходных данных'!$D$83-W379)</f>
        <v>434</v>
      </c>
      <c r="AA379" s="1066">
        <v>-3</v>
      </c>
      <c r="AB379" s="1066"/>
      <c r="AC379" s="1066">
        <f t="shared" si="64"/>
        <v>30</v>
      </c>
      <c r="AD379" s="1066">
        <f>AC379*('Ввод исходных данных'!$D$83-AA379)</f>
        <v>690</v>
      </c>
      <c r="AE379" s="1067">
        <v>-10.199999999999999</v>
      </c>
      <c r="AF379" s="1067"/>
      <c r="AG379" s="1067">
        <v>31</v>
      </c>
      <c r="AH379" s="1067">
        <f>AG379*('Ввод исходных данных'!$D$83-AE379)</f>
        <v>936.19999999999993</v>
      </c>
      <c r="AI379" s="1068">
        <v>-14.3</v>
      </c>
      <c r="AJ379" s="1068"/>
      <c r="AK379" s="1068">
        <v>31</v>
      </c>
      <c r="AL379" s="1068">
        <f>AK379*('Ввод исходных данных'!$D$83-AI379)</f>
        <v>1063.3</v>
      </c>
      <c r="AM379" s="1069">
        <v>-12.3</v>
      </c>
      <c r="AN379" s="1069"/>
      <c r="AO379" s="1069">
        <v>28</v>
      </c>
      <c r="AP379" s="1069">
        <f>AO379*('Ввод исходных данных'!$D$83-AM379)</f>
        <v>904.39999999999986</v>
      </c>
      <c r="AQ379" s="1064">
        <v>-6.7</v>
      </c>
      <c r="AR379" s="1064"/>
      <c r="AS379" s="1064">
        <f t="shared" si="65"/>
        <v>31</v>
      </c>
      <c r="AT379" s="1064">
        <f>AS379*('Ввод исходных данных'!$D$83-AQ379)</f>
        <v>827.69999999999993</v>
      </c>
      <c r="AU379" s="1070">
        <v>0.9</v>
      </c>
      <c r="AV379" s="1070"/>
      <c r="AW379" s="1070">
        <f t="shared" si="66"/>
        <v>30</v>
      </c>
      <c r="AX379" s="1070">
        <f>AW379*('Ввод исходных данных'!$D$83-AU379)</f>
        <v>573</v>
      </c>
      <c r="AY379" s="1071">
        <v>5.3</v>
      </c>
      <c r="AZ379" s="1071"/>
      <c r="BA379" s="1071">
        <f t="shared" si="67"/>
        <v>14.5</v>
      </c>
      <c r="BB379" s="1071">
        <f>BA379*('Ввод исходных данных'!$D$83-AY379)</f>
        <v>213.14999999999998</v>
      </c>
      <c r="BC379" s="1072">
        <v>9.5</v>
      </c>
      <c r="BD379" s="1072"/>
      <c r="BE379" s="1072">
        <f t="shared" si="59"/>
        <v>0</v>
      </c>
      <c r="BF379" s="1073">
        <f>BE379*('Ввод исходных данных'!$D$83-BC379)</f>
        <v>0</v>
      </c>
    </row>
    <row r="380" spans="1:58" ht="15.75" customHeight="1" x14ac:dyDescent="0.25">
      <c r="B380" s="1076" t="s">
        <v>296</v>
      </c>
      <c r="C380" s="1076" t="s">
        <v>302</v>
      </c>
      <c r="D380" s="1053" t="str">
        <f t="shared" si="68"/>
        <v>Сахалинская областьНевельск</v>
      </c>
      <c r="E380" s="1054">
        <v>219</v>
      </c>
      <c r="F380" s="1055">
        <v>-2.1</v>
      </c>
      <c r="G380" s="1055">
        <v>-16</v>
      </c>
      <c r="H380" s="1057">
        <v>7.4</v>
      </c>
      <c r="I380" s="1058">
        <f>E380*('Ввод исходных данных'!$D$83-F380)</f>
        <v>4839.9000000000005</v>
      </c>
      <c r="J380" s="1059" t="str">
        <f t="shared" si="58"/>
        <v>4000-5000</v>
      </c>
      <c r="K380" s="1060">
        <v>15.5</v>
      </c>
      <c r="L380" s="1060"/>
      <c r="M380" s="1061">
        <f t="shared" si="60"/>
        <v>0</v>
      </c>
      <c r="N380" s="1062">
        <f>M380*('Ввод исходных данных'!$D$83-K380)</f>
        <v>0</v>
      </c>
      <c r="O380" s="1063">
        <v>17.399999999999999</v>
      </c>
      <c r="P380" s="1063"/>
      <c r="Q380" s="1063">
        <f t="shared" si="61"/>
        <v>0</v>
      </c>
      <c r="R380" s="1063">
        <f>Q380*('Ввод исходных данных'!$D$83-O380)</f>
        <v>0</v>
      </c>
      <c r="S380" s="1064">
        <v>14.4</v>
      </c>
      <c r="T380" s="1064"/>
      <c r="U380" s="1064">
        <f t="shared" si="62"/>
        <v>3.5</v>
      </c>
      <c r="V380" s="1064">
        <f>U380*('Ввод исходных данных'!$D$83-S380)</f>
        <v>19.599999999999998</v>
      </c>
      <c r="W380" s="1065">
        <v>8.3000000000000007</v>
      </c>
      <c r="X380" s="1065"/>
      <c r="Y380" s="1065">
        <f t="shared" si="63"/>
        <v>31</v>
      </c>
      <c r="Z380" s="1065">
        <f>Y380*('Ввод исходных данных'!$D$83-W380)</f>
        <v>362.7</v>
      </c>
      <c r="AA380" s="1066">
        <v>0.6</v>
      </c>
      <c r="AB380" s="1066"/>
      <c r="AC380" s="1066">
        <f t="shared" si="64"/>
        <v>30</v>
      </c>
      <c r="AD380" s="1066">
        <f>AC380*('Ввод исходных данных'!$D$83-AA380)</f>
        <v>582</v>
      </c>
      <c r="AE380" s="1067">
        <v>-5.2</v>
      </c>
      <c r="AF380" s="1067"/>
      <c r="AG380" s="1067">
        <v>31</v>
      </c>
      <c r="AH380" s="1067">
        <f>AG380*('Ввод исходных данных'!$D$83-AE380)</f>
        <v>781.19999999999993</v>
      </c>
      <c r="AI380" s="1068">
        <v>-8.1999999999999993</v>
      </c>
      <c r="AJ380" s="1068"/>
      <c r="AK380" s="1068">
        <v>31</v>
      </c>
      <c r="AL380" s="1068">
        <f>AK380*('Ввод исходных данных'!$D$83-AI380)</f>
        <v>874.19999999999993</v>
      </c>
      <c r="AM380" s="1069">
        <v>-7.7</v>
      </c>
      <c r="AN380" s="1069"/>
      <c r="AO380" s="1069">
        <v>28</v>
      </c>
      <c r="AP380" s="1069">
        <f>AO380*('Ввод исходных данных'!$D$83-AM380)</f>
        <v>775.6</v>
      </c>
      <c r="AQ380" s="1064">
        <v>-3.4</v>
      </c>
      <c r="AR380" s="1064"/>
      <c r="AS380" s="1064">
        <f t="shared" si="65"/>
        <v>31</v>
      </c>
      <c r="AT380" s="1064">
        <f>AS380*('Ввод исходных данных'!$D$83-AQ380)</f>
        <v>725.4</v>
      </c>
      <c r="AU380" s="1070">
        <v>2.4</v>
      </c>
      <c r="AV380" s="1070"/>
      <c r="AW380" s="1070">
        <f t="shared" si="66"/>
        <v>30</v>
      </c>
      <c r="AX380" s="1070">
        <f>AW380*('Ввод исходных данных'!$D$83-AU380)</f>
        <v>528</v>
      </c>
      <c r="AY380" s="1071">
        <v>7.1</v>
      </c>
      <c r="AZ380" s="1071"/>
      <c r="BA380" s="1071">
        <f t="shared" si="67"/>
        <v>3.5</v>
      </c>
      <c r="BB380" s="1071">
        <f>BA380*('Ввод исходных данных'!$D$83-AY380)</f>
        <v>45.15</v>
      </c>
      <c r="BC380" s="1072">
        <v>11.3</v>
      </c>
      <c r="BD380" s="1072"/>
      <c r="BE380" s="1072">
        <f t="shared" si="59"/>
        <v>0</v>
      </c>
      <c r="BF380" s="1073">
        <f>BE380*('Ввод исходных данных'!$D$83-BC380)</f>
        <v>0</v>
      </c>
    </row>
    <row r="381" spans="1:58" ht="15.75" customHeight="1" x14ac:dyDescent="0.25">
      <c r="B381" s="1052" t="s">
        <v>296</v>
      </c>
      <c r="C381" s="1052" t="s">
        <v>303</v>
      </c>
      <c r="D381" s="1053" t="str">
        <f t="shared" si="68"/>
        <v>Сахалинская областьНоглики</v>
      </c>
      <c r="E381" s="1054">
        <v>254</v>
      </c>
      <c r="F381" s="1055">
        <v>-7.2</v>
      </c>
      <c r="G381" s="1055">
        <v>-30</v>
      </c>
      <c r="H381" s="1057">
        <v>5.3</v>
      </c>
      <c r="I381" s="1058">
        <f>E381*('Ввод исходных данных'!$D$83-F381)</f>
        <v>6908.8</v>
      </c>
      <c r="J381" s="1059" t="str">
        <f t="shared" si="58"/>
        <v>6000-7000</v>
      </c>
      <c r="K381" s="1060">
        <v>13.1</v>
      </c>
      <c r="L381" s="1060"/>
      <c r="M381" s="1061">
        <f t="shared" si="60"/>
        <v>0</v>
      </c>
      <c r="N381" s="1062">
        <f>M381*('Ввод исходных данных'!$D$83-K381)</f>
        <v>0</v>
      </c>
      <c r="O381" s="1063">
        <v>14.5</v>
      </c>
      <c r="P381" s="1063"/>
      <c r="Q381" s="1063">
        <f t="shared" si="61"/>
        <v>0</v>
      </c>
      <c r="R381" s="1063">
        <f>Q381*('Ввод исходных данных'!$D$83-O381)</f>
        <v>0</v>
      </c>
      <c r="S381" s="1064">
        <v>10.7</v>
      </c>
      <c r="T381" s="1064"/>
      <c r="U381" s="1064">
        <f t="shared" si="62"/>
        <v>21</v>
      </c>
      <c r="V381" s="1064">
        <f>U381*('Ввод исходных данных'!$D$83-S381)</f>
        <v>195.3</v>
      </c>
      <c r="W381" s="1065">
        <v>3.2</v>
      </c>
      <c r="X381" s="1065"/>
      <c r="Y381" s="1065">
        <f t="shared" si="63"/>
        <v>31</v>
      </c>
      <c r="Z381" s="1065">
        <f>Y381*('Ввод исходных данных'!$D$83-W381)</f>
        <v>520.80000000000007</v>
      </c>
      <c r="AA381" s="1066">
        <v>-7.2</v>
      </c>
      <c r="AB381" s="1066"/>
      <c r="AC381" s="1066">
        <f t="shared" si="64"/>
        <v>30</v>
      </c>
      <c r="AD381" s="1066">
        <f>AC381*('Ввод исходных данных'!$D$83-AA381)</f>
        <v>816</v>
      </c>
      <c r="AE381" s="1067">
        <v>-15.3</v>
      </c>
      <c r="AF381" s="1067"/>
      <c r="AG381" s="1067">
        <v>31</v>
      </c>
      <c r="AH381" s="1067">
        <f>AG381*('Ввод исходных данных'!$D$83-AE381)</f>
        <v>1094.3</v>
      </c>
      <c r="AI381" s="1068">
        <v>-18</v>
      </c>
      <c r="AJ381" s="1068"/>
      <c r="AK381" s="1068">
        <v>31</v>
      </c>
      <c r="AL381" s="1068">
        <f>AK381*('Ввод исходных данных'!$D$83-AI381)</f>
        <v>1178</v>
      </c>
      <c r="AM381" s="1069">
        <v>-15.9</v>
      </c>
      <c r="AN381" s="1069"/>
      <c r="AO381" s="1069">
        <v>28</v>
      </c>
      <c r="AP381" s="1069">
        <f>AO381*('Ввод исходных данных'!$D$83-AM381)</f>
        <v>1005.1999999999999</v>
      </c>
      <c r="AQ381" s="1064">
        <v>-9.6</v>
      </c>
      <c r="AR381" s="1064"/>
      <c r="AS381" s="1064">
        <f t="shared" si="65"/>
        <v>31</v>
      </c>
      <c r="AT381" s="1064">
        <f>AS381*('Ввод исходных данных'!$D$83-AQ381)</f>
        <v>917.6</v>
      </c>
      <c r="AU381" s="1070">
        <v>-1.7</v>
      </c>
      <c r="AV381" s="1070"/>
      <c r="AW381" s="1070">
        <f t="shared" si="66"/>
        <v>30</v>
      </c>
      <c r="AX381" s="1070">
        <f>AW381*('Ввод исходных данных'!$D$83-AU381)</f>
        <v>651</v>
      </c>
      <c r="AY381" s="1071">
        <v>3.6</v>
      </c>
      <c r="AZ381" s="1071"/>
      <c r="BA381" s="1071">
        <f t="shared" si="67"/>
        <v>21</v>
      </c>
      <c r="BB381" s="1071">
        <f>BA381*('Ввод исходных данных'!$D$83-AY381)</f>
        <v>344.4</v>
      </c>
      <c r="BC381" s="1072">
        <v>9.3000000000000007</v>
      </c>
      <c r="BD381" s="1072"/>
      <c r="BE381" s="1072">
        <f t="shared" si="59"/>
        <v>0</v>
      </c>
      <c r="BF381" s="1073">
        <f>BE381*('Ввод исходных данных'!$D$83-BC381)</f>
        <v>0</v>
      </c>
    </row>
    <row r="382" spans="1:58" ht="15.75" customHeight="1" x14ac:dyDescent="0.25">
      <c r="B382" s="1076" t="s">
        <v>296</v>
      </c>
      <c r="C382" s="1076" t="s">
        <v>304</v>
      </c>
      <c r="D382" s="1053" t="str">
        <f t="shared" si="68"/>
        <v>Сахалинская областьОха</v>
      </c>
      <c r="E382" s="1054">
        <v>266</v>
      </c>
      <c r="F382" s="1055">
        <v>-7.3</v>
      </c>
      <c r="G382" s="1055">
        <v>-29</v>
      </c>
      <c r="H382" s="1057">
        <v>11.2</v>
      </c>
      <c r="I382" s="1058">
        <f>E382*('Ввод исходных данных'!$D$83-F382)</f>
        <v>7261.8</v>
      </c>
      <c r="J382" s="1059" t="str">
        <f t="shared" si="58"/>
        <v>7000-8000</v>
      </c>
      <c r="K382" s="1060">
        <v>12.7</v>
      </c>
      <c r="L382" s="1060"/>
      <c r="M382" s="1061">
        <f t="shared" si="60"/>
        <v>0</v>
      </c>
      <c r="N382" s="1062">
        <f>M382*('Ввод исходных данных'!$D$83-K382)</f>
        <v>0</v>
      </c>
      <c r="O382" s="1063">
        <v>13.9</v>
      </c>
      <c r="P382" s="1063"/>
      <c r="Q382" s="1063">
        <f t="shared" si="61"/>
        <v>0</v>
      </c>
      <c r="R382" s="1063">
        <f>Q382*('Ввод исходных данных'!$D$83-O382)</f>
        <v>0</v>
      </c>
      <c r="S382" s="1064">
        <v>10.199999999999999</v>
      </c>
      <c r="T382" s="1064"/>
      <c r="U382" s="1064">
        <f t="shared" si="62"/>
        <v>27</v>
      </c>
      <c r="V382" s="1064">
        <f>U382*('Ввод исходных данных'!$D$83-S382)</f>
        <v>264.60000000000002</v>
      </c>
      <c r="W382" s="1065">
        <v>2.7</v>
      </c>
      <c r="X382" s="1065"/>
      <c r="Y382" s="1065">
        <f t="shared" si="63"/>
        <v>31</v>
      </c>
      <c r="Z382" s="1065">
        <f>Y382*('Ввод исходных данных'!$D$83-W382)</f>
        <v>536.30000000000007</v>
      </c>
      <c r="AA382" s="1066">
        <v>-6.3</v>
      </c>
      <c r="AB382" s="1066"/>
      <c r="AC382" s="1066">
        <f t="shared" si="64"/>
        <v>30</v>
      </c>
      <c r="AD382" s="1066">
        <f>AC382*('Ввод исходных данных'!$D$83-AA382)</f>
        <v>789</v>
      </c>
      <c r="AE382" s="1067">
        <v>-15.1</v>
      </c>
      <c r="AF382" s="1067"/>
      <c r="AG382" s="1067">
        <v>31</v>
      </c>
      <c r="AH382" s="1067">
        <f>AG382*('Ввод исходных данных'!$D$83-AE382)</f>
        <v>1088.1000000000001</v>
      </c>
      <c r="AI382" s="1068">
        <v>-19.7</v>
      </c>
      <c r="AJ382" s="1068"/>
      <c r="AK382" s="1068">
        <v>31</v>
      </c>
      <c r="AL382" s="1068">
        <f>AK382*('Ввод исходных данных'!$D$83-AI382)</f>
        <v>1230.7</v>
      </c>
      <c r="AM382" s="1069">
        <v>-17.7</v>
      </c>
      <c r="AN382" s="1069"/>
      <c r="AO382" s="1069">
        <v>28</v>
      </c>
      <c r="AP382" s="1069">
        <f>AO382*('Ввод исходных данных'!$D$83-AM382)</f>
        <v>1055.6000000000001</v>
      </c>
      <c r="AQ382" s="1064">
        <v>-12.5</v>
      </c>
      <c r="AR382" s="1064"/>
      <c r="AS382" s="1064">
        <f t="shared" si="65"/>
        <v>31</v>
      </c>
      <c r="AT382" s="1064">
        <f>AS382*('Ввод исходных данных'!$D$83-AQ382)</f>
        <v>1007.5</v>
      </c>
      <c r="AU382" s="1070">
        <v>-4</v>
      </c>
      <c r="AV382" s="1070"/>
      <c r="AW382" s="1070">
        <f t="shared" si="66"/>
        <v>30</v>
      </c>
      <c r="AX382" s="1070">
        <f>AW382*('Ввод исходных данных'!$D$83-AU382)</f>
        <v>720</v>
      </c>
      <c r="AY382" s="1071">
        <v>1.5</v>
      </c>
      <c r="AZ382" s="1071"/>
      <c r="BA382" s="1071">
        <f t="shared" si="67"/>
        <v>27</v>
      </c>
      <c r="BB382" s="1071">
        <f>BA382*('Ввод исходных данных'!$D$83-AY382)</f>
        <v>499.5</v>
      </c>
      <c r="BC382" s="1072">
        <v>7.7</v>
      </c>
      <c r="BD382" s="1072"/>
      <c r="BE382" s="1072">
        <f t="shared" si="59"/>
        <v>0</v>
      </c>
      <c r="BF382" s="1073">
        <f>BE382*('Ввод исходных данных'!$D$83-BC382)</f>
        <v>0</v>
      </c>
    </row>
    <row r="383" spans="1:58" ht="15.75" customHeight="1" x14ac:dyDescent="0.25">
      <c r="A383" s="1087">
        <f>AVERAGE(E373:E388)</f>
        <v>234.875</v>
      </c>
      <c r="B383" s="1052" t="s">
        <v>296</v>
      </c>
      <c r="C383" s="1052" t="s">
        <v>305</v>
      </c>
      <c r="D383" s="1053" t="str">
        <f t="shared" si="68"/>
        <v>Сахалинская областьПогиби</v>
      </c>
      <c r="E383" s="1054">
        <v>249</v>
      </c>
      <c r="F383" s="1055">
        <v>-8.6999999999999993</v>
      </c>
      <c r="G383" s="1055">
        <v>-30</v>
      </c>
      <c r="H383" s="1057">
        <v>6.1</v>
      </c>
      <c r="I383" s="1058">
        <f>E383*('Ввод исходных данных'!$D$83-F383)</f>
        <v>7146.3</v>
      </c>
      <c r="J383" s="1059" t="str">
        <f t="shared" si="58"/>
        <v>7000-8000</v>
      </c>
      <c r="K383" s="1060">
        <v>14.1</v>
      </c>
      <c r="L383" s="1060"/>
      <c r="M383" s="1061">
        <f t="shared" si="60"/>
        <v>0</v>
      </c>
      <c r="N383" s="1062">
        <f>M383*('Ввод исходных данных'!$D$83-K383)</f>
        <v>0</v>
      </c>
      <c r="O383" s="1063">
        <v>15.5</v>
      </c>
      <c r="P383" s="1063"/>
      <c r="Q383" s="1063">
        <f t="shared" si="61"/>
        <v>0</v>
      </c>
      <c r="R383" s="1063">
        <f>Q383*('Ввод исходных данных'!$D$83-O383)</f>
        <v>0</v>
      </c>
      <c r="S383" s="1064">
        <v>11.8</v>
      </c>
      <c r="T383" s="1064"/>
      <c r="U383" s="1064">
        <f t="shared" si="62"/>
        <v>18.5</v>
      </c>
      <c r="V383" s="1064">
        <f>U383*('Ввод исходных данных'!$D$83-S383)</f>
        <v>151.69999999999999</v>
      </c>
      <c r="W383" s="1065">
        <v>3.9</v>
      </c>
      <c r="X383" s="1065"/>
      <c r="Y383" s="1065">
        <f t="shared" si="63"/>
        <v>31</v>
      </c>
      <c r="Z383" s="1065">
        <f>Y383*('Ввод исходных данных'!$D$83-W383)</f>
        <v>499.1</v>
      </c>
      <c r="AA383" s="1066">
        <v>-7.3</v>
      </c>
      <c r="AB383" s="1066"/>
      <c r="AC383" s="1066">
        <f t="shared" si="64"/>
        <v>30</v>
      </c>
      <c r="AD383" s="1066">
        <f>AC383*('Ввод исходных данных'!$D$83-AA383)</f>
        <v>819</v>
      </c>
      <c r="AE383" s="1067">
        <v>-16</v>
      </c>
      <c r="AF383" s="1067"/>
      <c r="AG383" s="1067">
        <v>31</v>
      </c>
      <c r="AH383" s="1067">
        <f>AG383*('Ввод исходных данных'!$D$83-AE383)</f>
        <v>1116</v>
      </c>
      <c r="AI383" s="1068">
        <v>-19.600000000000001</v>
      </c>
      <c r="AJ383" s="1068"/>
      <c r="AK383" s="1068">
        <v>31</v>
      </c>
      <c r="AL383" s="1068">
        <f>AK383*('Ввод исходных данных'!$D$83-AI383)</f>
        <v>1227.6000000000001</v>
      </c>
      <c r="AM383" s="1069">
        <v>-18.3</v>
      </c>
      <c r="AN383" s="1069"/>
      <c r="AO383" s="1069">
        <v>28</v>
      </c>
      <c r="AP383" s="1069">
        <f>AO383*('Ввод исходных данных'!$D$83-AM383)</f>
        <v>1072.3999999999999</v>
      </c>
      <c r="AQ383" s="1064">
        <v>-11.9</v>
      </c>
      <c r="AR383" s="1064"/>
      <c r="AS383" s="1064">
        <f t="shared" si="65"/>
        <v>31</v>
      </c>
      <c r="AT383" s="1064">
        <f>AS383*('Ввод исходных данных'!$D$83-AQ383)</f>
        <v>988.9</v>
      </c>
      <c r="AU383" s="1070">
        <v>-3.2</v>
      </c>
      <c r="AV383" s="1070"/>
      <c r="AW383" s="1070">
        <f t="shared" si="66"/>
        <v>30</v>
      </c>
      <c r="AX383" s="1070">
        <f>AW383*('Ввод исходных данных'!$D$83-AU383)</f>
        <v>696</v>
      </c>
      <c r="AY383" s="1071">
        <v>2.4</v>
      </c>
      <c r="AZ383" s="1071"/>
      <c r="BA383" s="1071">
        <f t="shared" si="67"/>
        <v>18.5</v>
      </c>
      <c r="BB383" s="1071">
        <f>BA383*('Ввод исходных данных'!$D$83-AY383)</f>
        <v>325.60000000000002</v>
      </c>
      <c r="BC383" s="1072">
        <v>9.8000000000000007</v>
      </c>
      <c r="BD383" s="1072"/>
      <c r="BE383" s="1072">
        <f t="shared" si="59"/>
        <v>0</v>
      </c>
      <c r="BF383" s="1073">
        <f>BE383*('Ввод исходных данных'!$D$83-BC383)</f>
        <v>0</v>
      </c>
    </row>
    <row r="384" spans="1:58" ht="15.75" customHeight="1" x14ac:dyDescent="0.25">
      <c r="B384" s="1076" t="s">
        <v>296</v>
      </c>
      <c r="C384" s="1076" t="s">
        <v>306</v>
      </c>
      <c r="D384" s="1053" t="str">
        <f t="shared" si="68"/>
        <v>Сахалинская областьПоронайск</v>
      </c>
      <c r="E384" s="1054">
        <v>245</v>
      </c>
      <c r="F384" s="1055">
        <v>-5.8</v>
      </c>
      <c r="G384" s="1055">
        <v>-26</v>
      </c>
      <c r="H384" s="1057">
        <f>H386</f>
        <v>10.7</v>
      </c>
      <c r="I384" s="1058">
        <f>E384*('Ввод исходных данных'!$D$83-F384)</f>
        <v>6321</v>
      </c>
      <c r="J384" s="1059" t="str">
        <f t="shared" si="58"/>
        <v>6000-7000</v>
      </c>
      <c r="K384" s="1060">
        <v>13.6</v>
      </c>
      <c r="L384" s="1060"/>
      <c r="M384" s="1061">
        <f t="shared" si="60"/>
        <v>0</v>
      </c>
      <c r="N384" s="1062">
        <f>M384*('Ввод исходных данных'!$D$83-K384)</f>
        <v>0</v>
      </c>
      <c r="O384" s="1063">
        <v>15.6</v>
      </c>
      <c r="P384" s="1063"/>
      <c r="Q384" s="1063">
        <f t="shared" si="61"/>
        <v>0</v>
      </c>
      <c r="R384" s="1063">
        <f>Q384*('Ввод исходных данных'!$D$83-O384)</f>
        <v>0</v>
      </c>
      <c r="S384" s="1064">
        <v>12.1</v>
      </c>
      <c r="T384" s="1064"/>
      <c r="U384" s="1064">
        <f t="shared" si="62"/>
        <v>16.5</v>
      </c>
      <c r="V384" s="1064">
        <f>U384*('Ввод исходных данных'!$D$83-S384)</f>
        <v>130.35</v>
      </c>
      <c r="W384" s="1065">
        <v>5.0999999999999996</v>
      </c>
      <c r="X384" s="1065"/>
      <c r="Y384" s="1065">
        <f t="shared" si="63"/>
        <v>31</v>
      </c>
      <c r="Z384" s="1065">
        <f>Y384*('Ввод исходных данных'!$D$83-W384)</f>
        <v>461.90000000000003</v>
      </c>
      <c r="AA384" s="1066">
        <v>-4.5999999999999996</v>
      </c>
      <c r="AB384" s="1066"/>
      <c r="AC384" s="1066">
        <f t="shared" si="64"/>
        <v>30</v>
      </c>
      <c r="AD384" s="1066">
        <f>AC384*('Ввод исходных данных'!$D$83-AA384)</f>
        <v>738</v>
      </c>
      <c r="AE384" s="1067">
        <v>-13</v>
      </c>
      <c r="AF384" s="1067"/>
      <c r="AG384" s="1067">
        <v>31</v>
      </c>
      <c r="AH384" s="1067">
        <f>AG384*('Ввод исходных данных'!$D$83-AE384)</f>
        <v>1023</v>
      </c>
      <c r="AI384" s="1068">
        <v>-16.100000000000001</v>
      </c>
      <c r="AJ384" s="1068"/>
      <c r="AK384" s="1068">
        <v>31</v>
      </c>
      <c r="AL384" s="1068">
        <f>AK384*('Ввод исходных данных'!$D$83-AI384)</f>
        <v>1119.1000000000001</v>
      </c>
      <c r="AM384" s="1069">
        <v>-13.9</v>
      </c>
      <c r="AN384" s="1069"/>
      <c r="AO384" s="1069">
        <v>28</v>
      </c>
      <c r="AP384" s="1069">
        <f>AO384*('Ввод исходных данных'!$D$83-AM384)</f>
        <v>949.19999999999993</v>
      </c>
      <c r="AQ384" s="1064">
        <v>-7.1</v>
      </c>
      <c r="AR384" s="1064"/>
      <c r="AS384" s="1064">
        <f t="shared" si="65"/>
        <v>31</v>
      </c>
      <c r="AT384" s="1064">
        <f>AS384*('Ввод исходных данных'!$D$83-AQ384)</f>
        <v>840.1</v>
      </c>
      <c r="AU384" s="1070">
        <v>0.1</v>
      </c>
      <c r="AV384" s="1070"/>
      <c r="AW384" s="1070">
        <f t="shared" si="66"/>
        <v>30</v>
      </c>
      <c r="AX384" s="1070">
        <f>AW384*('Ввод исходных данных'!$D$83-AU384)</f>
        <v>597</v>
      </c>
      <c r="AY384" s="1071">
        <v>4.8</v>
      </c>
      <c r="AZ384" s="1071"/>
      <c r="BA384" s="1071">
        <f t="shared" si="67"/>
        <v>16.5</v>
      </c>
      <c r="BB384" s="1071">
        <f>BA384*('Ввод исходных данных'!$D$83-AY384)</f>
        <v>250.79999999999998</v>
      </c>
      <c r="BC384" s="1072">
        <v>9.4</v>
      </c>
      <c r="BD384" s="1072"/>
      <c r="BE384" s="1072">
        <f t="shared" si="59"/>
        <v>0</v>
      </c>
      <c r="BF384" s="1073">
        <f>BE384*('Ввод исходных данных'!$D$83-BC384)</f>
        <v>0</v>
      </c>
    </row>
    <row r="385" spans="2:58" ht="15.75" customHeight="1" x14ac:dyDescent="0.25">
      <c r="B385" s="1052" t="s">
        <v>296</v>
      </c>
      <c r="C385" s="1052" t="s">
        <v>693</v>
      </c>
      <c r="D385" s="1053" t="str">
        <f t="shared" si="68"/>
        <v>Сахалинская областьРыбновск</v>
      </c>
      <c r="E385" s="1054">
        <v>255</v>
      </c>
      <c r="F385" s="1055">
        <v>-8.9</v>
      </c>
      <c r="G385" s="1055">
        <v>-33</v>
      </c>
      <c r="H385" s="1057">
        <v>3.9</v>
      </c>
      <c r="I385" s="1058">
        <f>E385*('Ввод исходных данных'!$D$83-F385)</f>
        <v>7369.5</v>
      </c>
      <c r="J385" s="1059" t="str">
        <f t="shared" si="58"/>
        <v>7000-8000</v>
      </c>
      <c r="K385" s="1060">
        <v>14.4</v>
      </c>
      <c r="L385" s="1060"/>
      <c r="M385" s="1061">
        <f t="shared" si="60"/>
        <v>0</v>
      </c>
      <c r="N385" s="1062">
        <f>M385*('Ввод исходных данных'!$D$83-K385)</f>
        <v>0</v>
      </c>
      <c r="O385" s="1063">
        <v>15.1</v>
      </c>
      <c r="P385" s="1063"/>
      <c r="Q385" s="1063">
        <f t="shared" si="61"/>
        <v>0</v>
      </c>
      <c r="R385" s="1063">
        <f>Q385*('Ввод исходных данных'!$D$83-O385)</f>
        <v>0</v>
      </c>
      <c r="S385" s="1064">
        <v>11.1</v>
      </c>
      <c r="T385" s="1064"/>
      <c r="U385" s="1064">
        <f t="shared" si="62"/>
        <v>21.5</v>
      </c>
      <c r="V385" s="1064">
        <f>U385*('Ввод исходных данных'!$D$83-S385)</f>
        <v>191.35</v>
      </c>
      <c r="W385" s="1065">
        <v>3.4</v>
      </c>
      <c r="X385" s="1065"/>
      <c r="Y385" s="1065">
        <f t="shared" si="63"/>
        <v>31</v>
      </c>
      <c r="Z385" s="1065">
        <f>Y385*('Ввод исходных данных'!$D$83-W385)</f>
        <v>514.6</v>
      </c>
      <c r="AA385" s="1066">
        <v>-6.9</v>
      </c>
      <c r="AB385" s="1066"/>
      <c r="AC385" s="1066">
        <f t="shared" si="64"/>
        <v>30</v>
      </c>
      <c r="AD385" s="1066">
        <f>AC385*('Ввод исходных данных'!$D$83-AA385)</f>
        <v>807</v>
      </c>
      <c r="AE385" s="1067">
        <v>-17.399999999999999</v>
      </c>
      <c r="AF385" s="1067"/>
      <c r="AG385" s="1067">
        <v>31</v>
      </c>
      <c r="AH385" s="1067">
        <f>AG385*('Ввод исходных данных'!$D$83-AE385)</f>
        <v>1159.3999999999999</v>
      </c>
      <c r="AI385" s="1068">
        <v>-22.3</v>
      </c>
      <c r="AJ385" s="1068"/>
      <c r="AK385" s="1068">
        <v>31</v>
      </c>
      <c r="AL385" s="1068">
        <f>AK385*('Ввод исходных данных'!$D$83-AI385)</f>
        <v>1311.3</v>
      </c>
      <c r="AM385" s="1069">
        <v>-20.100000000000001</v>
      </c>
      <c r="AN385" s="1069"/>
      <c r="AO385" s="1069">
        <v>28</v>
      </c>
      <c r="AP385" s="1069">
        <f>AO385*('Ввод исходных данных'!$D$83-AM385)</f>
        <v>1122.8</v>
      </c>
      <c r="AQ385" s="1064">
        <v>-14.3</v>
      </c>
      <c r="AR385" s="1064"/>
      <c r="AS385" s="1064">
        <f t="shared" si="65"/>
        <v>31</v>
      </c>
      <c r="AT385" s="1064">
        <f>AS385*('Ввод исходных данных'!$D$83-AQ385)</f>
        <v>1063.3</v>
      </c>
      <c r="AU385" s="1070">
        <v>-4.5999999999999996</v>
      </c>
      <c r="AV385" s="1070"/>
      <c r="AW385" s="1070">
        <f t="shared" si="66"/>
        <v>30</v>
      </c>
      <c r="AX385" s="1070">
        <f>AW385*('Ввод исходных данных'!$D$83-AU385)</f>
        <v>738</v>
      </c>
      <c r="AY385" s="1071">
        <v>1.8</v>
      </c>
      <c r="AZ385" s="1071"/>
      <c r="BA385" s="1071">
        <f t="shared" si="67"/>
        <v>21.5</v>
      </c>
      <c r="BB385" s="1071">
        <f>BA385*('Ввод исходных данных'!$D$83-AY385)</f>
        <v>391.3</v>
      </c>
      <c r="BC385" s="1072">
        <v>9.4</v>
      </c>
      <c r="BD385" s="1072"/>
      <c r="BE385" s="1072">
        <f t="shared" si="59"/>
        <v>0</v>
      </c>
      <c r="BF385" s="1073">
        <f>BE385*('Ввод исходных данных'!$D$83-BC385)</f>
        <v>0</v>
      </c>
    </row>
    <row r="386" spans="2:58" ht="15.75" customHeight="1" x14ac:dyDescent="0.25">
      <c r="B386" s="1076" t="s">
        <v>296</v>
      </c>
      <c r="C386" s="1076" t="s">
        <v>694</v>
      </c>
      <c r="D386" s="1053" t="str">
        <f t="shared" si="68"/>
        <v>Сахалинская областьХолмск</v>
      </c>
      <c r="E386" s="1054">
        <v>220</v>
      </c>
      <c r="F386" s="1055">
        <v>-2.2999999999999998</v>
      </c>
      <c r="G386" s="1055">
        <v>-18</v>
      </c>
      <c r="H386" s="1057">
        <v>10.7</v>
      </c>
      <c r="I386" s="1058">
        <f>E386*('Ввод исходных данных'!$D$83-F386)</f>
        <v>4906</v>
      </c>
      <c r="J386" s="1059" t="str">
        <f t="shared" si="58"/>
        <v>4000-5000</v>
      </c>
      <c r="K386" s="1060">
        <v>15.7</v>
      </c>
      <c r="L386" s="1060"/>
      <c r="M386" s="1061">
        <f t="shared" si="60"/>
        <v>0</v>
      </c>
      <c r="N386" s="1062">
        <f>M386*('Ввод исходных данных'!$D$83-K386)</f>
        <v>0</v>
      </c>
      <c r="O386" s="1063">
        <v>17.7</v>
      </c>
      <c r="P386" s="1063"/>
      <c r="Q386" s="1063">
        <f t="shared" si="61"/>
        <v>0</v>
      </c>
      <c r="R386" s="1063">
        <f>Q386*('Ввод исходных данных'!$D$83-O386)</f>
        <v>0</v>
      </c>
      <c r="S386" s="1064">
        <v>14.2</v>
      </c>
      <c r="T386" s="1064"/>
      <c r="U386" s="1064">
        <f t="shared" si="62"/>
        <v>4</v>
      </c>
      <c r="V386" s="1064">
        <f>U386*('Ввод исходных данных'!$D$83-S386)</f>
        <v>23.200000000000003</v>
      </c>
      <c r="W386" s="1065">
        <v>7.8</v>
      </c>
      <c r="X386" s="1065"/>
      <c r="Y386" s="1065">
        <f t="shared" si="63"/>
        <v>31</v>
      </c>
      <c r="Z386" s="1065">
        <f>Y386*('Ввод исходных данных'!$D$83-W386)</f>
        <v>378.2</v>
      </c>
      <c r="AA386" s="1066">
        <v>0</v>
      </c>
      <c r="AB386" s="1066"/>
      <c r="AC386" s="1066">
        <f t="shared" si="64"/>
        <v>30</v>
      </c>
      <c r="AD386" s="1066">
        <f>AC386*('Ввод исходных данных'!$D$83-AA386)</f>
        <v>600</v>
      </c>
      <c r="AE386" s="1067">
        <v>-6.1</v>
      </c>
      <c r="AF386" s="1067"/>
      <c r="AG386" s="1067">
        <v>31</v>
      </c>
      <c r="AH386" s="1067">
        <f>AG386*('Ввод исходных данных'!$D$83-AE386)</f>
        <v>809.1</v>
      </c>
      <c r="AI386" s="1068">
        <v>-9.6999999999999993</v>
      </c>
      <c r="AJ386" s="1068"/>
      <c r="AK386" s="1068">
        <v>31</v>
      </c>
      <c r="AL386" s="1068">
        <f>AK386*('Ввод исходных данных'!$D$83-AI386)</f>
        <v>920.69999999999993</v>
      </c>
      <c r="AM386" s="1069">
        <v>-8.6999999999999993</v>
      </c>
      <c r="AN386" s="1069"/>
      <c r="AO386" s="1069">
        <v>28</v>
      </c>
      <c r="AP386" s="1069">
        <f>AO386*('Ввод исходных данных'!$D$83-AM386)</f>
        <v>803.6</v>
      </c>
      <c r="AQ386" s="1064">
        <v>-4.2</v>
      </c>
      <c r="AR386" s="1064"/>
      <c r="AS386" s="1064">
        <f t="shared" si="65"/>
        <v>31</v>
      </c>
      <c r="AT386" s="1064">
        <f>AS386*('Ввод исходных данных'!$D$83-AQ386)</f>
        <v>750.19999999999993</v>
      </c>
      <c r="AU386" s="1070">
        <v>2.2999999999999998</v>
      </c>
      <c r="AV386" s="1070"/>
      <c r="AW386" s="1070">
        <f t="shared" si="66"/>
        <v>30</v>
      </c>
      <c r="AX386" s="1070">
        <f>AW386*('Ввод исходных данных'!$D$83-AU386)</f>
        <v>531</v>
      </c>
      <c r="AY386" s="1071">
        <v>6.9</v>
      </c>
      <c r="AZ386" s="1071"/>
      <c r="BA386" s="1071">
        <f t="shared" si="67"/>
        <v>4</v>
      </c>
      <c r="BB386" s="1071">
        <f>BA386*('Ввод исходных данных'!$D$83-AY386)</f>
        <v>52.4</v>
      </c>
      <c r="BC386" s="1072">
        <v>11.4</v>
      </c>
      <c r="BD386" s="1072"/>
      <c r="BE386" s="1072">
        <f t="shared" si="59"/>
        <v>0</v>
      </c>
      <c r="BF386" s="1073">
        <f>BE386*('Ввод исходных данных'!$D$83-BC386)</f>
        <v>0</v>
      </c>
    </row>
    <row r="387" spans="2:58" ht="15.75" customHeight="1" x14ac:dyDescent="0.25">
      <c r="B387" s="1052" t="s">
        <v>296</v>
      </c>
      <c r="C387" s="1052" t="s">
        <v>695</v>
      </c>
      <c r="D387" s="1053" t="str">
        <f t="shared" si="68"/>
        <v>Сахалинская областьЮжно- Курильск</v>
      </c>
      <c r="E387" s="1054">
        <v>225</v>
      </c>
      <c r="F387" s="1055">
        <v>0</v>
      </c>
      <c r="G387" s="1055">
        <v>-13</v>
      </c>
      <c r="H387" s="1057">
        <v>6.8</v>
      </c>
      <c r="I387" s="1058">
        <f>E387*('Ввод исходных данных'!$D$83-F387)</f>
        <v>4500</v>
      </c>
      <c r="J387" s="1059" t="str">
        <f t="shared" si="58"/>
        <v>4000-5000</v>
      </c>
      <c r="K387" s="1060">
        <v>12.4</v>
      </c>
      <c r="L387" s="1060"/>
      <c r="M387" s="1061">
        <f t="shared" si="60"/>
        <v>0</v>
      </c>
      <c r="N387" s="1062">
        <f>M387*('Ввод исходных данных'!$D$83-K387)</f>
        <v>0</v>
      </c>
      <c r="O387" s="1063">
        <v>15.7</v>
      </c>
      <c r="P387" s="1063"/>
      <c r="Q387" s="1063">
        <f t="shared" si="61"/>
        <v>0</v>
      </c>
      <c r="R387" s="1063">
        <f>Q387*('Ввод исходных данных'!$D$83-O387)</f>
        <v>0</v>
      </c>
      <c r="S387" s="1064">
        <v>14.8</v>
      </c>
      <c r="T387" s="1064"/>
      <c r="U387" s="1064">
        <f t="shared" si="62"/>
        <v>6.5</v>
      </c>
      <c r="V387" s="1064">
        <f>U387*('Ввод исходных данных'!$D$83-S387)</f>
        <v>33.799999999999997</v>
      </c>
      <c r="W387" s="1065">
        <v>10.7</v>
      </c>
      <c r="X387" s="1065"/>
      <c r="Y387" s="1065">
        <f t="shared" si="63"/>
        <v>31</v>
      </c>
      <c r="Z387" s="1065">
        <f>Y387*('Ввод исходных данных'!$D$83-W387)</f>
        <v>288.3</v>
      </c>
      <c r="AA387" s="1066">
        <v>4.5</v>
      </c>
      <c r="AB387" s="1066"/>
      <c r="AC387" s="1066">
        <f t="shared" si="64"/>
        <v>30</v>
      </c>
      <c r="AD387" s="1066">
        <f>AC387*('Ввод исходных данных'!$D$83-AA387)</f>
        <v>465</v>
      </c>
      <c r="AE387" s="1067">
        <v>-1.1000000000000001</v>
      </c>
      <c r="AF387" s="1067"/>
      <c r="AG387" s="1067">
        <v>31</v>
      </c>
      <c r="AH387" s="1067">
        <f>AG387*('Ввод исходных данных'!$D$83-AE387)</f>
        <v>654.1</v>
      </c>
      <c r="AI387" s="1068">
        <v>-4.4000000000000004</v>
      </c>
      <c r="AJ387" s="1068"/>
      <c r="AK387" s="1068">
        <v>31</v>
      </c>
      <c r="AL387" s="1068">
        <f>AK387*('Ввод исходных данных'!$D$83-AI387)</f>
        <v>756.4</v>
      </c>
      <c r="AM387" s="1069">
        <v>-5.6</v>
      </c>
      <c r="AN387" s="1069"/>
      <c r="AO387" s="1069">
        <v>28</v>
      </c>
      <c r="AP387" s="1069">
        <f>AO387*('Ввод исходных данных'!$D$83-AM387)</f>
        <v>716.80000000000007</v>
      </c>
      <c r="AQ387" s="1064">
        <v>-2.7</v>
      </c>
      <c r="AR387" s="1064"/>
      <c r="AS387" s="1064">
        <f t="shared" si="65"/>
        <v>31</v>
      </c>
      <c r="AT387" s="1064">
        <f>AS387*('Ввод исходных данных'!$D$83-AQ387)</f>
        <v>703.69999999999993</v>
      </c>
      <c r="AU387" s="1070">
        <v>1.6</v>
      </c>
      <c r="AV387" s="1070"/>
      <c r="AW387" s="1070">
        <f t="shared" si="66"/>
        <v>30</v>
      </c>
      <c r="AX387" s="1070">
        <f>AW387*('Ввод исходных данных'!$D$83-AU387)</f>
        <v>552</v>
      </c>
      <c r="AY387" s="1071">
        <v>5.2</v>
      </c>
      <c r="AZ387" s="1071"/>
      <c r="BA387" s="1071">
        <f t="shared" si="67"/>
        <v>6.5</v>
      </c>
      <c r="BB387" s="1071">
        <f>BA387*('Ввод исходных данных'!$D$83-AY387)</f>
        <v>96.2</v>
      </c>
      <c r="BC387" s="1072">
        <v>8.5</v>
      </c>
      <c r="BD387" s="1072"/>
      <c r="BE387" s="1072">
        <f t="shared" si="59"/>
        <v>0</v>
      </c>
      <c r="BF387" s="1073">
        <f>BE387*('Ввод исходных данных'!$D$83-BC387)</f>
        <v>0</v>
      </c>
    </row>
    <row r="388" spans="2:58" ht="15.75" customHeight="1" x14ac:dyDescent="0.25">
      <c r="B388" s="1076" t="s">
        <v>296</v>
      </c>
      <c r="C388" s="1076" t="s">
        <v>696</v>
      </c>
      <c r="D388" s="1053" t="str">
        <f t="shared" si="68"/>
        <v>Сахалинская областьЮжно- Сахалинск</v>
      </c>
      <c r="E388" s="1054">
        <v>227</v>
      </c>
      <c r="F388" s="1055">
        <v>-4.4000000000000004</v>
      </c>
      <c r="G388" s="1055">
        <v>-22</v>
      </c>
      <c r="H388" s="1057">
        <v>3.3</v>
      </c>
      <c r="I388" s="1058">
        <f>E388*('Ввод исходных данных'!$D$83-F388)</f>
        <v>5538.7999999999993</v>
      </c>
      <c r="J388" s="1059" t="str">
        <f t="shared" si="58"/>
        <v>5000-6000</v>
      </c>
      <c r="K388" s="1060">
        <v>15.5</v>
      </c>
      <c r="L388" s="1060"/>
      <c r="M388" s="1061">
        <f t="shared" si="60"/>
        <v>0</v>
      </c>
      <c r="N388" s="1062">
        <f>M388*('Ввод исходных данных'!$D$83-K388)</f>
        <v>0</v>
      </c>
      <c r="O388" s="1063">
        <v>17</v>
      </c>
      <c r="P388" s="1063"/>
      <c r="Q388" s="1063">
        <f t="shared" si="61"/>
        <v>0</v>
      </c>
      <c r="R388" s="1063">
        <f>Q388*('Ввод исходных данных'!$D$83-O388)</f>
        <v>0</v>
      </c>
      <c r="S388" s="1064">
        <v>13</v>
      </c>
      <c r="T388" s="1064"/>
      <c r="U388" s="1064">
        <f t="shared" si="62"/>
        <v>7.5</v>
      </c>
      <c r="V388" s="1064">
        <f>U388*('Ввод исходных данных'!$D$83-S388)</f>
        <v>52.5</v>
      </c>
      <c r="W388" s="1065">
        <v>6.3</v>
      </c>
      <c r="X388" s="1065"/>
      <c r="Y388" s="1065">
        <f t="shared" si="63"/>
        <v>31</v>
      </c>
      <c r="Z388" s="1065">
        <f>Y388*('Ввод исходных данных'!$D$83-W388)</f>
        <v>424.7</v>
      </c>
      <c r="AA388" s="1066">
        <v>-1.7</v>
      </c>
      <c r="AB388" s="1066"/>
      <c r="AC388" s="1066">
        <f t="shared" si="64"/>
        <v>30</v>
      </c>
      <c r="AD388" s="1066">
        <f>AC388*('Ввод исходных данных'!$D$83-AA388)</f>
        <v>651</v>
      </c>
      <c r="AE388" s="1067">
        <v>-8.8000000000000007</v>
      </c>
      <c r="AF388" s="1067"/>
      <c r="AG388" s="1067">
        <v>31</v>
      </c>
      <c r="AH388" s="1067">
        <f>AG388*('Ввод исходных данных'!$D$83-AE388)</f>
        <v>892.80000000000007</v>
      </c>
      <c r="AI388" s="1068">
        <v>-12.8</v>
      </c>
      <c r="AJ388" s="1068"/>
      <c r="AK388" s="1068">
        <v>31</v>
      </c>
      <c r="AL388" s="1068">
        <f>AK388*('Ввод исходных данных'!$D$83-AI388)</f>
        <v>1016.8</v>
      </c>
      <c r="AM388" s="1069">
        <v>-12</v>
      </c>
      <c r="AN388" s="1069"/>
      <c r="AO388" s="1069">
        <v>28</v>
      </c>
      <c r="AP388" s="1069">
        <f>AO388*('Ввод исходных данных'!$D$83-AM388)</f>
        <v>896</v>
      </c>
      <c r="AQ388" s="1064">
        <v>-5.8</v>
      </c>
      <c r="AR388" s="1064"/>
      <c r="AS388" s="1064">
        <f t="shared" si="65"/>
        <v>31</v>
      </c>
      <c r="AT388" s="1064">
        <f>AS388*('Ввод исходных данных'!$D$83-AQ388)</f>
        <v>799.80000000000007</v>
      </c>
      <c r="AU388" s="1070">
        <v>1.6</v>
      </c>
      <c r="AV388" s="1070"/>
      <c r="AW388" s="1070">
        <f t="shared" si="66"/>
        <v>30</v>
      </c>
      <c r="AX388" s="1070">
        <f>AW388*('Ввод исходных данных'!$D$83-AU388)</f>
        <v>552</v>
      </c>
      <c r="AY388" s="1071">
        <v>7</v>
      </c>
      <c r="AZ388" s="1071"/>
      <c r="BA388" s="1071">
        <f t="shared" si="67"/>
        <v>7.5</v>
      </c>
      <c r="BB388" s="1071">
        <f>BA388*('Ввод исходных данных'!$D$83-AY388)</f>
        <v>97.5</v>
      </c>
      <c r="BC388" s="1072">
        <v>11.5</v>
      </c>
      <c r="BD388" s="1072"/>
      <c r="BE388" s="1072">
        <f t="shared" si="59"/>
        <v>0</v>
      </c>
      <c r="BF388" s="1073">
        <f>BE388*('Ввод исходных данных'!$D$83-BC388)</f>
        <v>0</v>
      </c>
    </row>
    <row r="389" spans="2:58" ht="15.75" customHeight="1" x14ac:dyDescent="0.25">
      <c r="B389" s="1052" t="s">
        <v>320</v>
      </c>
      <c r="C389" s="1052" t="s">
        <v>324</v>
      </c>
      <c r="D389" s="1053" t="str">
        <f t="shared" si="68"/>
        <v>Свердловская областьВерхотурье</v>
      </c>
      <c r="E389" s="1054">
        <v>233</v>
      </c>
      <c r="F389" s="1055">
        <v>-6.4</v>
      </c>
      <c r="G389" s="1055">
        <v>-36</v>
      </c>
      <c r="H389" s="1057">
        <v>3.1</v>
      </c>
      <c r="I389" s="1058">
        <f>E389*('Ввод исходных данных'!$D$83-F389)</f>
        <v>6151.2</v>
      </c>
      <c r="J389" s="1059" t="str">
        <f t="shared" si="58"/>
        <v>6000-7000</v>
      </c>
      <c r="K389" s="1060">
        <v>17.7</v>
      </c>
      <c r="L389" s="1060"/>
      <c r="M389" s="1061">
        <f t="shared" si="60"/>
        <v>0</v>
      </c>
      <c r="N389" s="1062">
        <f>M389*('Ввод исходных данных'!$D$83-K389)</f>
        <v>0</v>
      </c>
      <c r="O389" s="1063">
        <v>14.4</v>
      </c>
      <c r="P389" s="1063"/>
      <c r="Q389" s="1063">
        <f t="shared" si="61"/>
        <v>0</v>
      </c>
      <c r="R389" s="1063">
        <f>Q389*('Ввод исходных данных'!$D$83-O389)</f>
        <v>0</v>
      </c>
      <c r="S389" s="1064">
        <v>8.6999999999999993</v>
      </c>
      <c r="T389" s="1064"/>
      <c r="U389" s="1064">
        <f t="shared" si="62"/>
        <v>10.5</v>
      </c>
      <c r="V389" s="1064">
        <f>U389*('Ввод исходных данных'!$D$83-S389)</f>
        <v>118.65</v>
      </c>
      <c r="W389" s="1065">
        <v>1.5</v>
      </c>
      <c r="X389" s="1065"/>
      <c r="Y389" s="1065">
        <f t="shared" si="63"/>
        <v>31</v>
      </c>
      <c r="Z389" s="1065">
        <f>Y389*('Ввод исходных данных'!$D$83-W389)</f>
        <v>573.5</v>
      </c>
      <c r="AA389" s="1066">
        <v>-7.4</v>
      </c>
      <c r="AB389" s="1066"/>
      <c r="AC389" s="1066">
        <f t="shared" si="64"/>
        <v>30</v>
      </c>
      <c r="AD389" s="1066">
        <f>AC389*('Ввод исходных данных'!$D$83-AA389)</f>
        <v>822</v>
      </c>
      <c r="AE389" s="1067">
        <v>-13.4</v>
      </c>
      <c r="AF389" s="1067"/>
      <c r="AG389" s="1067">
        <v>31</v>
      </c>
      <c r="AH389" s="1067">
        <f>AG389*('Ввод исходных данных'!$D$83-AE389)</f>
        <v>1035.3999999999999</v>
      </c>
      <c r="AI389" s="1068">
        <v>-16.3</v>
      </c>
      <c r="AJ389" s="1068"/>
      <c r="AK389" s="1068">
        <v>31</v>
      </c>
      <c r="AL389" s="1068">
        <f>AK389*('Ввод исходных данных'!$D$83-AI389)</f>
        <v>1125.3</v>
      </c>
      <c r="AM389" s="1069">
        <v>-14.3</v>
      </c>
      <c r="AN389" s="1069"/>
      <c r="AO389" s="1069">
        <v>28</v>
      </c>
      <c r="AP389" s="1069">
        <f>AO389*('Ввод исходных данных'!$D$83-AM389)</f>
        <v>960.39999999999986</v>
      </c>
      <c r="AQ389" s="1064">
        <v>-5</v>
      </c>
      <c r="AR389" s="1064"/>
      <c r="AS389" s="1064">
        <f t="shared" si="65"/>
        <v>31</v>
      </c>
      <c r="AT389" s="1064">
        <f>AS389*('Ввод исходных данных'!$D$83-AQ389)</f>
        <v>775</v>
      </c>
      <c r="AU389" s="1070">
        <v>2.9</v>
      </c>
      <c r="AV389" s="1070"/>
      <c r="AW389" s="1070">
        <f t="shared" si="66"/>
        <v>30</v>
      </c>
      <c r="AX389" s="1070">
        <f>AW389*('Ввод исходных данных'!$D$83-AU389)</f>
        <v>513</v>
      </c>
      <c r="AY389" s="1071">
        <v>9.6</v>
      </c>
      <c r="AZ389" s="1071"/>
      <c r="BA389" s="1071">
        <f t="shared" si="67"/>
        <v>10.5</v>
      </c>
      <c r="BB389" s="1071">
        <f>BA389*('Ввод исходных данных'!$D$83-AY389)</f>
        <v>109.2</v>
      </c>
      <c r="BC389" s="1072">
        <v>15.3</v>
      </c>
      <c r="BD389" s="1072"/>
      <c r="BE389" s="1072">
        <f t="shared" si="59"/>
        <v>0</v>
      </c>
      <c r="BF389" s="1073">
        <f>BE389*('Ввод исходных данных'!$D$83-BC389)</f>
        <v>0</v>
      </c>
    </row>
    <row r="390" spans="2:58" ht="15.75" customHeight="1" x14ac:dyDescent="0.25">
      <c r="B390" s="1076" t="s">
        <v>320</v>
      </c>
      <c r="C390" s="1076" t="s">
        <v>325</v>
      </c>
      <c r="D390" s="1053" t="str">
        <f t="shared" si="68"/>
        <v>Свердловская областьЕкатеринбург</v>
      </c>
      <c r="E390" s="1054">
        <v>221</v>
      </c>
      <c r="F390" s="1055">
        <v>-5.4</v>
      </c>
      <c r="G390" s="1055">
        <v>-32</v>
      </c>
      <c r="H390" s="1057">
        <v>4.0999999999999996</v>
      </c>
      <c r="I390" s="1058">
        <f>E390*('Ввод исходных данных'!$D$83-F390)</f>
        <v>5613.4</v>
      </c>
      <c r="J390" s="1059" t="str">
        <f t="shared" si="58"/>
        <v>5000-6000</v>
      </c>
      <c r="K390" s="1060">
        <v>18.5</v>
      </c>
      <c r="L390" s="1060"/>
      <c r="M390" s="1061">
        <f t="shared" si="60"/>
        <v>0</v>
      </c>
      <c r="N390" s="1062">
        <f>M390*('Ввод исходных данных'!$D$83-K390)</f>
        <v>0</v>
      </c>
      <c r="O390" s="1063">
        <v>15.5</v>
      </c>
      <c r="P390" s="1063"/>
      <c r="Q390" s="1063">
        <f t="shared" si="61"/>
        <v>0</v>
      </c>
      <c r="R390" s="1063">
        <f>Q390*('Ввод исходных данных'!$D$83-O390)</f>
        <v>0</v>
      </c>
      <c r="S390" s="1064">
        <v>9.8000000000000007</v>
      </c>
      <c r="T390" s="1064"/>
      <c r="U390" s="1064">
        <f t="shared" si="62"/>
        <v>4.5</v>
      </c>
      <c r="V390" s="1064">
        <f>U390*('Ввод исходных данных'!$D$83-S390)</f>
        <v>45.9</v>
      </c>
      <c r="W390" s="1065">
        <v>2.5</v>
      </c>
      <c r="X390" s="1065"/>
      <c r="Y390" s="1065">
        <f t="shared" si="63"/>
        <v>31</v>
      </c>
      <c r="Z390" s="1065">
        <f>Y390*('Ввод исходных данных'!$D$83-W390)</f>
        <v>542.5</v>
      </c>
      <c r="AA390" s="1066">
        <v>-5.6</v>
      </c>
      <c r="AB390" s="1066"/>
      <c r="AC390" s="1066">
        <f t="shared" si="64"/>
        <v>30</v>
      </c>
      <c r="AD390" s="1066">
        <f>AC390*('Ввод исходных данных'!$D$83-AA390)</f>
        <v>768</v>
      </c>
      <c r="AE390" s="1067">
        <v>-11.3</v>
      </c>
      <c r="AF390" s="1067"/>
      <c r="AG390" s="1067">
        <v>31</v>
      </c>
      <c r="AH390" s="1067">
        <f>AG390*('Ввод исходных данных'!$D$83-AE390)</f>
        <v>970.30000000000007</v>
      </c>
      <c r="AI390" s="1068">
        <v>-13.6</v>
      </c>
      <c r="AJ390" s="1068"/>
      <c r="AK390" s="1068">
        <v>31</v>
      </c>
      <c r="AL390" s="1068">
        <f>AK390*('Ввод исходных данных'!$D$83-AI390)</f>
        <v>1041.6000000000001</v>
      </c>
      <c r="AM390" s="1069">
        <v>-11.8</v>
      </c>
      <c r="AN390" s="1069"/>
      <c r="AO390" s="1069">
        <v>28</v>
      </c>
      <c r="AP390" s="1069">
        <f>AO390*('Ввод исходных данных'!$D$83-AM390)</f>
        <v>890.4</v>
      </c>
      <c r="AQ390" s="1064">
        <v>-4</v>
      </c>
      <c r="AR390" s="1064"/>
      <c r="AS390" s="1064">
        <f t="shared" si="65"/>
        <v>31</v>
      </c>
      <c r="AT390" s="1064">
        <f>AS390*('Ввод исходных данных'!$D$83-AQ390)</f>
        <v>744</v>
      </c>
      <c r="AU390" s="1070">
        <v>4.3</v>
      </c>
      <c r="AV390" s="1070"/>
      <c r="AW390" s="1070">
        <f t="shared" si="66"/>
        <v>30</v>
      </c>
      <c r="AX390" s="1070">
        <f>AW390*('Ввод исходных данных'!$D$83-AU390)</f>
        <v>471</v>
      </c>
      <c r="AY390" s="1071">
        <v>11.2</v>
      </c>
      <c r="AZ390" s="1071"/>
      <c r="BA390" s="1071">
        <f t="shared" si="67"/>
        <v>4.5</v>
      </c>
      <c r="BB390" s="1071">
        <f>BA390*('Ввод исходных данных'!$D$83-AY390)</f>
        <v>39.6</v>
      </c>
      <c r="BC390" s="1072">
        <v>16.399999999999999</v>
      </c>
      <c r="BD390" s="1072"/>
      <c r="BE390" s="1072">
        <f t="shared" si="59"/>
        <v>0</v>
      </c>
      <c r="BF390" s="1073">
        <f>BE390*('Ввод исходных данных'!$D$83-BC390)</f>
        <v>0</v>
      </c>
    </row>
    <row r="391" spans="2:58" ht="15.75" customHeight="1" x14ac:dyDescent="0.25">
      <c r="B391" s="1052" t="s">
        <v>320</v>
      </c>
      <c r="C391" s="1052" t="s">
        <v>321</v>
      </c>
      <c r="D391" s="1053" t="str">
        <f t="shared" si="68"/>
        <v>Свердловская областьИвдель</v>
      </c>
      <c r="E391" s="1054">
        <v>245</v>
      </c>
      <c r="F391" s="1055">
        <v>-7.6</v>
      </c>
      <c r="G391" s="1055">
        <v>-39</v>
      </c>
      <c r="H391" s="1057">
        <v>2.8</v>
      </c>
      <c r="I391" s="1058">
        <f>E391*('Ввод исходных данных'!$D$83-F391)</f>
        <v>6762</v>
      </c>
      <c r="J391" s="1059" t="str">
        <f t="shared" si="58"/>
        <v>6000-7000</v>
      </c>
      <c r="K391" s="1060">
        <v>17.3</v>
      </c>
      <c r="L391" s="1060"/>
      <c r="M391" s="1061">
        <f t="shared" si="60"/>
        <v>0</v>
      </c>
      <c r="N391" s="1062">
        <f>M391*('Ввод исходных данных'!$D$83-K391)</f>
        <v>0</v>
      </c>
      <c r="O391" s="1063">
        <v>13.7</v>
      </c>
      <c r="P391" s="1063"/>
      <c r="Q391" s="1063">
        <f t="shared" si="61"/>
        <v>0</v>
      </c>
      <c r="R391" s="1063">
        <f>Q391*('Ввод исходных данных'!$D$83-O391)</f>
        <v>0</v>
      </c>
      <c r="S391" s="1064">
        <v>7.7</v>
      </c>
      <c r="T391" s="1064"/>
      <c r="U391" s="1064">
        <f t="shared" si="62"/>
        <v>16.5</v>
      </c>
      <c r="V391" s="1064">
        <f>U391*('Ввод исходных данных'!$D$83-S391)</f>
        <v>202.95000000000002</v>
      </c>
      <c r="W391" s="1065">
        <v>0.2</v>
      </c>
      <c r="X391" s="1065"/>
      <c r="Y391" s="1065">
        <f t="shared" si="63"/>
        <v>31</v>
      </c>
      <c r="Z391" s="1065">
        <f>Y391*('Ввод исходных данных'!$D$83-W391)</f>
        <v>613.80000000000007</v>
      </c>
      <c r="AA391" s="1066">
        <v>-9.5</v>
      </c>
      <c r="AB391" s="1066"/>
      <c r="AC391" s="1066">
        <f t="shared" si="64"/>
        <v>30</v>
      </c>
      <c r="AD391" s="1066">
        <f>AC391*('Ввод исходных данных'!$D$83-AA391)</f>
        <v>885</v>
      </c>
      <c r="AE391" s="1067">
        <v>-15.9</v>
      </c>
      <c r="AF391" s="1067"/>
      <c r="AG391" s="1067">
        <v>31</v>
      </c>
      <c r="AH391" s="1067">
        <f>AG391*('Ввод исходных данных'!$D$83-AE391)</f>
        <v>1112.8999999999999</v>
      </c>
      <c r="AI391" s="1068">
        <v>-19.2</v>
      </c>
      <c r="AJ391" s="1068"/>
      <c r="AK391" s="1068">
        <v>31</v>
      </c>
      <c r="AL391" s="1068">
        <f>AK391*('Ввод исходных данных'!$D$83-AI391)</f>
        <v>1215.2</v>
      </c>
      <c r="AM391" s="1069">
        <v>-16.5</v>
      </c>
      <c r="AN391" s="1069"/>
      <c r="AO391" s="1069">
        <v>28</v>
      </c>
      <c r="AP391" s="1069">
        <f>AO391*('Ввод исходных данных'!$D$83-AM391)</f>
        <v>1022</v>
      </c>
      <c r="AQ391" s="1064">
        <v>-6.2</v>
      </c>
      <c r="AR391" s="1064"/>
      <c r="AS391" s="1064">
        <f t="shared" si="65"/>
        <v>31</v>
      </c>
      <c r="AT391" s="1064">
        <f>AS391*('Ввод исходных данных'!$D$83-AQ391)</f>
        <v>812.19999999999993</v>
      </c>
      <c r="AU391" s="1070">
        <v>1.2</v>
      </c>
      <c r="AV391" s="1070"/>
      <c r="AW391" s="1070">
        <f t="shared" si="66"/>
        <v>30</v>
      </c>
      <c r="AX391" s="1070">
        <f>AW391*('Ввод исходных данных'!$D$83-AU391)</f>
        <v>564</v>
      </c>
      <c r="AY391" s="1071">
        <v>8</v>
      </c>
      <c r="AZ391" s="1071"/>
      <c r="BA391" s="1071">
        <f t="shared" si="67"/>
        <v>16.5</v>
      </c>
      <c r="BB391" s="1071">
        <f>BA391*('Ввод исходных данных'!$D$83-AY391)</f>
        <v>198</v>
      </c>
      <c r="BC391" s="1072">
        <v>14.4</v>
      </c>
      <c r="BD391" s="1072"/>
      <c r="BE391" s="1072">
        <f t="shared" si="59"/>
        <v>0</v>
      </c>
      <c r="BF391" s="1073">
        <f>BE391*('Ввод исходных данных'!$D$83-BC391)</f>
        <v>0</v>
      </c>
    </row>
    <row r="392" spans="2:58" ht="15.75" customHeight="1" x14ac:dyDescent="0.25">
      <c r="B392" s="1076" t="s">
        <v>320</v>
      </c>
      <c r="C392" s="1076" t="s">
        <v>322</v>
      </c>
      <c r="D392" s="1053" t="str">
        <f t="shared" si="68"/>
        <v>Свердловская областьКаменск-Уральский</v>
      </c>
      <c r="E392" s="1054">
        <v>222</v>
      </c>
      <c r="F392" s="1055">
        <v>-6.9</v>
      </c>
      <c r="G392" s="1055">
        <v>-35</v>
      </c>
      <c r="H392" s="1057">
        <v>4.0999999999999996</v>
      </c>
      <c r="I392" s="1058">
        <f>E392*('Ввод исходных данных'!$D$83-F392)</f>
        <v>5971.7999999999993</v>
      </c>
      <c r="J392" s="1059" t="str">
        <f t="shared" si="58"/>
        <v>5000-6000</v>
      </c>
      <c r="K392" s="1060">
        <v>18.100000000000001</v>
      </c>
      <c r="L392" s="1060"/>
      <c r="M392" s="1061">
        <f t="shared" si="60"/>
        <v>0</v>
      </c>
      <c r="N392" s="1062">
        <f>M392*('Ввод исходных данных'!$D$83-K392)</f>
        <v>0</v>
      </c>
      <c r="O392" s="1063">
        <v>15.7</v>
      </c>
      <c r="P392" s="1063"/>
      <c r="Q392" s="1063">
        <f t="shared" si="61"/>
        <v>0</v>
      </c>
      <c r="R392" s="1063">
        <f>Q392*('Ввод исходных данных'!$D$83-O392)</f>
        <v>0</v>
      </c>
      <c r="S392" s="1064">
        <v>9.9</v>
      </c>
      <c r="T392" s="1064"/>
      <c r="U392" s="1064">
        <f t="shared" si="62"/>
        <v>5</v>
      </c>
      <c r="V392" s="1064">
        <f>U392*('Ввод исходных данных'!$D$83-S392)</f>
        <v>50.5</v>
      </c>
      <c r="W392" s="1065">
        <v>1.9</v>
      </c>
      <c r="X392" s="1065"/>
      <c r="Y392" s="1065">
        <f t="shared" si="63"/>
        <v>31</v>
      </c>
      <c r="Z392" s="1065">
        <f>Y392*('Ввод исходных данных'!$D$83-W392)</f>
        <v>561.1</v>
      </c>
      <c r="AA392" s="1066">
        <v>-6.5</v>
      </c>
      <c r="AB392" s="1066"/>
      <c r="AC392" s="1066">
        <f t="shared" si="64"/>
        <v>30</v>
      </c>
      <c r="AD392" s="1066">
        <f>AC392*('Ввод исходных данных'!$D$83-AA392)</f>
        <v>795</v>
      </c>
      <c r="AE392" s="1067">
        <v>-13.5</v>
      </c>
      <c r="AF392" s="1067"/>
      <c r="AG392" s="1067">
        <v>31</v>
      </c>
      <c r="AH392" s="1067">
        <f>AG392*('Ввод исходных данных'!$D$83-AE392)</f>
        <v>1038.5</v>
      </c>
      <c r="AI392" s="1068">
        <v>-16.2</v>
      </c>
      <c r="AJ392" s="1068"/>
      <c r="AK392" s="1068">
        <v>31</v>
      </c>
      <c r="AL392" s="1068">
        <f>AK392*('Ввод исходных данных'!$D$83-AI392)</f>
        <v>1122.2</v>
      </c>
      <c r="AM392" s="1069">
        <v>-14.7</v>
      </c>
      <c r="AN392" s="1069"/>
      <c r="AO392" s="1069">
        <v>28</v>
      </c>
      <c r="AP392" s="1069">
        <f>AO392*('Ввод исходных данных'!$D$83-AM392)</f>
        <v>971.60000000000014</v>
      </c>
      <c r="AQ392" s="1064">
        <v>-7.5</v>
      </c>
      <c r="AR392" s="1064"/>
      <c r="AS392" s="1064">
        <f t="shared" si="65"/>
        <v>31</v>
      </c>
      <c r="AT392" s="1064">
        <f>AS392*('Ввод исходных данных'!$D$83-AQ392)</f>
        <v>852.5</v>
      </c>
      <c r="AU392" s="1070">
        <v>3.5</v>
      </c>
      <c r="AV392" s="1070"/>
      <c r="AW392" s="1070">
        <f t="shared" si="66"/>
        <v>30</v>
      </c>
      <c r="AX392" s="1070">
        <f>AW392*('Ввод исходных данных'!$D$83-AU392)</f>
        <v>495</v>
      </c>
      <c r="AY392" s="1071">
        <v>11.2</v>
      </c>
      <c r="AZ392" s="1071"/>
      <c r="BA392" s="1071">
        <f t="shared" si="67"/>
        <v>5</v>
      </c>
      <c r="BB392" s="1071">
        <f>BA392*('Ввод исходных данных'!$D$83-AY392)</f>
        <v>44</v>
      </c>
      <c r="BC392" s="1072">
        <v>16.2</v>
      </c>
      <c r="BD392" s="1072"/>
      <c r="BE392" s="1072">
        <f t="shared" si="59"/>
        <v>0</v>
      </c>
      <c r="BF392" s="1073">
        <f>BE392*('Ввод исходных данных'!$D$83-BC392)</f>
        <v>0</v>
      </c>
    </row>
    <row r="393" spans="2:58" ht="15.75" customHeight="1" x14ac:dyDescent="0.25">
      <c r="B393" s="1052" t="s">
        <v>320</v>
      </c>
      <c r="C393" s="1052" t="s">
        <v>323</v>
      </c>
      <c r="D393" s="1053" t="str">
        <f t="shared" si="68"/>
        <v>Свердловская областьТуринск</v>
      </c>
      <c r="E393" s="1054">
        <v>226</v>
      </c>
      <c r="F393" s="1055">
        <v>-7.7</v>
      </c>
      <c r="G393" s="1055">
        <v>-35</v>
      </c>
      <c r="H393" s="1057">
        <f>H390</f>
        <v>4.0999999999999996</v>
      </c>
      <c r="I393" s="1058">
        <f>E393*('Ввод исходных данных'!$D$83-F393)</f>
        <v>6260.2</v>
      </c>
      <c r="J393" s="1059" t="str">
        <f t="shared" ref="J393:J456" si="69">CONCATENATE(ROUNDDOWN(I393/1000,0)*1000,"-",ROUNDUP(I393/1000,0)*1000)</f>
        <v>6000-7000</v>
      </c>
      <c r="K393" s="1060">
        <v>17.8</v>
      </c>
      <c r="L393" s="1060"/>
      <c r="M393" s="1061">
        <f t="shared" si="60"/>
        <v>0</v>
      </c>
      <c r="N393" s="1062">
        <f>M393*('Ввод исходных данных'!$D$83-K393)</f>
        <v>0</v>
      </c>
      <c r="O393" s="1063">
        <v>15</v>
      </c>
      <c r="P393" s="1063"/>
      <c r="Q393" s="1063">
        <f t="shared" si="61"/>
        <v>0</v>
      </c>
      <c r="R393" s="1063">
        <f>Q393*('Ввод исходных данных'!$D$83-O393)</f>
        <v>0</v>
      </c>
      <c r="S393" s="1064">
        <v>9.5</v>
      </c>
      <c r="T393" s="1064"/>
      <c r="U393" s="1064">
        <f t="shared" si="62"/>
        <v>7</v>
      </c>
      <c r="V393" s="1064">
        <f>U393*('Ввод исходных данных'!$D$83-S393)</f>
        <v>73.5</v>
      </c>
      <c r="W393" s="1065">
        <v>0.9</v>
      </c>
      <c r="X393" s="1065"/>
      <c r="Y393" s="1065">
        <f t="shared" si="63"/>
        <v>31</v>
      </c>
      <c r="Z393" s="1065">
        <f>Y393*('Ввод исходных данных'!$D$83-W393)</f>
        <v>592.1</v>
      </c>
      <c r="AA393" s="1066">
        <v>-7.7</v>
      </c>
      <c r="AB393" s="1066"/>
      <c r="AC393" s="1066">
        <f t="shared" si="64"/>
        <v>30</v>
      </c>
      <c r="AD393" s="1066">
        <f>AC393*('Ввод исходных данных'!$D$83-AA393)</f>
        <v>831</v>
      </c>
      <c r="AE393" s="1067">
        <v>-14.8</v>
      </c>
      <c r="AF393" s="1067"/>
      <c r="AG393" s="1067">
        <v>31</v>
      </c>
      <c r="AH393" s="1067">
        <f>AG393*('Ввод исходных данных'!$D$83-AE393)</f>
        <v>1078.8</v>
      </c>
      <c r="AI393" s="1068">
        <v>-18</v>
      </c>
      <c r="AJ393" s="1068"/>
      <c r="AK393" s="1068">
        <v>31</v>
      </c>
      <c r="AL393" s="1068">
        <f>AK393*('Ввод исходных данных'!$D$83-AI393)</f>
        <v>1178</v>
      </c>
      <c r="AM393" s="1069">
        <v>-16.2</v>
      </c>
      <c r="AN393" s="1069"/>
      <c r="AO393" s="1069">
        <v>28</v>
      </c>
      <c r="AP393" s="1069">
        <f>AO393*('Ввод исходных данных'!$D$83-AM393)</f>
        <v>1013.6000000000001</v>
      </c>
      <c r="AQ393" s="1064">
        <v>-8.3000000000000007</v>
      </c>
      <c r="AR393" s="1064"/>
      <c r="AS393" s="1064">
        <f t="shared" si="65"/>
        <v>31</v>
      </c>
      <c r="AT393" s="1064">
        <f>AS393*('Ввод исходных данных'!$D$83-AQ393)</f>
        <v>877.30000000000007</v>
      </c>
      <c r="AU393" s="1070">
        <v>3</v>
      </c>
      <c r="AV393" s="1070"/>
      <c r="AW393" s="1070">
        <f t="shared" si="66"/>
        <v>30</v>
      </c>
      <c r="AX393" s="1070">
        <f>AW393*('Ввод исходных данных'!$D$83-AU393)</f>
        <v>510</v>
      </c>
      <c r="AY393" s="1071">
        <v>10.8</v>
      </c>
      <c r="AZ393" s="1071"/>
      <c r="BA393" s="1071">
        <f t="shared" si="67"/>
        <v>7</v>
      </c>
      <c r="BB393" s="1071">
        <f>BA393*('Ввод исходных данных'!$D$83-AY393)</f>
        <v>64.399999999999991</v>
      </c>
      <c r="BC393" s="1072">
        <v>15.7</v>
      </c>
      <c r="BD393" s="1072"/>
      <c r="BE393" s="1072">
        <f t="shared" si="59"/>
        <v>0</v>
      </c>
      <c r="BF393" s="1073">
        <f>BE393*('Ввод исходных данных'!$D$83-BC393)</f>
        <v>0</v>
      </c>
    </row>
    <row r="394" spans="2:58" ht="15.75" customHeight="1" x14ac:dyDescent="0.25">
      <c r="B394" s="1076" t="s">
        <v>320</v>
      </c>
      <c r="C394" s="1076" t="s">
        <v>697</v>
      </c>
      <c r="D394" s="1053" t="str">
        <f t="shared" si="68"/>
        <v>Свердловская областьШамары</v>
      </c>
      <c r="E394" s="1054">
        <v>235</v>
      </c>
      <c r="F394" s="1055">
        <v>-6.4</v>
      </c>
      <c r="G394" s="1055">
        <v>-35</v>
      </c>
      <c r="H394" s="1057">
        <v>4.0999999999999996</v>
      </c>
      <c r="I394" s="1058">
        <f>E394*('Ввод исходных данных'!$D$83-F394)</f>
        <v>6204</v>
      </c>
      <c r="J394" s="1059" t="str">
        <f t="shared" si="69"/>
        <v>6000-7000</v>
      </c>
      <c r="K394" s="1060">
        <v>17</v>
      </c>
      <c r="L394" s="1060"/>
      <c r="M394" s="1061">
        <f t="shared" si="60"/>
        <v>0</v>
      </c>
      <c r="N394" s="1062">
        <f>M394*('Ввод исходных данных'!$D$83-K394)</f>
        <v>0</v>
      </c>
      <c r="O394" s="1063">
        <v>14.5</v>
      </c>
      <c r="P394" s="1063"/>
      <c r="Q394" s="1063">
        <f t="shared" si="61"/>
        <v>0</v>
      </c>
      <c r="R394" s="1063">
        <f>Q394*('Ввод исходных данных'!$D$83-O394)</f>
        <v>0</v>
      </c>
      <c r="S394" s="1064">
        <v>8.6999999999999993</v>
      </c>
      <c r="T394" s="1064"/>
      <c r="U394" s="1064">
        <f t="shared" si="62"/>
        <v>11.5</v>
      </c>
      <c r="V394" s="1064">
        <f>U394*('Ввод исходных данных'!$D$83-S394)</f>
        <v>129.95000000000002</v>
      </c>
      <c r="W394" s="1065">
        <v>0.9</v>
      </c>
      <c r="X394" s="1065"/>
      <c r="Y394" s="1065">
        <f t="shared" si="63"/>
        <v>31</v>
      </c>
      <c r="Z394" s="1065">
        <f>Y394*('Ввод исходных данных'!$D$83-W394)</f>
        <v>592.1</v>
      </c>
      <c r="AA394" s="1066">
        <v>-7</v>
      </c>
      <c r="AB394" s="1066"/>
      <c r="AC394" s="1066">
        <f t="shared" si="64"/>
        <v>30</v>
      </c>
      <c r="AD394" s="1066">
        <f>AC394*('Ввод исходных данных'!$D$83-AA394)</f>
        <v>810</v>
      </c>
      <c r="AE394" s="1067">
        <v>-13.6</v>
      </c>
      <c r="AF394" s="1067"/>
      <c r="AG394" s="1067">
        <v>31</v>
      </c>
      <c r="AH394" s="1067">
        <f>AG394*('Ввод исходных данных'!$D$83-AE394)</f>
        <v>1041.6000000000001</v>
      </c>
      <c r="AI394" s="1068">
        <v>-16.100000000000001</v>
      </c>
      <c r="AJ394" s="1068"/>
      <c r="AK394" s="1068">
        <v>31</v>
      </c>
      <c r="AL394" s="1068">
        <f>AK394*('Ввод исходных данных'!$D$83-AI394)</f>
        <v>1119.1000000000001</v>
      </c>
      <c r="AM394" s="1069">
        <v>-14.4</v>
      </c>
      <c r="AN394" s="1069"/>
      <c r="AO394" s="1069">
        <v>28</v>
      </c>
      <c r="AP394" s="1069">
        <f>AO394*('Ввод исходных данных'!$D$83-AM394)</f>
        <v>963.19999999999993</v>
      </c>
      <c r="AQ394" s="1064">
        <v>-7.4</v>
      </c>
      <c r="AR394" s="1064"/>
      <c r="AS394" s="1064">
        <f t="shared" si="65"/>
        <v>31</v>
      </c>
      <c r="AT394" s="1064">
        <f>AS394*('Ввод исходных данных'!$D$83-AQ394)</f>
        <v>849.4</v>
      </c>
      <c r="AU394" s="1070">
        <v>2.5</v>
      </c>
      <c r="AV394" s="1070"/>
      <c r="AW394" s="1070">
        <f t="shared" si="66"/>
        <v>30</v>
      </c>
      <c r="AX394" s="1070">
        <f>AW394*('Ввод исходных данных'!$D$83-AU394)</f>
        <v>525</v>
      </c>
      <c r="AY394" s="1071">
        <v>9.6</v>
      </c>
      <c r="AZ394" s="1071"/>
      <c r="BA394" s="1071">
        <f t="shared" si="67"/>
        <v>11.5</v>
      </c>
      <c r="BB394" s="1071">
        <f>BA394*('Ввод исходных данных'!$D$83-AY394)</f>
        <v>119.60000000000001</v>
      </c>
      <c r="BC394" s="1072">
        <v>14.9</v>
      </c>
      <c r="BD394" s="1072"/>
      <c r="BE394" s="1072">
        <f t="shared" ref="BE394:BE457" si="70">IF((E394-273)&gt;0,IF((E394-273)/2&gt;30,30,(E394-273)/2),0)</f>
        <v>0</v>
      </c>
      <c r="BF394" s="1073">
        <f>BE394*('Ввод исходных данных'!$D$83-BC394)</f>
        <v>0</v>
      </c>
    </row>
    <row r="395" spans="2:58" ht="15.75" customHeight="1" x14ac:dyDescent="0.25">
      <c r="B395" s="1052" t="s">
        <v>312</v>
      </c>
      <c r="C395" s="1052" t="s">
        <v>141</v>
      </c>
      <c r="D395" s="1053" t="str">
        <f t="shared" si="68"/>
        <v>Смоленская областьВязьма</v>
      </c>
      <c r="E395" s="1054">
        <v>217</v>
      </c>
      <c r="F395" s="1055">
        <v>-2.8</v>
      </c>
      <c r="G395" s="1055">
        <v>-27</v>
      </c>
      <c r="H395" s="1057">
        <v>4.0999999999999996</v>
      </c>
      <c r="I395" s="1058">
        <f>E395*('Ввод исходных данных'!$D$83-F395)</f>
        <v>4947.6000000000004</v>
      </c>
      <c r="J395" s="1059" t="str">
        <f t="shared" si="69"/>
        <v>4000-5000</v>
      </c>
      <c r="K395" s="1060">
        <v>16.600000000000001</v>
      </c>
      <c r="L395" s="1060"/>
      <c r="M395" s="1061">
        <f t="shared" ref="M395:M458" si="71">MAX(0,E395-Q395-U395-Y395-AC395-AG395-AK395-AO395-AS395-AW395-BA395-BE395)</f>
        <v>0</v>
      </c>
      <c r="N395" s="1062">
        <f>M395*('Ввод исходных данных'!$D$83-K395)</f>
        <v>0</v>
      </c>
      <c r="O395" s="1063">
        <v>15.4</v>
      </c>
      <c r="P395" s="1063"/>
      <c r="Q395" s="1063">
        <f t="shared" ref="Q395:Q458" si="72">IF((E395-273)&gt;0,IF((E395-273)/2&gt;31,31,(E395-273)/2),0)</f>
        <v>0</v>
      </c>
      <c r="R395" s="1063">
        <f>Q395*('Ввод исходных данных'!$D$83-O395)</f>
        <v>0</v>
      </c>
      <c r="S395" s="1064">
        <v>10.199999999999999</v>
      </c>
      <c r="T395" s="1064"/>
      <c r="U395" s="1064">
        <f t="shared" ref="U395:U458" si="73">IF((E395-212)&gt;0,IF((E395-212)/2&gt;30,30,(E395-212)/2),0)</f>
        <v>2.5</v>
      </c>
      <c r="V395" s="1064">
        <f>U395*('Ввод исходных данных'!$D$83-S395)</f>
        <v>24.5</v>
      </c>
      <c r="W395" s="1065">
        <v>4.0999999999999996</v>
      </c>
      <c r="X395" s="1065"/>
      <c r="Y395" s="1065">
        <f t="shared" ref="Y395:Y458" si="74">IF((E395-151)&gt;0,IF((E395-151)/2&gt;31,31,(E395-151)/2),0)</f>
        <v>31</v>
      </c>
      <c r="Z395" s="1065">
        <f>Y395*('Ввод исходных данных'!$D$83-W395)</f>
        <v>492.90000000000003</v>
      </c>
      <c r="AA395" s="1066">
        <v>-1.9</v>
      </c>
      <c r="AB395" s="1066"/>
      <c r="AC395" s="1066">
        <f t="shared" ref="AC395:AC458" si="75">IF((E395-90)/2&gt;30,30,(E395-90)/2)</f>
        <v>30</v>
      </c>
      <c r="AD395" s="1066">
        <f>AC395*('Ввод исходных данных'!$D$83-AA395)</f>
        <v>657</v>
      </c>
      <c r="AE395" s="1067">
        <v>-6.4</v>
      </c>
      <c r="AF395" s="1067"/>
      <c r="AG395" s="1067">
        <v>31</v>
      </c>
      <c r="AH395" s="1067">
        <f>AG395*('Ввод исходных данных'!$D$83-AE395)</f>
        <v>818.4</v>
      </c>
      <c r="AI395" s="1068">
        <v>-9.8000000000000007</v>
      </c>
      <c r="AJ395" s="1068"/>
      <c r="AK395" s="1068">
        <v>31</v>
      </c>
      <c r="AL395" s="1068">
        <f>AK395*('Ввод исходных данных'!$D$83-AI395)</f>
        <v>923.80000000000007</v>
      </c>
      <c r="AM395" s="1069">
        <v>-9</v>
      </c>
      <c r="AN395" s="1069"/>
      <c r="AO395" s="1069">
        <v>28</v>
      </c>
      <c r="AP395" s="1069">
        <f>AO395*('Ввод исходных данных'!$D$83-AM395)</f>
        <v>812</v>
      </c>
      <c r="AQ395" s="1064">
        <v>-4.3</v>
      </c>
      <c r="AR395" s="1064"/>
      <c r="AS395" s="1064">
        <f t="shared" ref="AS395:AS458" si="76">IF((E395-90)/2&gt;31,31,(E395-90)/2)</f>
        <v>31</v>
      </c>
      <c r="AT395" s="1064">
        <f>AS395*('Ввод исходных данных'!$D$83-AQ395)</f>
        <v>753.30000000000007</v>
      </c>
      <c r="AU395" s="1070">
        <v>4.3</v>
      </c>
      <c r="AV395" s="1070"/>
      <c r="AW395" s="1070">
        <f t="shared" ref="AW395:AW458" si="77">IF((E395-151)&gt;0,IF((E395-151)/2&gt;30,30,(E395-151)/2),0)</f>
        <v>30</v>
      </c>
      <c r="AX395" s="1070">
        <f>AW395*('Ввод исходных данных'!$D$83-AU395)</f>
        <v>471</v>
      </c>
      <c r="AY395" s="1071">
        <v>11.3</v>
      </c>
      <c r="AZ395" s="1071"/>
      <c r="BA395" s="1071">
        <f t="shared" ref="BA395:BA458" si="78">IF((E395-212)&gt;0,IF((E395-212)/2&gt;31,31,(E395-212)/2),0)</f>
        <v>2.5</v>
      </c>
      <c r="BB395" s="1071">
        <f>BA395*('Ввод исходных данных'!$D$83-AY395)</f>
        <v>21.75</v>
      </c>
      <c r="BC395" s="1072">
        <v>15.4</v>
      </c>
      <c r="BD395" s="1072"/>
      <c r="BE395" s="1072">
        <f t="shared" si="70"/>
        <v>0</v>
      </c>
      <c r="BF395" s="1073">
        <f>BE395*('Ввод исходных данных'!$D$83-BC395)</f>
        <v>0</v>
      </c>
    </row>
    <row r="396" spans="2:58" ht="15.75" customHeight="1" x14ac:dyDescent="0.25">
      <c r="B396" s="1076" t="s">
        <v>312</v>
      </c>
      <c r="C396" s="1076" t="s">
        <v>313</v>
      </c>
      <c r="D396" s="1053" t="str">
        <f t="shared" si="68"/>
        <v>Смоленская областьСмоленск</v>
      </c>
      <c r="E396" s="1054">
        <v>209</v>
      </c>
      <c r="F396" s="1055">
        <v>-2</v>
      </c>
      <c r="G396" s="1055">
        <v>-25</v>
      </c>
      <c r="H396" s="1057">
        <v>3.9</v>
      </c>
      <c r="I396" s="1058">
        <f>E396*('Ввод исходных данных'!$D$83-F396)</f>
        <v>4598</v>
      </c>
      <c r="J396" s="1059" t="str">
        <f t="shared" si="69"/>
        <v>4000-5000</v>
      </c>
      <c r="K396" s="1060">
        <v>17.399999999999999</v>
      </c>
      <c r="L396" s="1060"/>
      <c r="M396" s="1061">
        <f t="shared" si="71"/>
        <v>0</v>
      </c>
      <c r="N396" s="1062">
        <f>M396*('Ввод исходных данных'!$D$83-K396)</f>
        <v>0</v>
      </c>
      <c r="O396" s="1063">
        <v>16</v>
      </c>
      <c r="P396" s="1063"/>
      <c r="Q396" s="1063">
        <f t="shared" si="72"/>
        <v>0</v>
      </c>
      <c r="R396" s="1063">
        <f>Q396*('Ввод исходных данных'!$D$83-O396)</f>
        <v>0</v>
      </c>
      <c r="S396" s="1064">
        <v>10.7</v>
      </c>
      <c r="T396" s="1064"/>
      <c r="U396" s="1064">
        <f t="shared" si="73"/>
        <v>0</v>
      </c>
      <c r="V396" s="1064">
        <f>U396*('Ввод исходных данных'!$D$83-S396)</f>
        <v>0</v>
      </c>
      <c r="W396" s="1065">
        <v>5</v>
      </c>
      <c r="X396" s="1065"/>
      <c r="Y396" s="1065">
        <f t="shared" si="74"/>
        <v>29</v>
      </c>
      <c r="Z396" s="1065">
        <f>Y396*('Ввод исходных данных'!$D$83-W396)</f>
        <v>435</v>
      </c>
      <c r="AA396" s="1066">
        <v>-0.8</v>
      </c>
      <c r="AB396" s="1066"/>
      <c r="AC396" s="1066">
        <f t="shared" si="75"/>
        <v>30</v>
      </c>
      <c r="AD396" s="1066">
        <f>AC396*('Ввод исходных данных'!$D$83-AA396)</f>
        <v>624</v>
      </c>
      <c r="AE396" s="1067">
        <v>-5.2</v>
      </c>
      <c r="AF396" s="1067"/>
      <c r="AG396" s="1067">
        <v>31</v>
      </c>
      <c r="AH396" s="1067">
        <f>AG396*('Ввод исходных данных'!$D$83-AE396)</f>
        <v>781.19999999999993</v>
      </c>
      <c r="AI396" s="1068">
        <v>-7.5</v>
      </c>
      <c r="AJ396" s="1068"/>
      <c r="AK396" s="1068">
        <v>31</v>
      </c>
      <c r="AL396" s="1068">
        <f>AK396*('Ввод исходных данных'!$D$83-AI396)</f>
        <v>852.5</v>
      </c>
      <c r="AM396" s="1069">
        <v>-6.9</v>
      </c>
      <c r="AN396" s="1069"/>
      <c r="AO396" s="1069">
        <v>28</v>
      </c>
      <c r="AP396" s="1069">
        <f>AO396*('Ввод исходных данных'!$D$83-AM396)</f>
        <v>753.19999999999993</v>
      </c>
      <c r="AQ396" s="1064">
        <v>-1.8</v>
      </c>
      <c r="AR396" s="1064"/>
      <c r="AS396" s="1064">
        <f t="shared" si="76"/>
        <v>31</v>
      </c>
      <c r="AT396" s="1064">
        <f>AS396*('Ввод исходных данных'!$D$83-AQ396)</f>
        <v>675.80000000000007</v>
      </c>
      <c r="AU396" s="1070">
        <v>5.9</v>
      </c>
      <c r="AV396" s="1070"/>
      <c r="AW396" s="1070">
        <f t="shared" si="77"/>
        <v>29</v>
      </c>
      <c r="AX396" s="1070">
        <f>AW396*('Ввод исходных данных'!$D$83-AU396)</f>
        <v>408.9</v>
      </c>
      <c r="AY396" s="1071">
        <v>12.4</v>
      </c>
      <c r="AZ396" s="1071"/>
      <c r="BA396" s="1071">
        <f t="shared" si="78"/>
        <v>0</v>
      </c>
      <c r="BB396" s="1071">
        <f>BA396*('Ввод исходных данных'!$D$83-AY396)</f>
        <v>0</v>
      </c>
      <c r="BC396" s="1072">
        <v>15.8</v>
      </c>
      <c r="BD396" s="1072"/>
      <c r="BE396" s="1072">
        <f t="shared" si="70"/>
        <v>0</v>
      </c>
      <c r="BF396" s="1073">
        <f>BE396*('Ввод исходных данных'!$D$83-BC396)</f>
        <v>0</v>
      </c>
    </row>
    <row r="397" spans="2:58" ht="15.75" customHeight="1" x14ac:dyDescent="0.25">
      <c r="B397" s="1052" t="s">
        <v>314</v>
      </c>
      <c r="C397" s="1052" t="s">
        <v>315</v>
      </c>
      <c r="D397" s="1053" t="str">
        <f t="shared" ref="D397:D460" si="79">CONCATENATE(B397,C397)</f>
        <v>Ставропольский крайАрзгир</v>
      </c>
      <c r="E397" s="1054">
        <v>163</v>
      </c>
      <c r="F397" s="1055">
        <v>0.1</v>
      </c>
      <c r="G397" s="1055">
        <v>-22</v>
      </c>
      <c r="H397" s="1057">
        <v>4.5999999999999996</v>
      </c>
      <c r="I397" s="1058">
        <f>E397*('Ввод исходных данных'!$D$83-F397)</f>
        <v>3243.7</v>
      </c>
      <c r="J397" s="1059" t="str">
        <f t="shared" si="69"/>
        <v>3000-4000</v>
      </c>
      <c r="K397" s="1060">
        <v>25</v>
      </c>
      <c r="L397" s="1060"/>
      <c r="M397" s="1061">
        <f t="shared" si="71"/>
        <v>0</v>
      </c>
      <c r="N397" s="1062">
        <f>M397*('Ввод исходных данных'!$D$83-K397)</f>
        <v>0</v>
      </c>
      <c r="O397" s="1063">
        <v>23.7</v>
      </c>
      <c r="P397" s="1063"/>
      <c r="Q397" s="1063">
        <f t="shared" si="72"/>
        <v>0</v>
      </c>
      <c r="R397" s="1063">
        <f>Q397*('Ввод исходных данных'!$D$83-O397)</f>
        <v>0</v>
      </c>
      <c r="S397" s="1064">
        <v>17.8</v>
      </c>
      <c r="T397" s="1064"/>
      <c r="U397" s="1064">
        <f t="shared" si="73"/>
        <v>0</v>
      </c>
      <c r="V397" s="1064">
        <f>U397*('Ввод исходных данных'!$D$83-S397)</f>
        <v>0</v>
      </c>
      <c r="W397" s="1065">
        <v>10.1</v>
      </c>
      <c r="X397" s="1065"/>
      <c r="Y397" s="1065">
        <f t="shared" si="74"/>
        <v>6</v>
      </c>
      <c r="Z397" s="1065">
        <f>Y397*('Ввод исходных данных'!$D$83-W397)</f>
        <v>59.400000000000006</v>
      </c>
      <c r="AA397" s="1066">
        <v>4</v>
      </c>
      <c r="AB397" s="1066"/>
      <c r="AC397" s="1066">
        <f t="shared" si="75"/>
        <v>30</v>
      </c>
      <c r="AD397" s="1066">
        <f>AC397*('Ввод исходных данных'!$D$83-AA397)</f>
        <v>480</v>
      </c>
      <c r="AE397" s="1067">
        <v>-1.3</v>
      </c>
      <c r="AF397" s="1067"/>
      <c r="AG397" s="1067">
        <v>31</v>
      </c>
      <c r="AH397" s="1067">
        <f>AG397*('Ввод исходных данных'!$D$83-AE397)</f>
        <v>660.30000000000007</v>
      </c>
      <c r="AI397" s="1068">
        <v>-4.9000000000000004</v>
      </c>
      <c r="AJ397" s="1068"/>
      <c r="AK397" s="1068">
        <v>31</v>
      </c>
      <c r="AL397" s="1068">
        <f>AK397*('Ввод исходных данных'!$D$83-AI397)</f>
        <v>771.9</v>
      </c>
      <c r="AM397" s="1069">
        <v>-3.6</v>
      </c>
      <c r="AN397" s="1069"/>
      <c r="AO397" s="1069">
        <v>28</v>
      </c>
      <c r="AP397" s="1069">
        <f>AO397*('Ввод исходных данных'!$D$83-AM397)</f>
        <v>660.80000000000007</v>
      </c>
      <c r="AQ397" s="1064">
        <v>1.6</v>
      </c>
      <c r="AR397" s="1064"/>
      <c r="AS397" s="1064">
        <f t="shared" si="76"/>
        <v>31</v>
      </c>
      <c r="AT397" s="1064">
        <f>AS397*('Ввод исходных данных'!$D$83-AQ397)</f>
        <v>570.4</v>
      </c>
      <c r="AU397" s="1070">
        <v>10.3</v>
      </c>
      <c r="AV397" s="1070"/>
      <c r="AW397" s="1070">
        <f t="shared" si="77"/>
        <v>6</v>
      </c>
      <c r="AX397" s="1070">
        <f>AW397*('Ввод исходных данных'!$D$83-AU397)</f>
        <v>58.199999999999996</v>
      </c>
      <c r="AY397" s="1071">
        <v>17.399999999999999</v>
      </c>
      <c r="AZ397" s="1071"/>
      <c r="BA397" s="1071">
        <f t="shared" si="78"/>
        <v>0</v>
      </c>
      <c r="BB397" s="1071">
        <f>BA397*('Ввод исходных данных'!$D$83-AY397)</f>
        <v>0</v>
      </c>
      <c r="BC397" s="1072">
        <v>22</v>
      </c>
      <c r="BD397" s="1072"/>
      <c r="BE397" s="1072">
        <f t="shared" si="70"/>
        <v>0</v>
      </c>
      <c r="BF397" s="1073">
        <f>BE397*('Ввод исходных данных'!$D$83-BC397)</f>
        <v>0</v>
      </c>
    </row>
    <row r="398" spans="2:58" ht="15.75" customHeight="1" x14ac:dyDescent="0.25">
      <c r="B398" s="1076" t="s">
        <v>314</v>
      </c>
      <c r="C398" s="1076" t="s">
        <v>316</v>
      </c>
      <c r="D398" s="1053" t="str">
        <f t="shared" si="79"/>
        <v>Ставропольский крайКисловодск</v>
      </c>
      <c r="E398" s="1054">
        <v>179</v>
      </c>
      <c r="F398" s="1055">
        <v>0.4</v>
      </c>
      <c r="G398" s="1055">
        <v>-16</v>
      </c>
      <c r="H398" s="1057">
        <f>H397</f>
        <v>4.5999999999999996</v>
      </c>
      <c r="I398" s="1058">
        <f>E398*('Ввод исходных данных'!$D$83-F398)</f>
        <v>3508.4</v>
      </c>
      <c r="J398" s="1059" t="str">
        <f t="shared" si="69"/>
        <v>3000-4000</v>
      </c>
      <c r="K398" s="1060">
        <v>18.600000000000001</v>
      </c>
      <c r="L398" s="1060"/>
      <c r="M398" s="1061">
        <f t="shared" si="71"/>
        <v>0</v>
      </c>
      <c r="N398" s="1062">
        <f>M398*('Ввод исходных данных'!$D$83-K398)</f>
        <v>0</v>
      </c>
      <c r="O398" s="1063">
        <v>18.2</v>
      </c>
      <c r="P398" s="1063"/>
      <c r="Q398" s="1063">
        <f t="shared" si="72"/>
        <v>0</v>
      </c>
      <c r="R398" s="1063">
        <f>Q398*('Ввод исходных данных'!$D$83-O398)</f>
        <v>0</v>
      </c>
      <c r="S398" s="1064">
        <v>13.9</v>
      </c>
      <c r="T398" s="1064"/>
      <c r="U398" s="1064">
        <f t="shared" si="73"/>
        <v>0</v>
      </c>
      <c r="V398" s="1064">
        <f>U398*('Ввод исходных данных'!$D$83-S398)</f>
        <v>0</v>
      </c>
      <c r="W398" s="1065">
        <v>8.3000000000000007</v>
      </c>
      <c r="X398" s="1065"/>
      <c r="Y398" s="1065">
        <f t="shared" si="74"/>
        <v>14</v>
      </c>
      <c r="Z398" s="1065">
        <f>Y398*('Ввод исходных данных'!$D$83-W398)</f>
        <v>163.79999999999998</v>
      </c>
      <c r="AA398" s="1066">
        <v>3.2</v>
      </c>
      <c r="AB398" s="1066"/>
      <c r="AC398" s="1066">
        <f t="shared" si="75"/>
        <v>30</v>
      </c>
      <c r="AD398" s="1066">
        <f>AC398*('Ввод исходных данных'!$D$83-AA398)</f>
        <v>504</v>
      </c>
      <c r="AE398" s="1067">
        <v>-1.1000000000000001</v>
      </c>
      <c r="AF398" s="1067"/>
      <c r="AG398" s="1067">
        <v>31</v>
      </c>
      <c r="AH398" s="1067">
        <f>AG398*('Ввод исходных данных'!$D$83-AE398)</f>
        <v>654.1</v>
      </c>
      <c r="AI398" s="1068">
        <v>-3.3</v>
      </c>
      <c r="AJ398" s="1068"/>
      <c r="AK398" s="1068">
        <v>31</v>
      </c>
      <c r="AL398" s="1068">
        <f>AK398*('Ввод исходных данных'!$D$83-AI398)</f>
        <v>722.30000000000007</v>
      </c>
      <c r="AM398" s="1069">
        <v>-2.4</v>
      </c>
      <c r="AN398" s="1069"/>
      <c r="AO398" s="1069">
        <v>28</v>
      </c>
      <c r="AP398" s="1069">
        <f>AO398*('Ввод исходных данных'!$D$83-AM398)</f>
        <v>627.19999999999993</v>
      </c>
      <c r="AQ398" s="1064">
        <v>1.5</v>
      </c>
      <c r="AR398" s="1064"/>
      <c r="AS398" s="1064">
        <f t="shared" si="76"/>
        <v>31</v>
      </c>
      <c r="AT398" s="1064">
        <f>AS398*('Ввод исходных данных'!$D$83-AQ398)</f>
        <v>573.5</v>
      </c>
      <c r="AU398" s="1070">
        <v>8</v>
      </c>
      <c r="AV398" s="1070"/>
      <c r="AW398" s="1070">
        <f t="shared" si="77"/>
        <v>14</v>
      </c>
      <c r="AX398" s="1070">
        <f>AW398*('Ввод исходных данных'!$D$83-AU398)</f>
        <v>168</v>
      </c>
      <c r="AY398" s="1071">
        <v>13</v>
      </c>
      <c r="AZ398" s="1071"/>
      <c r="BA398" s="1071">
        <f t="shared" si="78"/>
        <v>0</v>
      </c>
      <c r="BB398" s="1071">
        <f>BA398*('Ввод исходных данных'!$D$83-AY398)</f>
        <v>0</v>
      </c>
      <c r="BC398" s="1072">
        <v>16.2</v>
      </c>
      <c r="BD398" s="1072"/>
      <c r="BE398" s="1072">
        <f t="shared" si="70"/>
        <v>0</v>
      </c>
      <c r="BF398" s="1073">
        <f>BE398*('Ввод исходных данных'!$D$83-BC398)</f>
        <v>0</v>
      </c>
    </row>
    <row r="399" spans="2:58" ht="15.75" customHeight="1" x14ac:dyDescent="0.25">
      <c r="B399" s="1052" t="s">
        <v>314</v>
      </c>
      <c r="C399" s="1052" t="s">
        <v>317</v>
      </c>
      <c r="D399" s="1053" t="str">
        <f t="shared" si="79"/>
        <v>Ставропольский крайНевинномысск</v>
      </c>
      <c r="E399" s="1054">
        <v>168</v>
      </c>
      <c r="F399" s="1055">
        <v>0.1</v>
      </c>
      <c r="G399" s="1055">
        <v>-18</v>
      </c>
      <c r="H399" s="1057">
        <f>H398</f>
        <v>4.5999999999999996</v>
      </c>
      <c r="I399" s="1058">
        <f>E399*('Ввод исходных данных'!$D$83-F399)</f>
        <v>3343.2</v>
      </c>
      <c r="J399" s="1059" t="str">
        <f t="shared" si="69"/>
        <v>3000-4000</v>
      </c>
      <c r="K399" s="1060">
        <v>22.1</v>
      </c>
      <c r="L399" s="1060"/>
      <c r="M399" s="1061">
        <f t="shared" si="71"/>
        <v>0</v>
      </c>
      <c r="N399" s="1062">
        <f>M399*('Ввод исходных данных'!$D$83-K399)</f>
        <v>0</v>
      </c>
      <c r="O399" s="1063">
        <v>21.5</v>
      </c>
      <c r="P399" s="1063"/>
      <c r="Q399" s="1063">
        <f t="shared" si="72"/>
        <v>0</v>
      </c>
      <c r="R399" s="1063">
        <f>Q399*('Ввод исходных данных'!$D$83-O399)</f>
        <v>0</v>
      </c>
      <c r="S399" s="1064">
        <v>16.399999999999999</v>
      </c>
      <c r="T399" s="1064"/>
      <c r="U399" s="1064">
        <f t="shared" si="73"/>
        <v>0</v>
      </c>
      <c r="V399" s="1064">
        <f>U399*('Ввод исходных данных'!$D$83-S399)</f>
        <v>0</v>
      </c>
      <c r="W399" s="1065">
        <v>9.8000000000000007</v>
      </c>
      <c r="X399" s="1065"/>
      <c r="Y399" s="1065">
        <f t="shared" si="74"/>
        <v>8.5</v>
      </c>
      <c r="Z399" s="1065">
        <f>Y399*('Ввод исходных данных'!$D$83-W399)</f>
        <v>86.699999999999989</v>
      </c>
      <c r="AA399" s="1066">
        <v>3.9</v>
      </c>
      <c r="AB399" s="1066"/>
      <c r="AC399" s="1066">
        <f t="shared" si="75"/>
        <v>30</v>
      </c>
      <c r="AD399" s="1066">
        <f>AC399*('Ввод исходных данных'!$D$83-AA399)</f>
        <v>483.00000000000006</v>
      </c>
      <c r="AE399" s="1067">
        <v>-1.5</v>
      </c>
      <c r="AF399" s="1067"/>
      <c r="AG399" s="1067">
        <v>31</v>
      </c>
      <c r="AH399" s="1067">
        <f>AG399*('Ввод исходных данных'!$D$83-AE399)</f>
        <v>666.5</v>
      </c>
      <c r="AI399" s="1068">
        <v>-4.5</v>
      </c>
      <c r="AJ399" s="1068"/>
      <c r="AK399" s="1068">
        <v>31</v>
      </c>
      <c r="AL399" s="1068">
        <f>AK399*('Ввод исходных данных'!$D$83-AI399)</f>
        <v>759.5</v>
      </c>
      <c r="AM399" s="1069">
        <v>-3.3</v>
      </c>
      <c r="AN399" s="1069"/>
      <c r="AO399" s="1069">
        <v>28</v>
      </c>
      <c r="AP399" s="1069">
        <f>AO399*('Ввод исходных данных'!$D$83-AM399)</f>
        <v>652.4</v>
      </c>
      <c r="AQ399" s="1064">
        <v>1.8</v>
      </c>
      <c r="AR399" s="1064"/>
      <c r="AS399" s="1064">
        <f t="shared" si="76"/>
        <v>31</v>
      </c>
      <c r="AT399" s="1064">
        <f>AS399*('Ввод исходных данных'!$D$83-AQ399)</f>
        <v>564.19999999999993</v>
      </c>
      <c r="AU399" s="1070">
        <v>9.6999999999999993</v>
      </c>
      <c r="AV399" s="1070"/>
      <c r="AW399" s="1070">
        <f t="shared" si="77"/>
        <v>8.5</v>
      </c>
      <c r="AX399" s="1070">
        <f>AW399*('Ввод исходных данных'!$D$83-AU399)</f>
        <v>87.550000000000011</v>
      </c>
      <c r="AY399" s="1071">
        <v>15.6</v>
      </c>
      <c r="AZ399" s="1071"/>
      <c r="BA399" s="1071">
        <f t="shared" si="78"/>
        <v>0</v>
      </c>
      <c r="BB399" s="1071">
        <f>BA399*('Ввод исходных данных'!$D$83-AY399)</f>
        <v>0</v>
      </c>
      <c r="BC399" s="1072">
        <v>19.399999999999999</v>
      </c>
      <c r="BD399" s="1072"/>
      <c r="BE399" s="1072">
        <f t="shared" si="70"/>
        <v>0</v>
      </c>
      <c r="BF399" s="1073">
        <f>BE399*('Ввод исходных данных'!$D$83-BC399)</f>
        <v>0</v>
      </c>
    </row>
    <row r="400" spans="2:58" ht="15.75" customHeight="1" x14ac:dyDescent="0.25">
      <c r="B400" s="1076" t="s">
        <v>314</v>
      </c>
      <c r="C400" s="1076" t="s">
        <v>318</v>
      </c>
      <c r="D400" s="1053" t="str">
        <f t="shared" si="79"/>
        <v>Ставропольский крайПятигорск</v>
      </c>
      <c r="E400" s="1054">
        <v>175</v>
      </c>
      <c r="F400" s="1055">
        <v>0.2</v>
      </c>
      <c r="G400" s="1055">
        <v>-20</v>
      </c>
      <c r="H400" s="1057">
        <v>6.3</v>
      </c>
      <c r="I400" s="1058">
        <f>E400*('Ввод исходных данных'!$D$83-F400)</f>
        <v>3465</v>
      </c>
      <c r="J400" s="1059" t="str">
        <f t="shared" si="69"/>
        <v>3000-4000</v>
      </c>
      <c r="K400" s="1060">
        <v>21.1</v>
      </c>
      <c r="L400" s="1060"/>
      <c r="M400" s="1061">
        <f t="shared" si="71"/>
        <v>0</v>
      </c>
      <c r="N400" s="1062">
        <f>M400*('Ввод исходных данных'!$D$83-K400)</f>
        <v>0</v>
      </c>
      <c r="O400" s="1063">
        <v>20.5</v>
      </c>
      <c r="P400" s="1063"/>
      <c r="Q400" s="1063">
        <f t="shared" si="72"/>
        <v>0</v>
      </c>
      <c r="R400" s="1063">
        <f>Q400*('Ввод исходных данных'!$D$83-O400)</f>
        <v>0</v>
      </c>
      <c r="S400" s="1064">
        <v>15.5</v>
      </c>
      <c r="T400" s="1064"/>
      <c r="U400" s="1064">
        <f t="shared" si="73"/>
        <v>0</v>
      </c>
      <c r="V400" s="1064">
        <f>U400*('Ввод исходных данных'!$D$83-S400)</f>
        <v>0</v>
      </c>
      <c r="W400" s="1065">
        <v>8.9</v>
      </c>
      <c r="X400" s="1065"/>
      <c r="Y400" s="1065">
        <f t="shared" si="74"/>
        <v>12</v>
      </c>
      <c r="Z400" s="1065">
        <f>Y400*('Ввод исходных данных'!$D$83-W400)</f>
        <v>133.19999999999999</v>
      </c>
      <c r="AA400" s="1066">
        <v>3.2</v>
      </c>
      <c r="AB400" s="1066"/>
      <c r="AC400" s="1066">
        <f t="shared" si="75"/>
        <v>30</v>
      </c>
      <c r="AD400" s="1066">
        <f>AC400*('Ввод исходных данных'!$D$83-AA400)</f>
        <v>504</v>
      </c>
      <c r="AE400" s="1067">
        <v>-1.4</v>
      </c>
      <c r="AF400" s="1067"/>
      <c r="AG400" s="1067">
        <v>31</v>
      </c>
      <c r="AH400" s="1067">
        <f>AG400*('Ввод исходных данных'!$D$83-AE400)</f>
        <v>663.4</v>
      </c>
      <c r="AI400" s="1068">
        <v>-4.2</v>
      </c>
      <c r="AJ400" s="1068"/>
      <c r="AK400" s="1068">
        <v>31</v>
      </c>
      <c r="AL400" s="1068">
        <f>AK400*('Ввод исходных данных'!$D$83-AI400)</f>
        <v>750.19999999999993</v>
      </c>
      <c r="AM400" s="1069">
        <v>-3</v>
      </c>
      <c r="AN400" s="1069"/>
      <c r="AO400" s="1069">
        <v>28</v>
      </c>
      <c r="AP400" s="1069">
        <f>AO400*('Ввод исходных данных'!$D$83-AM400)</f>
        <v>644</v>
      </c>
      <c r="AQ400" s="1064">
        <v>1.1000000000000001</v>
      </c>
      <c r="AR400" s="1064"/>
      <c r="AS400" s="1064">
        <f t="shared" si="76"/>
        <v>31</v>
      </c>
      <c r="AT400" s="1064">
        <f>AS400*('Ввод исходных данных'!$D$83-AQ400)</f>
        <v>585.9</v>
      </c>
      <c r="AU400" s="1070">
        <v>8.9</v>
      </c>
      <c r="AV400" s="1070"/>
      <c r="AW400" s="1070">
        <f t="shared" si="77"/>
        <v>12</v>
      </c>
      <c r="AX400" s="1070">
        <f>AW400*('Ввод исходных данных'!$D$83-AU400)</f>
        <v>133.19999999999999</v>
      </c>
      <c r="AY400" s="1071">
        <v>14.6</v>
      </c>
      <c r="AZ400" s="1071"/>
      <c r="BA400" s="1071">
        <f t="shared" si="78"/>
        <v>0</v>
      </c>
      <c r="BB400" s="1071">
        <f>BA400*('Ввод исходных данных'!$D$83-AY400)</f>
        <v>0</v>
      </c>
      <c r="BC400" s="1072">
        <v>18.3</v>
      </c>
      <c r="BD400" s="1072"/>
      <c r="BE400" s="1072">
        <f t="shared" si="70"/>
        <v>0</v>
      </c>
      <c r="BF400" s="1073">
        <f>BE400*('Ввод исходных данных'!$D$83-BC400)</f>
        <v>0</v>
      </c>
    </row>
    <row r="401" spans="2:58" ht="15.75" customHeight="1" x14ac:dyDescent="0.25">
      <c r="B401" s="1052" t="s">
        <v>314</v>
      </c>
      <c r="C401" s="1052" t="s">
        <v>319</v>
      </c>
      <c r="D401" s="1053" t="str">
        <f t="shared" si="79"/>
        <v>Ставропольский крайСтаврополь</v>
      </c>
      <c r="E401" s="1054">
        <v>168</v>
      </c>
      <c r="F401" s="1055">
        <v>0.5</v>
      </c>
      <c r="G401" s="1055">
        <v>-18</v>
      </c>
      <c r="H401" s="1057">
        <v>7.4</v>
      </c>
      <c r="I401" s="1058">
        <f>E401*('Ввод исходных данных'!$D$83-F401)</f>
        <v>3276</v>
      </c>
      <c r="J401" s="1059" t="str">
        <f t="shared" si="69"/>
        <v>3000-4000</v>
      </c>
      <c r="K401" s="1060">
        <v>22.1</v>
      </c>
      <c r="L401" s="1060"/>
      <c r="M401" s="1061">
        <f t="shared" si="71"/>
        <v>0</v>
      </c>
      <c r="N401" s="1062">
        <f>M401*('Ввод исходных данных'!$D$83-K401)</f>
        <v>0</v>
      </c>
      <c r="O401" s="1063">
        <v>21.4</v>
      </c>
      <c r="P401" s="1063"/>
      <c r="Q401" s="1063">
        <f t="shared" si="72"/>
        <v>0</v>
      </c>
      <c r="R401" s="1063">
        <f>Q401*('Ввод исходных данных'!$D$83-O401)</f>
        <v>0</v>
      </c>
      <c r="S401" s="1064">
        <v>16.2</v>
      </c>
      <c r="T401" s="1064"/>
      <c r="U401" s="1064">
        <f t="shared" si="73"/>
        <v>0</v>
      </c>
      <c r="V401" s="1064">
        <f>U401*('Ввод исходных данных'!$D$83-S401)</f>
        <v>0</v>
      </c>
      <c r="W401" s="1065">
        <v>9.8000000000000007</v>
      </c>
      <c r="X401" s="1065"/>
      <c r="Y401" s="1065">
        <f t="shared" si="74"/>
        <v>8.5</v>
      </c>
      <c r="Z401" s="1065">
        <f>Y401*('Ввод исходных данных'!$D$83-W401)</f>
        <v>86.699999999999989</v>
      </c>
      <c r="AA401" s="1066">
        <v>3.7</v>
      </c>
      <c r="AB401" s="1066"/>
      <c r="AC401" s="1066">
        <f t="shared" si="75"/>
        <v>30</v>
      </c>
      <c r="AD401" s="1066">
        <f>AC401*('Ввод исходных данных'!$D$83-AA401)</f>
        <v>489</v>
      </c>
      <c r="AE401" s="1067">
        <v>-0.7</v>
      </c>
      <c r="AF401" s="1067"/>
      <c r="AG401" s="1067">
        <v>31</v>
      </c>
      <c r="AH401" s="1067">
        <f>AG401*('Ввод исходных данных'!$D$83-AE401)</f>
        <v>641.69999999999993</v>
      </c>
      <c r="AI401" s="1068">
        <v>-2.9</v>
      </c>
      <c r="AJ401" s="1068"/>
      <c r="AK401" s="1068">
        <v>31</v>
      </c>
      <c r="AL401" s="1068">
        <f>AK401*('Ввод исходных данных'!$D$83-AI401)</f>
        <v>709.9</v>
      </c>
      <c r="AM401" s="1069">
        <v>-2.4</v>
      </c>
      <c r="AN401" s="1069"/>
      <c r="AO401" s="1069">
        <v>28</v>
      </c>
      <c r="AP401" s="1069">
        <f>AO401*('Ввод исходных данных'!$D$83-AM401)</f>
        <v>627.19999999999993</v>
      </c>
      <c r="AQ401" s="1064">
        <v>2.2000000000000002</v>
      </c>
      <c r="AR401" s="1064"/>
      <c r="AS401" s="1064">
        <f t="shared" si="76"/>
        <v>31</v>
      </c>
      <c r="AT401" s="1064">
        <f>AS401*('Ввод исходных данных'!$D$83-AQ401)</f>
        <v>551.80000000000007</v>
      </c>
      <c r="AU401" s="1070">
        <v>9.8000000000000007</v>
      </c>
      <c r="AV401" s="1070"/>
      <c r="AW401" s="1070">
        <f t="shared" si="77"/>
        <v>8.5</v>
      </c>
      <c r="AX401" s="1070">
        <f>AW401*('Ввод исходных данных'!$D$83-AU401)</f>
        <v>86.699999999999989</v>
      </c>
      <c r="AY401" s="1071">
        <v>15</v>
      </c>
      <c r="AZ401" s="1071"/>
      <c r="BA401" s="1071">
        <f t="shared" si="78"/>
        <v>0</v>
      </c>
      <c r="BB401" s="1071">
        <f>BA401*('Ввод исходных данных'!$D$83-AY401)</f>
        <v>0</v>
      </c>
      <c r="BC401" s="1072">
        <v>19</v>
      </c>
      <c r="BD401" s="1072"/>
      <c r="BE401" s="1072">
        <f t="shared" si="70"/>
        <v>0</v>
      </c>
      <c r="BF401" s="1073">
        <f>BE401*('Ввод исходных данных'!$D$83-BC401)</f>
        <v>0</v>
      </c>
    </row>
    <row r="402" spans="2:58" ht="15.75" customHeight="1" x14ac:dyDescent="0.25">
      <c r="B402" s="1076" t="s">
        <v>326</v>
      </c>
      <c r="C402" s="1076" t="s">
        <v>327</v>
      </c>
      <c r="D402" s="1053" t="str">
        <f t="shared" si="79"/>
        <v>Тамбовская областьТамбов</v>
      </c>
      <c r="E402" s="1054">
        <v>201</v>
      </c>
      <c r="F402" s="1055">
        <v>-3.7</v>
      </c>
      <c r="G402" s="1055">
        <v>-28</v>
      </c>
      <c r="H402" s="1057">
        <v>4.7</v>
      </c>
      <c r="I402" s="1058">
        <f>E402*('Ввод исходных данных'!$D$83-F402)</f>
        <v>4763.7</v>
      </c>
      <c r="J402" s="1059" t="str">
        <f t="shared" si="69"/>
        <v>4000-5000</v>
      </c>
      <c r="K402" s="1060">
        <v>19.8</v>
      </c>
      <c r="L402" s="1060"/>
      <c r="M402" s="1061">
        <f t="shared" si="71"/>
        <v>0</v>
      </c>
      <c r="N402" s="1062">
        <f>M402*('Ввод исходных данных'!$D$83-K402)</f>
        <v>0</v>
      </c>
      <c r="O402" s="1063">
        <v>18.600000000000001</v>
      </c>
      <c r="P402" s="1063"/>
      <c r="Q402" s="1063">
        <f t="shared" si="72"/>
        <v>0</v>
      </c>
      <c r="R402" s="1063">
        <f>Q402*('Ввод исходных данных'!$D$83-O402)</f>
        <v>0</v>
      </c>
      <c r="S402" s="1064">
        <v>12.5</v>
      </c>
      <c r="T402" s="1064"/>
      <c r="U402" s="1064">
        <f t="shared" si="73"/>
        <v>0</v>
      </c>
      <c r="V402" s="1064">
        <f>U402*('Ввод исходных данных'!$D$83-S402)</f>
        <v>0</v>
      </c>
      <c r="W402" s="1065">
        <v>5.2</v>
      </c>
      <c r="X402" s="1065"/>
      <c r="Y402" s="1065">
        <f t="shared" si="74"/>
        <v>25</v>
      </c>
      <c r="Z402" s="1065">
        <f>Y402*('Ввод исходных данных'!$D$83-W402)</f>
        <v>370</v>
      </c>
      <c r="AA402" s="1066">
        <v>-1.4</v>
      </c>
      <c r="AB402" s="1066"/>
      <c r="AC402" s="1066">
        <f t="shared" si="75"/>
        <v>30</v>
      </c>
      <c r="AD402" s="1066">
        <f>AC402*('Ввод исходных данных'!$D$83-AA402)</f>
        <v>642</v>
      </c>
      <c r="AE402" s="1067">
        <v>-7.3</v>
      </c>
      <c r="AF402" s="1067"/>
      <c r="AG402" s="1067">
        <v>31</v>
      </c>
      <c r="AH402" s="1067">
        <f>AG402*('Ввод исходных данных'!$D$83-AE402)</f>
        <v>846.30000000000007</v>
      </c>
      <c r="AI402" s="1068">
        <v>-10.9</v>
      </c>
      <c r="AJ402" s="1068"/>
      <c r="AK402" s="1068">
        <v>31</v>
      </c>
      <c r="AL402" s="1068">
        <f>AK402*('Ввод исходных данных'!$D$83-AI402)</f>
        <v>957.9</v>
      </c>
      <c r="AM402" s="1069">
        <v>-10.3</v>
      </c>
      <c r="AN402" s="1069"/>
      <c r="AO402" s="1069">
        <v>28</v>
      </c>
      <c r="AP402" s="1069">
        <f>AO402*('Ввод исходных данных'!$D$83-AM402)</f>
        <v>848.4</v>
      </c>
      <c r="AQ402" s="1064">
        <v>-4.5999999999999996</v>
      </c>
      <c r="AR402" s="1064"/>
      <c r="AS402" s="1064">
        <f t="shared" si="76"/>
        <v>31</v>
      </c>
      <c r="AT402" s="1064">
        <f>AS402*('Ввод исходных данных'!$D$83-AQ402)</f>
        <v>762.6</v>
      </c>
      <c r="AU402" s="1070">
        <v>6</v>
      </c>
      <c r="AV402" s="1070"/>
      <c r="AW402" s="1070">
        <f t="shared" si="77"/>
        <v>25</v>
      </c>
      <c r="AX402" s="1070">
        <f>AW402*('Ввод исходных данных'!$D$83-AU402)</f>
        <v>350</v>
      </c>
      <c r="AY402" s="1071">
        <v>14.1</v>
      </c>
      <c r="AZ402" s="1071"/>
      <c r="BA402" s="1071">
        <f t="shared" si="78"/>
        <v>0</v>
      </c>
      <c r="BB402" s="1071">
        <f>BA402*('Ввод исходных данных'!$D$83-AY402)</f>
        <v>0</v>
      </c>
      <c r="BC402" s="1072">
        <v>18.100000000000001</v>
      </c>
      <c r="BD402" s="1072"/>
      <c r="BE402" s="1072">
        <f t="shared" si="70"/>
        <v>0</v>
      </c>
      <c r="BF402" s="1073">
        <f>BE402*('Ввод исходных данных'!$D$83-BC402)</f>
        <v>0</v>
      </c>
    </row>
    <row r="403" spans="2:58" ht="15.75" customHeight="1" x14ac:dyDescent="0.25">
      <c r="B403" s="1052" t="s">
        <v>392</v>
      </c>
      <c r="C403" s="1052" t="s">
        <v>393</v>
      </c>
      <c r="D403" s="1053" t="str">
        <f t="shared" si="79"/>
        <v>Тверская областьБежецк</v>
      </c>
      <c r="E403" s="1054">
        <v>222</v>
      </c>
      <c r="F403" s="1055">
        <v>-3.4</v>
      </c>
      <c r="G403" s="1055">
        <v>-31</v>
      </c>
      <c r="H403" s="1057">
        <v>5</v>
      </c>
      <c r="I403" s="1058">
        <f>E403*('Ввод исходных данных'!$D$83-F403)</f>
        <v>5194.7999999999993</v>
      </c>
      <c r="J403" s="1059" t="str">
        <f t="shared" si="69"/>
        <v>5000-6000</v>
      </c>
      <c r="K403" s="1060">
        <v>17.100000000000001</v>
      </c>
      <c r="L403" s="1060"/>
      <c r="M403" s="1061">
        <f t="shared" si="71"/>
        <v>0</v>
      </c>
      <c r="N403" s="1062">
        <f>M403*('Ввод исходных данных'!$D$83-K403)</f>
        <v>0</v>
      </c>
      <c r="O403" s="1063">
        <v>15.4</v>
      </c>
      <c r="P403" s="1063"/>
      <c r="Q403" s="1063">
        <f t="shared" si="72"/>
        <v>0</v>
      </c>
      <c r="R403" s="1063">
        <f>Q403*('Ввод исходных данных'!$D$83-O403)</f>
        <v>0</v>
      </c>
      <c r="S403" s="1064">
        <v>9.8000000000000007</v>
      </c>
      <c r="T403" s="1064"/>
      <c r="U403" s="1064">
        <f t="shared" si="73"/>
        <v>5</v>
      </c>
      <c r="V403" s="1064">
        <f>U403*('Ввод исходных данных'!$D$83-S403)</f>
        <v>51</v>
      </c>
      <c r="W403" s="1065">
        <v>3.6</v>
      </c>
      <c r="X403" s="1065"/>
      <c r="Y403" s="1065">
        <f t="shared" si="74"/>
        <v>31</v>
      </c>
      <c r="Z403" s="1065">
        <f>Y403*('Ввод исходных данных'!$D$83-W403)</f>
        <v>508.4</v>
      </c>
      <c r="AA403" s="1066">
        <v>-2.2999999999999998</v>
      </c>
      <c r="AB403" s="1066"/>
      <c r="AC403" s="1066">
        <f t="shared" si="75"/>
        <v>30</v>
      </c>
      <c r="AD403" s="1066">
        <f>AC403*('Ввод исходных данных'!$D$83-AA403)</f>
        <v>669</v>
      </c>
      <c r="AE403" s="1067">
        <v>-7.7</v>
      </c>
      <c r="AF403" s="1067"/>
      <c r="AG403" s="1067">
        <v>31</v>
      </c>
      <c r="AH403" s="1067">
        <f>AG403*('Ввод исходных данных'!$D$83-AE403)</f>
        <v>858.69999999999993</v>
      </c>
      <c r="AI403" s="1068">
        <v>-10.7</v>
      </c>
      <c r="AJ403" s="1068"/>
      <c r="AK403" s="1068">
        <v>31</v>
      </c>
      <c r="AL403" s="1068">
        <f>AK403*('Ввод исходных данных'!$D$83-AI403)</f>
        <v>951.69999999999993</v>
      </c>
      <c r="AM403" s="1069">
        <v>-10.199999999999999</v>
      </c>
      <c r="AN403" s="1069"/>
      <c r="AO403" s="1069">
        <v>28</v>
      </c>
      <c r="AP403" s="1069">
        <f>AO403*('Ввод исходных данных'!$D$83-AM403)</f>
        <v>845.6</v>
      </c>
      <c r="AQ403" s="1064">
        <v>-5.2</v>
      </c>
      <c r="AR403" s="1064"/>
      <c r="AS403" s="1064">
        <f t="shared" si="76"/>
        <v>31</v>
      </c>
      <c r="AT403" s="1064">
        <f>AS403*('Ввод исходных данных'!$D$83-AQ403)</f>
        <v>781.19999999999993</v>
      </c>
      <c r="AU403" s="1070">
        <v>3.2</v>
      </c>
      <c r="AV403" s="1070"/>
      <c r="AW403" s="1070">
        <f t="shared" si="77"/>
        <v>30</v>
      </c>
      <c r="AX403" s="1070">
        <f>AW403*('Ввод исходных данных'!$D$83-AU403)</f>
        <v>504</v>
      </c>
      <c r="AY403" s="1071">
        <v>10.8</v>
      </c>
      <c r="AZ403" s="1071"/>
      <c r="BA403" s="1071">
        <f t="shared" si="78"/>
        <v>5</v>
      </c>
      <c r="BB403" s="1071">
        <f>BA403*('Ввод исходных данных'!$D$83-AY403)</f>
        <v>46</v>
      </c>
      <c r="BC403" s="1072">
        <v>15.2</v>
      </c>
      <c r="BD403" s="1072"/>
      <c r="BE403" s="1072">
        <f t="shared" si="70"/>
        <v>0</v>
      </c>
      <c r="BF403" s="1073">
        <f>BE403*('Ввод исходных данных'!$D$83-BC403)</f>
        <v>0</v>
      </c>
    </row>
    <row r="404" spans="2:58" ht="15.75" customHeight="1" x14ac:dyDescent="0.25">
      <c r="B404" s="1076" t="s">
        <v>392</v>
      </c>
      <c r="C404" s="1076" t="s">
        <v>394</v>
      </c>
      <c r="D404" s="1053" t="str">
        <f t="shared" si="79"/>
        <v>Тверская областьРжев</v>
      </c>
      <c r="E404" s="1054">
        <v>218</v>
      </c>
      <c r="F404" s="1055">
        <v>-3</v>
      </c>
      <c r="G404" s="1055">
        <v>-29</v>
      </c>
      <c r="H404" s="1057">
        <f>H403</f>
        <v>5</v>
      </c>
      <c r="I404" s="1058">
        <f>E404*('Ввод исходных данных'!$D$83-F404)</f>
        <v>5014</v>
      </c>
      <c r="J404" s="1059" t="str">
        <f t="shared" si="69"/>
        <v>5000-6000</v>
      </c>
      <c r="K404" s="1060">
        <v>17.100000000000001</v>
      </c>
      <c r="L404" s="1060"/>
      <c r="M404" s="1061">
        <f t="shared" si="71"/>
        <v>0</v>
      </c>
      <c r="N404" s="1062">
        <f>M404*('Ввод исходных данных'!$D$83-K404)</f>
        <v>0</v>
      </c>
      <c r="O404" s="1063">
        <v>15.8</v>
      </c>
      <c r="P404" s="1063"/>
      <c r="Q404" s="1063">
        <f t="shared" si="72"/>
        <v>0</v>
      </c>
      <c r="R404" s="1063">
        <f>Q404*('Ввод исходных данных'!$D$83-O404)</f>
        <v>0</v>
      </c>
      <c r="S404" s="1064">
        <v>10.3</v>
      </c>
      <c r="T404" s="1064"/>
      <c r="U404" s="1064">
        <f t="shared" si="73"/>
        <v>3</v>
      </c>
      <c r="V404" s="1064">
        <f>U404*('Ввод исходных данных'!$D$83-S404)</f>
        <v>29.099999999999998</v>
      </c>
      <c r="W404" s="1065">
        <v>4.0999999999999996</v>
      </c>
      <c r="X404" s="1065"/>
      <c r="Y404" s="1065">
        <f t="shared" si="74"/>
        <v>31</v>
      </c>
      <c r="Z404" s="1065">
        <f>Y404*('Ввод исходных данных'!$D$83-W404)</f>
        <v>492.90000000000003</v>
      </c>
      <c r="AA404" s="1066">
        <v>-1.4</v>
      </c>
      <c r="AB404" s="1066"/>
      <c r="AC404" s="1066">
        <f t="shared" si="75"/>
        <v>30</v>
      </c>
      <c r="AD404" s="1066">
        <f>AC404*('Ввод исходных данных'!$D$83-AA404)</f>
        <v>642</v>
      </c>
      <c r="AE404" s="1067">
        <v>-6.3</v>
      </c>
      <c r="AF404" s="1067"/>
      <c r="AG404" s="1067">
        <v>31</v>
      </c>
      <c r="AH404" s="1067">
        <f>AG404*('Ввод исходных данных'!$D$83-AE404)</f>
        <v>815.30000000000007</v>
      </c>
      <c r="AI404" s="1068">
        <v>-10</v>
      </c>
      <c r="AJ404" s="1068"/>
      <c r="AK404" s="1068">
        <v>31</v>
      </c>
      <c r="AL404" s="1068">
        <f>AK404*('Ввод исходных данных'!$D$83-AI404)</f>
        <v>930</v>
      </c>
      <c r="AM404" s="1069">
        <v>-8.9</v>
      </c>
      <c r="AN404" s="1069"/>
      <c r="AO404" s="1069">
        <v>28</v>
      </c>
      <c r="AP404" s="1069">
        <f>AO404*('Ввод исходных данных'!$D$83-AM404)</f>
        <v>809.19999999999993</v>
      </c>
      <c r="AQ404" s="1064">
        <v>-4.2</v>
      </c>
      <c r="AR404" s="1064"/>
      <c r="AS404" s="1064">
        <f t="shared" si="76"/>
        <v>31</v>
      </c>
      <c r="AT404" s="1064">
        <f>AS404*('Ввод исходных данных'!$D$83-AQ404)</f>
        <v>750.19999999999993</v>
      </c>
      <c r="AU404" s="1070">
        <v>4.0999999999999996</v>
      </c>
      <c r="AV404" s="1070"/>
      <c r="AW404" s="1070">
        <f t="shared" si="77"/>
        <v>30</v>
      </c>
      <c r="AX404" s="1070">
        <f>AW404*('Ввод исходных данных'!$D$83-AU404)</f>
        <v>477</v>
      </c>
      <c r="AY404" s="1071">
        <v>11.2</v>
      </c>
      <c r="AZ404" s="1071"/>
      <c r="BA404" s="1071">
        <f t="shared" si="78"/>
        <v>3</v>
      </c>
      <c r="BB404" s="1071">
        <f>BA404*('Ввод исходных данных'!$D$83-AY404)</f>
        <v>26.400000000000002</v>
      </c>
      <c r="BC404" s="1072">
        <v>15.6</v>
      </c>
      <c r="BD404" s="1072"/>
      <c r="BE404" s="1072">
        <f t="shared" si="70"/>
        <v>0</v>
      </c>
      <c r="BF404" s="1073">
        <f>BE404*('Ввод исходных данных'!$D$83-BC404)</f>
        <v>0</v>
      </c>
    </row>
    <row r="405" spans="2:58" ht="15.75" customHeight="1" x14ac:dyDescent="0.25">
      <c r="B405" s="1052" t="s">
        <v>392</v>
      </c>
      <c r="C405" s="1052" t="s">
        <v>395</v>
      </c>
      <c r="D405" s="1053" t="str">
        <f t="shared" si="79"/>
        <v>Тверская областьТверь</v>
      </c>
      <c r="E405" s="1054">
        <v>217</v>
      </c>
      <c r="F405" s="1055">
        <v>-2.7</v>
      </c>
      <c r="G405" s="1055">
        <v>-28</v>
      </c>
      <c r="H405" s="1057">
        <v>6.2</v>
      </c>
      <c r="I405" s="1058">
        <f>E405*('Ввод исходных данных'!$D$83-F405)</f>
        <v>4925.8999999999996</v>
      </c>
      <c r="J405" s="1059" t="str">
        <f t="shared" si="69"/>
        <v>4000-5000</v>
      </c>
      <c r="K405" s="1060">
        <v>17.3</v>
      </c>
      <c r="L405" s="1060"/>
      <c r="M405" s="1061">
        <f t="shared" si="71"/>
        <v>0</v>
      </c>
      <c r="N405" s="1062">
        <f>M405*('Ввод исходных данных'!$D$83-K405)</f>
        <v>0</v>
      </c>
      <c r="O405" s="1063">
        <v>15.8</v>
      </c>
      <c r="P405" s="1063"/>
      <c r="Q405" s="1063">
        <f t="shared" si="72"/>
        <v>0</v>
      </c>
      <c r="R405" s="1063">
        <f>Q405*('Ввод исходных данных'!$D$83-O405)</f>
        <v>0</v>
      </c>
      <c r="S405" s="1064">
        <v>10.199999999999999</v>
      </c>
      <c r="T405" s="1064"/>
      <c r="U405" s="1064">
        <f t="shared" si="73"/>
        <v>2.5</v>
      </c>
      <c r="V405" s="1064">
        <f>U405*('Ввод исходных данных'!$D$83-S405)</f>
        <v>24.5</v>
      </c>
      <c r="W405" s="1065">
        <v>4</v>
      </c>
      <c r="X405" s="1065"/>
      <c r="Y405" s="1065">
        <f t="shared" si="74"/>
        <v>31</v>
      </c>
      <c r="Z405" s="1065">
        <f>Y405*('Ввод исходных данных'!$D$83-W405)</f>
        <v>496</v>
      </c>
      <c r="AA405" s="1066">
        <v>-1.8</v>
      </c>
      <c r="AB405" s="1066"/>
      <c r="AC405" s="1066">
        <f t="shared" si="75"/>
        <v>30</v>
      </c>
      <c r="AD405" s="1066">
        <f>AC405*('Ввод исходных данных'!$D$83-AA405)</f>
        <v>654</v>
      </c>
      <c r="AE405" s="1067">
        <v>-6.6</v>
      </c>
      <c r="AF405" s="1067"/>
      <c r="AG405" s="1067">
        <v>31</v>
      </c>
      <c r="AH405" s="1067">
        <f>AG405*('Ввод исходных данных'!$D$83-AE405)</f>
        <v>824.6</v>
      </c>
      <c r="AI405" s="1068">
        <v>-10.5</v>
      </c>
      <c r="AJ405" s="1068"/>
      <c r="AK405" s="1068">
        <v>31</v>
      </c>
      <c r="AL405" s="1068">
        <f>AK405*('Ввод исходных данных'!$D$83-AI405)</f>
        <v>945.5</v>
      </c>
      <c r="AM405" s="1069">
        <v>-9.4</v>
      </c>
      <c r="AN405" s="1069"/>
      <c r="AO405" s="1069">
        <v>28</v>
      </c>
      <c r="AP405" s="1069">
        <f>AO405*('Ввод исходных данных'!$D$83-AM405)</f>
        <v>823.19999999999993</v>
      </c>
      <c r="AQ405" s="1064">
        <v>-4.5999999999999996</v>
      </c>
      <c r="AR405" s="1064"/>
      <c r="AS405" s="1064">
        <f t="shared" si="76"/>
        <v>31</v>
      </c>
      <c r="AT405" s="1064">
        <f>AS405*('Ввод исходных данных'!$D$83-AQ405)</f>
        <v>762.6</v>
      </c>
      <c r="AU405" s="1070">
        <v>4.0999999999999996</v>
      </c>
      <c r="AV405" s="1070"/>
      <c r="AW405" s="1070">
        <f t="shared" si="77"/>
        <v>30</v>
      </c>
      <c r="AX405" s="1070">
        <f>AW405*('Ввод исходных данных'!$D$83-AU405)</f>
        <v>477</v>
      </c>
      <c r="AY405" s="1071">
        <v>11.2</v>
      </c>
      <c r="AZ405" s="1071"/>
      <c r="BA405" s="1071">
        <f t="shared" si="78"/>
        <v>2.5</v>
      </c>
      <c r="BB405" s="1071">
        <f>BA405*('Ввод исходных данных'!$D$83-AY405)</f>
        <v>22</v>
      </c>
      <c r="BC405" s="1072">
        <v>15.7</v>
      </c>
      <c r="BD405" s="1072"/>
      <c r="BE405" s="1072">
        <f t="shared" si="70"/>
        <v>0</v>
      </c>
      <c r="BF405" s="1073">
        <f>BE405*('Ввод исходных данных'!$D$83-BC405)</f>
        <v>0</v>
      </c>
    </row>
    <row r="406" spans="2:58" ht="15.75" customHeight="1" x14ac:dyDescent="0.25">
      <c r="B406" s="1076" t="s">
        <v>55</v>
      </c>
      <c r="C406" s="1076" t="s">
        <v>698</v>
      </c>
      <c r="D406" s="1053" t="str">
        <f t="shared" si="79"/>
        <v>Томская областьАлександровское</v>
      </c>
      <c r="E406" s="1054">
        <v>252</v>
      </c>
      <c r="F406" s="1055">
        <v>-9.5</v>
      </c>
      <c r="G406" s="1055">
        <v>-43</v>
      </c>
      <c r="H406" s="1057">
        <v>3.9</v>
      </c>
      <c r="I406" s="1058">
        <f>E406*('Ввод исходных данных'!$D$83-F406)</f>
        <v>7434</v>
      </c>
      <c r="J406" s="1059" t="str">
        <f t="shared" si="69"/>
        <v>7000-8000</v>
      </c>
      <c r="K406" s="1060">
        <v>18.100000000000001</v>
      </c>
      <c r="L406" s="1060"/>
      <c r="M406" s="1061">
        <f t="shared" si="71"/>
        <v>0</v>
      </c>
      <c r="N406" s="1062">
        <f>M406*('Ввод исходных данных'!$D$83-K406)</f>
        <v>0</v>
      </c>
      <c r="O406" s="1063">
        <v>14</v>
      </c>
      <c r="P406" s="1063"/>
      <c r="Q406" s="1063">
        <f t="shared" si="72"/>
        <v>0</v>
      </c>
      <c r="R406" s="1063">
        <f>Q406*('Ввод исходных данных'!$D$83-O406)</f>
        <v>0</v>
      </c>
      <c r="S406" s="1064">
        <v>7.6</v>
      </c>
      <c r="T406" s="1064"/>
      <c r="U406" s="1064">
        <f t="shared" si="73"/>
        <v>20</v>
      </c>
      <c r="V406" s="1064">
        <f>U406*('Ввод исходных данных'!$D$83-S406)</f>
        <v>248</v>
      </c>
      <c r="W406" s="1065">
        <v>-0.9</v>
      </c>
      <c r="X406" s="1065"/>
      <c r="Y406" s="1065">
        <f t="shared" si="74"/>
        <v>31</v>
      </c>
      <c r="Z406" s="1065">
        <f>Y406*('Ввод исходных данных'!$D$83-W406)</f>
        <v>647.9</v>
      </c>
      <c r="AA406" s="1066">
        <v>-11.6</v>
      </c>
      <c r="AB406" s="1066"/>
      <c r="AC406" s="1066">
        <f t="shared" si="75"/>
        <v>30</v>
      </c>
      <c r="AD406" s="1066">
        <f>AC406*('Ввод исходных данных'!$D$83-AA406)</f>
        <v>948</v>
      </c>
      <c r="AE406" s="1067">
        <v>-18.3</v>
      </c>
      <c r="AF406" s="1067"/>
      <c r="AG406" s="1067">
        <v>31</v>
      </c>
      <c r="AH406" s="1067">
        <f>AG406*('Ввод исходных данных'!$D$83-AE406)</f>
        <v>1187.3</v>
      </c>
      <c r="AI406" s="1068">
        <v>-21.2</v>
      </c>
      <c r="AJ406" s="1068"/>
      <c r="AK406" s="1068">
        <v>31</v>
      </c>
      <c r="AL406" s="1068">
        <f>AK406*('Ввод исходных данных'!$D$83-AI406)</f>
        <v>1277.2</v>
      </c>
      <c r="AM406" s="1069">
        <v>-19.3</v>
      </c>
      <c r="AN406" s="1069"/>
      <c r="AO406" s="1069">
        <v>28</v>
      </c>
      <c r="AP406" s="1069">
        <f>AO406*('Ввод исходных данных'!$D$83-AM406)</f>
        <v>1100.3999999999999</v>
      </c>
      <c r="AQ406" s="1064">
        <v>-9.9</v>
      </c>
      <c r="AR406" s="1064"/>
      <c r="AS406" s="1064">
        <f t="shared" si="76"/>
        <v>31</v>
      </c>
      <c r="AT406" s="1064">
        <f>AS406*('Ввод исходных данных'!$D$83-AQ406)</f>
        <v>926.9</v>
      </c>
      <c r="AU406" s="1070">
        <v>-2.2999999999999998</v>
      </c>
      <c r="AV406" s="1070"/>
      <c r="AW406" s="1070">
        <f t="shared" si="77"/>
        <v>30</v>
      </c>
      <c r="AX406" s="1070">
        <f>AW406*('Ввод исходных данных'!$D$83-AU406)</f>
        <v>669</v>
      </c>
      <c r="AY406" s="1071">
        <v>6</v>
      </c>
      <c r="AZ406" s="1071"/>
      <c r="BA406" s="1071">
        <f t="shared" si="78"/>
        <v>20</v>
      </c>
      <c r="BB406" s="1071">
        <f>BA406*('Ввод исходных данных'!$D$83-AY406)</f>
        <v>280</v>
      </c>
      <c r="BC406" s="1072">
        <v>14.3</v>
      </c>
      <c r="BD406" s="1072"/>
      <c r="BE406" s="1072">
        <f t="shared" si="70"/>
        <v>0</v>
      </c>
      <c r="BF406" s="1073">
        <f>BE406*('Ввод исходных данных'!$D$83-BC406)</f>
        <v>0</v>
      </c>
    </row>
    <row r="407" spans="2:58" ht="15.75" customHeight="1" x14ac:dyDescent="0.25">
      <c r="B407" s="1052" t="s">
        <v>55</v>
      </c>
      <c r="C407" s="1052" t="s">
        <v>385</v>
      </c>
      <c r="D407" s="1053" t="str">
        <f t="shared" si="79"/>
        <v>Томская областьКолпашево</v>
      </c>
      <c r="E407" s="1054">
        <v>243</v>
      </c>
      <c r="F407" s="1055">
        <v>-8.8000000000000007</v>
      </c>
      <c r="G407" s="1055">
        <v>-42</v>
      </c>
      <c r="H407" s="1057">
        <v>3.1</v>
      </c>
      <c r="I407" s="1058">
        <f>E407*('Ввод исходных данных'!$D$83-F407)</f>
        <v>6998.4000000000005</v>
      </c>
      <c r="J407" s="1059" t="str">
        <f t="shared" si="69"/>
        <v>6000-7000</v>
      </c>
      <c r="K407" s="1060">
        <v>18.5</v>
      </c>
      <c r="L407" s="1060"/>
      <c r="M407" s="1061">
        <f t="shared" si="71"/>
        <v>0</v>
      </c>
      <c r="N407" s="1062">
        <f>M407*('Ввод исходных данных'!$D$83-K407)</f>
        <v>0</v>
      </c>
      <c r="O407" s="1063">
        <v>14.6</v>
      </c>
      <c r="P407" s="1063"/>
      <c r="Q407" s="1063">
        <f t="shared" si="72"/>
        <v>0</v>
      </c>
      <c r="R407" s="1063">
        <f>Q407*('Ввод исходных данных'!$D$83-O407)</f>
        <v>0</v>
      </c>
      <c r="S407" s="1064">
        <v>8.1999999999999993</v>
      </c>
      <c r="T407" s="1064"/>
      <c r="U407" s="1064">
        <f t="shared" si="73"/>
        <v>15.5</v>
      </c>
      <c r="V407" s="1064">
        <f>U407*('Ввод исходных данных'!$D$83-S407)</f>
        <v>182.9</v>
      </c>
      <c r="W407" s="1065">
        <v>0.2</v>
      </c>
      <c r="X407" s="1065"/>
      <c r="Y407" s="1065">
        <f t="shared" si="74"/>
        <v>31</v>
      </c>
      <c r="Z407" s="1065">
        <f>Y407*('Ввод исходных данных'!$D$83-W407)</f>
        <v>613.80000000000007</v>
      </c>
      <c r="AA407" s="1066">
        <v>-10.199999999999999</v>
      </c>
      <c r="AB407" s="1066"/>
      <c r="AC407" s="1066">
        <f t="shared" si="75"/>
        <v>30</v>
      </c>
      <c r="AD407" s="1066">
        <f>AC407*('Ввод исходных данных'!$D$83-AA407)</f>
        <v>906</v>
      </c>
      <c r="AE407" s="1067">
        <v>-17.3</v>
      </c>
      <c r="AF407" s="1067"/>
      <c r="AG407" s="1067">
        <v>31</v>
      </c>
      <c r="AH407" s="1067">
        <f>AG407*('Ввод исходных данных'!$D$83-AE407)</f>
        <v>1156.3</v>
      </c>
      <c r="AI407" s="1068">
        <v>-20</v>
      </c>
      <c r="AJ407" s="1068"/>
      <c r="AK407" s="1068">
        <v>31</v>
      </c>
      <c r="AL407" s="1068">
        <f>AK407*('Ввод исходных данных'!$D$83-AI407)</f>
        <v>1240</v>
      </c>
      <c r="AM407" s="1069">
        <v>-17.7</v>
      </c>
      <c r="AN407" s="1069"/>
      <c r="AO407" s="1069">
        <v>28</v>
      </c>
      <c r="AP407" s="1069">
        <f>AO407*('Ввод исходных данных'!$D$83-AM407)</f>
        <v>1055.6000000000001</v>
      </c>
      <c r="AQ407" s="1064">
        <v>-8.8000000000000007</v>
      </c>
      <c r="AR407" s="1064"/>
      <c r="AS407" s="1064">
        <f t="shared" si="76"/>
        <v>31</v>
      </c>
      <c r="AT407" s="1064">
        <f>AS407*('Ввод исходных данных'!$D$83-AQ407)</f>
        <v>892.80000000000007</v>
      </c>
      <c r="AU407" s="1070">
        <v>-0.5</v>
      </c>
      <c r="AV407" s="1070"/>
      <c r="AW407" s="1070">
        <f t="shared" si="77"/>
        <v>30</v>
      </c>
      <c r="AX407" s="1070">
        <f>AW407*('Ввод исходных данных'!$D$83-AU407)</f>
        <v>615</v>
      </c>
      <c r="AY407" s="1071">
        <v>7.9</v>
      </c>
      <c r="AZ407" s="1071"/>
      <c r="BA407" s="1071">
        <f t="shared" si="78"/>
        <v>15.5</v>
      </c>
      <c r="BB407" s="1071">
        <f>BA407*('Ввод исходных данных'!$D$83-AY407)</f>
        <v>187.54999999999998</v>
      </c>
      <c r="BC407" s="1072">
        <v>15.4</v>
      </c>
      <c r="BD407" s="1072"/>
      <c r="BE407" s="1072">
        <f t="shared" si="70"/>
        <v>0</v>
      </c>
      <c r="BF407" s="1073">
        <f>BE407*('Ввод исходных данных'!$D$83-BC407)</f>
        <v>0</v>
      </c>
    </row>
    <row r="408" spans="2:58" ht="15.75" customHeight="1" x14ac:dyDescent="0.25">
      <c r="B408" s="1076" t="s">
        <v>55</v>
      </c>
      <c r="C408" s="1076" t="s">
        <v>386</v>
      </c>
      <c r="D408" s="1053" t="str">
        <f t="shared" si="79"/>
        <v>Томская областьСредний Васюган</v>
      </c>
      <c r="E408" s="1054">
        <v>243</v>
      </c>
      <c r="F408" s="1055">
        <v>-8.8000000000000007</v>
      </c>
      <c r="G408" s="1055">
        <v>-41</v>
      </c>
      <c r="H408" s="1057">
        <v>3.2</v>
      </c>
      <c r="I408" s="1058">
        <f>E408*('Ввод исходных данных'!$D$83-F408)</f>
        <v>6998.4000000000005</v>
      </c>
      <c r="J408" s="1059" t="str">
        <f t="shared" si="69"/>
        <v>6000-7000</v>
      </c>
      <c r="K408" s="1060">
        <v>18.5</v>
      </c>
      <c r="L408" s="1060"/>
      <c r="M408" s="1061">
        <f t="shared" si="71"/>
        <v>0</v>
      </c>
      <c r="N408" s="1062">
        <f>M408*('Ввод исходных данных'!$D$83-K408)</f>
        <v>0</v>
      </c>
      <c r="O408" s="1063">
        <v>14.4</v>
      </c>
      <c r="P408" s="1063"/>
      <c r="Q408" s="1063">
        <f t="shared" si="72"/>
        <v>0</v>
      </c>
      <c r="R408" s="1063">
        <f>Q408*('Ввод исходных данных'!$D$83-O408)</f>
        <v>0</v>
      </c>
      <c r="S408" s="1064">
        <v>8.1999999999999993</v>
      </c>
      <c r="T408" s="1064"/>
      <c r="U408" s="1064">
        <f t="shared" si="73"/>
        <v>15.5</v>
      </c>
      <c r="V408" s="1064">
        <f>U408*('Ввод исходных данных'!$D$83-S408)</f>
        <v>182.9</v>
      </c>
      <c r="W408" s="1065">
        <v>0.1</v>
      </c>
      <c r="X408" s="1065"/>
      <c r="Y408" s="1065">
        <f t="shared" si="74"/>
        <v>31</v>
      </c>
      <c r="Z408" s="1065">
        <f>Y408*('Ввод исходных данных'!$D$83-W408)</f>
        <v>616.9</v>
      </c>
      <c r="AA408" s="1066">
        <v>-10.5</v>
      </c>
      <c r="AB408" s="1066"/>
      <c r="AC408" s="1066">
        <f t="shared" si="75"/>
        <v>30</v>
      </c>
      <c r="AD408" s="1066">
        <f>AC408*('Ввод исходных данных'!$D$83-AA408)</f>
        <v>915</v>
      </c>
      <c r="AE408" s="1067">
        <v>-17.2</v>
      </c>
      <c r="AF408" s="1067"/>
      <c r="AG408" s="1067">
        <v>31</v>
      </c>
      <c r="AH408" s="1067">
        <f>AG408*('Ввод исходных данных'!$D$83-AE408)</f>
        <v>1153.2</v>
      </c>
      <c r="AI408" s="1068">
        <v>-19.8</v>
      </c>
      <c r="AJ408" s="1068"/>
      <c r="AK408" s="1068">
        <v>31</v>
      </c>
      <c r="AL408" s="1068">
        <f>AK408*('Ввод исходных данных'!$D$83-AI408)</f>
        <v>1233.8</v>
      </c>
      <c r="AM408" s="1069">
        <v>-17.7</v>
      </c>
      <c r="AN408" s="1069"/>
      <c r="AO408" s="1069">
        <v>28</v>
      </c>
      <c r="AP408" s="1069">
        <f>AO408*('Ввод исходных данных'!$D$83-AM408)</f>
        <v>1055.6000000000001</v>
      </c>
      <c r="AQ408" s="1064">
        <v>-8.3000000000000007</v>
      </c>
      <c r="AR408" s="1064"/>
      <c r="AS408" s="1064">
        <f t="shared" si="76"/>
        <v>31</v>
      </c>
      <c r="AT408" s="1064">
        <f>AS408*('Ввод исходных данных'!$D$83-AQ408)</f>
        <v>877.30000000000007</v>
      </c>
      <c r="AU408" s="1070">
        <v>-0.3</v>
      </c>
      <c r="AV408" s="1070"/>
      <c r="AW408" s="1070">
        <f t="shared" si="77"/>
        <v>30</v>
      </c>
      <c r="AX408" s="1070">
        <f>AW408*('Ввод исходных данных'!$D$83-AU408)</f>
        <v>609</v>
      </c>
      <c r="AY408" s="1071">
        <v>7.7</v>
      </c>
      <c r="AZ408" s="1071"/>
      <c r="BA408" s="1071">
        <f t="shared" si="78"/>
        <v>15.5</v>
      </c>
      <c r="BB408" s="1071">
        <f>BA408*('Ввод исходных данных'!$D$83-AY408)</f>
        <v>190.65</v>
      </c>
      <c r="BC408" s="1072">
        <v>15.2</v>
      </c>
      <c r="BD408" s="1072"/>
      <c r="BE408" s="1072">
        <f t="shared" si="70"/>
        <v>0</v>
      </c>
      <c r="BF408" s="1073">
        <f>BE408*('Ввод исходных данных'!$D$83-BC408)</f>
        <v>0</v>
      </c>
    </row>
    <row r="409" spans="2:58" ht="15.75" customHeight="1" x14ac:dyDescent="0.25">
      <c r="B409" s="1052" t="s">
        <v>55</v>
      </c>
      <c r="C409" s="1052" t="s">
        <v>387</v>
      </c>
      <c r="D409" s="1053" t="str">
        <f t="shared" si="79"/>
        <v>Томская областьТомск</v>
      </c>
      <c r="E409" s="1054">
        <v>233</v>
      </c>
      <c r="F409" s="1055">
        <v>-7.9</v>
      </c>
      <c r="G409" s="1055">
        <v>-39</v>
      </c>
      <c r="H409" s="1057">
        <v>2.4</v>
      </c>
      <c r="I409" s="1058">
        <f>E409*('Ввод исходных данных'!$D$83-F409)</f>
        <v>6500.7</v>
      </c>
      <c r="J409" s="1059" t="str">
        <f t="shared" si="69"/>
        <v>6000-7000</v>
      </c>
      <c r="K409" s="1060">
        <v>18.7</v>
      </c>
      <c r="L409" s="1060"/>
      <c r="M409" s="1061">
        <f t="shared" si="71"/>
        <v>0</v>
      </c>
      <c r="N409" s="1062">
        <f>M409*('Ввод исходных данных'!$D$83-K409)</f>
        <v>0</v>
      </c>
      <c r="O409" s="1063">
        <v>15.3</v>
      </c>
      <c r="P409" s="1063"/>
      <c r="Q409" s="1063">
        <f t="shared" si="72"/>
        <v>0</v>
      </c>
      <c r="R409" s="1063">
        <f>Q409*('Ввод исходных данных'!$D$83-O409)</f>
        <v>0</v>
      </c>
      <c r="S409" s="1064">
        <v>9</v>
      </c>
      <c r="T409" s="1064"/>
      <c r="U409" s="1064">
        <f t="shared" si="73"/>
        <v>10.5</v>
      </c>
      <c r="V409" s="1064">
        <f>U409*('Ввод исходных данных'!$D$83-S409)</f>
        <v>115.5</v>
      </c>
      <c r="W409" s="1065">
        <v>1.3</v>
      </c>
      <c r="X409" s="1065"/>
      <c r="Y409" s="1065">
        <f t="shared" si="74"/>
        <v>31</v>
      </c>
      <c r="Z409" s="1065">
        <f>Y409*('Ввод исходных данных'!$D$83-W409)</f>
        <v>579.69999999999993</v>
      </c>
      <c r="AA409" s="1066">
        <v>-8.5</v>
      </c>
      <c r="AB409" s="1066"/>
      <c r="AC409" s="1066">
        <f t="shared" si="75"/>
        <v>30</v>
      </c>
      <c r="AD409" s="1066">
        <f>AC409*('Ввод исходных данных'!$D$83-AA409)</f>
        <v>855</v>
      </c>
      <c r="AE409" s="1067">
        <v>-15.4</v>
      </c>
      <c r="AF409" s="1067"/>
      <c r="AG409" s="1067">
        <v>31</v>
      </c>
      <c r="AH409" s="1067">
        <f>AG409*('Ввод исходных данных'!$D$83-AE409)</f>
        <v>1097.3999999999999</v>
      </c>
      <c r="AI409" s="1068">
        <v>-17.899999999999999</v>
      </c>
      <c r="AJ409" s="1068"/>
      <c r="AK409" s="1068">
        <v>31</v>
      </c>
      <c r="AL409" s="1068">
        <f>AK409*('Ввод исходных данных'!$D$83-AI409)</f>
        <v>1174.8999999999999</v>
      </c>
      <c r="AM409" s="1069">
        <v>-15.7</v>
      </c>
      <c r="AN409" s="1069"/>
      <c r="AO409" s="1069">
        <v>28</v>
      </c>
      <c r="AP409" s="1069">
        <f>AO409*('Ввод исходных данных'!$D$83-AM409)</f>
        <v>999.60000000000014</v>
      </c>
      <c r="AQ409" s="1064">
        <v>-7.7</v>
      </c>
      <c r="AR409" s="1064"/>
      <c r="AS409" s="1064">
        <f t="shared" si="76"/>
        <v>31</v>
      </c>
      <c r="AT409" s="1064">
        <f>AS409*('Ввод исходных данных'!$D$83-AQ409)</f>
        <v>858.69999999999993</v>
      </c>
      <c r="AU409" s="1070">
        <v>1.2</v>
      </c>
      <c r="AV409" s="1070"/>
      <c r="AW409" s="1070">
        <f t="shared" si="77"/>
        <v>30</v>
      </c>
      <c r="AX409" s="1070">
        <f>AW409*('Ввод исходных данных'!$D$83-AU409)</f>
        <v>564</v>
      </c>
      <c r="AY409" s="1071">
        <v>9.6999999999999993</v>
      </c>
      <c r="AZ409" s="1071"/>
      <c r="BA409" s="1071">
        <f t="shared" si="78"/>
        <v>10.5</v>
      </c>
      <c r="BB409" s="1071">
        <f>BA409*('Ввод исходных данных'!$D$83-AY409)</f>
        <v>108.15</v>
      </c>
      <c r="BC409" s="1072">
        <v>15.9</v>
      </c>
      <c r="BD409" s="1072"/>
      <c r="BE409" s="1072">
        <f t="shared" si="70"/>
        <v>0</v>
      </c>
      <c r="BF409" s="1073">
        <f>BE409*('Ввод исходных данных'!$D$83-BC409)</f>
        <v>0</v>
      </c>
    </row>
    <row r="410" spans="2:58" ht="15.75" customHeight="1" x14ac:dyDescent="0.25">
      <c r="B410" s="1076" t="s">
        <v>55</v>
      </c>
      <c r="C410" s="1076" t="s">
        <v>388</v>
      </c>
      <c r="D410" s="1053" t="str">
        <f t="shared" si="79"/>
        <v>Томская областьУсть-Озерное</v>
      </c>
      <c r="E410" s="1054">
        <v>249</v>
      </c>
      <c r="F410" s="1055">
        <v>-9.3000000000000007</v>
      </c>
      <c r="G410" s="1055">
        <v>-43</v>
      </c>
      <c r="H410" s="1057">
        <v>2.8</v>
      </c>
      <c r="I410" s="1058">
        <f>E410*('Ввод исходных данных'!$D$83-F410)</f>
        <v>7295.7</v>
      </c>
      <c r="J410" s="1059" t="str">
        <f t="shared" si="69"/>
        <v>7000-8000</v>
      </c>
      <c r="K410" s="1060">
        <v>18.600000000000001</v>
      </c>
      <c r="L410" s="1060"/>
      <c r="M410" s="1061">
        <f t="shared" si="71"/>
        <v>0</v>
      </c>
      <c r="N410" s="1062">
        <f>M410*('Ввод исходных данных'!$D$83-K410)</f>
        <v>0</v>
      </c>
      <c r="O410" s="1063">
        <v>14.4</v>
      </c>
      <c r="P410" s="1063"/>
      <c r="Q410" s="1063">
        <f t="shared" si="72"/>
        <v>0</v>
      </c>
      <c r="R410" s="1063">
        <f>Q410*('Ввод исходных данных'!$D$83-O410)</f>
        <v>0</v>
      </c>
      <c r="S410" s="1064">
        <v>7.6</v>
      </c>
      <c r="T410" s="1064"/>
      <c r="U410" s="1064">
        <f t="shared" si="73"/>
        <v>18.5</v>
      </c>
      <c r="V410" s="1064">
        <f>U410*('Ввод исходных данных'!$D$83-S410)</f>
        <v>229.4</v>
      </c>
      <c r="W410" s="1065">
        <v>-0.8</v>
      </c>
      <c r="X410" s="1065"/>
      <c r="Y410" s="1065">
        <f t="shared" si="74"/>
        <v>31</v>
      </c>
      <c r="Z410" s="1065">
        <f>Y410*('Ввод исходных данных'!$D$83-W410)</f>
        <v>644.80000000000007</v>
      </c>
      <c r="AA410" s="1066">
        <v>-11.8</v>
      </c>
      <c r="AB410" s="1066"/>
      <c r="AC410" s="1066">
        <f t="shared" si="75"/>
        <v>30</v>
      </c>
      <c r="AD410" s="1066">
        <f>AC410*('Ввод исходных данных'!$D$83-AA410)</f>
        <v>954</v>
      </c>
      <c r="AE410" s="1067">
        <v>-18.7</v>
      </c>
      <c r="AF410" s="1067"/>
      <c r="AG410" s="1067">
        <v>31</v>
      </c>
      <c r="AH410" s="1067">
        <f>AG410*('Ввод исходных данных'!$D$83-AE410)</f>
        <v>1199.7</v>
      </c>
      <c r="AI410" s="1068">
        <v>-21</v>
      </c>
      <c r="AJ410" s="1068"/>
      <c r="AK410" s="1068">
        <v>31</v>
      </c>
      <c r="AL410" s="1068">
        <f>AK410*('Ввод исходных данных'!$D$83-AI410)</f>
        <v>1271</v>
      </c>
      <c r="AM410" s="1069">
        <v>-18.3</v>
      </c>
      <c r="AN410" s="1069"/>
      <c r="AO410" s="1069">
        <v>28</v>
      </c>
      <c r="AP410" s="1069">
        <f>AO410*('Ввод исходных данных'!$D$83-AM410)</f>
        <v>1072.3999999999999</v>
      </c>
      <c r="AQ410" s="1064">
        <v>-9.3000000000000007</v>
      </c>
      <c r="AR410" s="1064"/>
      <c r="AS410" s="1064">
        <f t="shared" si="76"/>
        <v>31</v>
      </c>
      <c r="AT410" s="1064">
        <f>AS410*('Ввод исходных данных'!$D$83-AQ410)</f>
        <v>908.30000000000007</v>
      </c>
      <c r="AU410" s="1070">
        <v>-1</v>
      </c>
      <c r="AV410" s="1070"/>
      <c r="AW410" s="1070">
        <f t="shared" si="77"/>
        <v>30</v>
      </c>
      <c r="AX410" s="1070">
        <f>AW410*('Ввод исходных данных'!$D$83-AU410)</f>
        <v>630</v>
      </c>
      <c r="AY410" s="1071">
        <v>7.1</v>
      </c>
      <c r="AZ410" s="1071"/>
      <c r="BA410" s="1071">
        <f t="shared" si="78"/>
        <v>18.5</v>
      </c>
      <c r="BB410" s="1071">
        <f>BA410*('Ввод исходных данных'!$D$83-AY410)</f>
        <v>238.65</v>
      </c>
      <c r="BC410" s="1072">
        <v>15.2</v>
      </c>
      <c r="BD410" s="1072"/>
      <c r="BE410" s="1072">
        <f t="shared" si="70"/>
        <v>0</v>
      </c>
      <c r="BF410" s="1073">
        <f>BE410*('Ввод исходных данных'!$D$83-BC410)</f>
        <v>0</v>
      </c>
    </row>
    <row r="411" spans="2:58" ht="15.75" customHeight="1" x14ac:dyDescent="0.25">
      <c r="B411" s="1052" t="s">
        <v>389</v>
      </c>
      <c r="C411" s="1052" t="s">
        <v>390</v>
      </c>
      <c r="D411" s="1053" t="str">
        <f t="shared" si="79"/>
        <v>Тульская областьТула</v>
      </c>
      <c r="E411" s="1054">
        <v>207</v>
      </c>
      <c r="F411" s="1055">
        <v>-3</v>
      </c>
      <c r="G411" s="1055">
        <v>-27</v>
      </c>
      <c r="H411" s="1057">
        <v>4.9000000000000004</v>
      </c>
      <c r="I411" s="1058">
        <f>E411*('Ввод исходных данных'!$D$83-F411)</f>
        <v>4761</v>
      </c>
      <c r="J411" s="1059" t="str">
        <f t="shared" si="69"/>
        <v>4000-5000</v>
      </c>
      <c r="K411" s="1060">
        <v>18.600000000000001</v>
      </c>
      <c r="L411" s="1060"/>
      <c r="M411" s="1061">
        <f t="shared" si="71"/>
        <v>0</v>
      </c>
      <c r="N411" s="1062">
        <f>M411*('Ввод исходных данных'!$D$83-K411)</f>
        <v>0</v>
      </c>
      <c r="O411" s="1063">
        <v>17.2</v>
      </c>
      <c r="P411" s="1063"/>
      <c r="Q411" s="1063">
        <f t="shared" si="72"/>
        <v>0</v>
      </c>
      <c r="R411" s="1063">
        <f>Q411*('Ввод исходных данных'!$D$83-O411)</f>
        <v>0</v>
      </c>
      <c r="S411" s="1064">
        <v>11.6</v>
      </c>
      <c r="T411" s="1064"/>
      <c r="U411" s="1064">
        <f t="shared" si="73"/>
        <v>0</v>
      </c>
      <c r="V411" s="1064">
        <f>U411*('Ввод исходных данных'!$D$83-S411)</f>
        <v>0</v>
      </c>
      <c r="W411" s="1065">
        <v>5</v>
      </c>
      <c r="X411" s="1065"/>
      <c r="Y411" s="1065">
        <f t="shared" si="74"/>
        <v>28</v>
      </c>
      <c r="Z411" s="1065">
        <f>Y411*('Ввод исходных данных'!$D$83-W411)</f>
        <v>420</v>
      </c>
      <c r="AA411" s="1066">
        <v>-1.1000000000000001</v>
      </c>
      <c r="AB411" s="1066"/>
      <c r="AC411" s="1066">
        <f t="shared" si="75"/>
        <v>30</v>
      </c>
      <c r="AD411" s="1066">
        <f>AC411*('Ввод исходных данных'!$D$83-AA411)</f>
        <v>633</v>
      </c>
      <c r="AE411" s="1067">
        <v>-6.7</v>
      </c>
      <c r="AF411" s="1067"/>
      <c r="AG411" s="1067">
        <v>31</v>
      </c>
      <c r="AH411" s="1067">
        <f>AG411*('Ввод исходных данных'!$D$83-AE411)</f>
        <v>827.69999999999993</v>
      </c>
      <c r="AI411" s="1068">
        <v>-9.9</v>
      </c>
      <c r="AJ411" s="1068"/>
      <c r="AK411" s="1068">
        <v>31</v>
      </c>
      <c r="AL411" s="1068">
        <f>AK411*('Ввод исходных данных'!$D$83-AI411)</f>
        <v>926.9</v>
      </c>
      <c r="AM411" s="1069">
        <v>-9.5</v>
      </c>
      <c r="AN411" s="1069"/>
      <c r="AO411" s="1069">
        <v>28</v>
      </c>
      <c r="AP411" s="1069">
        <f>AO411*('Ввод исходных данных'!$D$83-AM411)</f>
        <v>826</v>
      </c>
      <c r="AQ411" s="1064">
        <v>-4.0999999999999996</v>
      </c>
      <c r="AR411" s="1064"/>
      <c r="AS411" s="1064">
        <f t="shared" si="76"/>
        <v>31</v>
      </c>
      <c r="AT411" s="1064">
        <f>AS411*('Ввод исходных данных'!$D$83-AQ411)</f>
        <v>747.1</v>
      </c>
      <c r="AU411" s="1070">
        <v>5</v>
      </c>
      <c r="AV411" s="1070"/>
      <c r="AW411" s="1070">
        <f t="shared" si="77"/>
        <v>28</v>
      </c>
      <c r="AX411" s="1070">
        <f>AW411*('Ввод исходных данных'!$D$83-AU411)</f>
        <v>420</v>
      </c>
      <c r="AY411" s="1071">
        <v>12.9</v>
      </c>
      <c r="AZ411" s="1071"/>
      <c r="BA411" s="1071">
        <f t="shared" si="78"/>
        <v>0</v>
      </c>
      <c r="BB411" s="1071">
        <f>BA411*('Ввод исходных данных'!$D$83-AY411)</f>
        <v>0</v>
      </c>
      <c r="BC411" s="1072">
        <v>16.7</v>
      </c>
      <c r="BD411" s="1072"/>
      <c r="BE411" s="1072">
        <f t="shared" si="70"/>
        <v>0</v>
      </c>
      <c r="BF411" s="1073">
        <f>BE411*('Ввод исходных данных'!$D$83-BC411)</f>
        <v>0</v>
      </c>
    </row>
    <row r="412" spans="2:58" ht="15.75" customHeight="1" x14ac:dyDescent="0.25">
      <c r="B412" s="1076" t="s">
        <v>396</v>
      </c>
      <c r="C412" s="1076" t="s">
        <v>699</v>
      </c>
      <c r="D412" s="1053" t="str">
        <f t="shared" si="79"/>
        <v>Тюменская областьДемьянское</v>
      </c>
      <c r="E412" s="1054">
        <v>241</v>
      </c>
      <c r="F412" s="1055">
        <v>-8</v>
      </c>
      <c r="G412" s="1055">
        <v>-40</v>
      </c>
      <c r="H412" s="1057">
        <v>4.5999999999999996</v>
      </c>
      <c r="I412" s="1058">
        <f>E412*('Ввод исходных данных'!$D$83-F412)</f>
        <v>6748</v>
      </c>
      <c r="J412" s="1059" t="str">
        <f t="shared" si="69"/>
        <v>6000-7000</v>
      </c>
      <c r="K412" s="1060">
        <v>17.600000000000001</v>
      </c>
      <c r="L412" s="1060"/>
      <c r="M412" s="1061">
        <f t="shared" si="71"/>
        <v>0</v>
      </c>
      <c r="N412" s="1062">
        <f>M412*('Ввод исходных данных'!$D$83-K412)</f>
        <v>0</v>
      </c>
      <c r="O412" s="1063">
        <v>14.5</v>
      </c>
      <c r="P412" s="1063"/>
      <c r="Q412" s="1063">
        <f t="shared" si="72"/>
        <v>0</v>
      </c>
      <c r="R412" s="1063">
        <f>Q412*('Ввод исходных данных'!$D$83-O412)</f>
        <v>0</v>
      </c>
      <c r="S412" s="1064">
        <v>8.9</v>
      </c>
      <c r="T412" s="1064"/>
      <c r="U412" s="1064">
        <f t="shared" si="73"/>
        <v>14.5</v>
      </c>
      <c r="V412" s="1064">
        <f>U412*('Ввод исходных данных'!$D$83-S412)</f>
        <v>160.94999999999999</v>
      </c>
      <c r="W412" s="1065">
        <v>0.2</v>
      </c>
      <c r="X412" s="1065"/>
      <c r="Y412" s="1065">
        <f t="shared" si="74"/>
        <v>31</v>
      </c>
      <c r="Z412" s="1065">
        <f>Y412*('Ввод исходных данных'!$D$83-W412)</f>
        <v>613.80000000000007</v>
      </c>
      <c r="AA412" s="1066">
        <v>-9.8000000000000007</v>
      </c>
      <c r="AB412" s="1066"/>
      <c r="AC412" s="1066">
        <f t="shared" si="75"/>
        <v>30</v>
      </c>
      <c r="AD412" s="1066">
        <f>AC412*('Ввод исходных данных'!$D$83-AA412)</f>
        <v>894</v>
      </c>
      <c r="AE412" s="1067">
        <v>-17</v>
      </c>
      <c r="AF412" s="1067"/>
      <c r="AG412" s="1067">
        <v>31</v>
      </c>
      <c r="AH412" s="1067">
        <f>AG412*('Ввод исходных данных'!$D$83-AE412)</f>
        <v>1147</v>
      </c>
      <c r="AI412" s="1068">
        <v>-19.2</v>
      </c>
      <c r="AJ412" s="1068"/>
      <c r="AK412" s="1068">
        <v>31</v>
      </c>
      <c r="AL412" s="1068">
        <f>AK412*('Ввод исходных данных'!$D$83-AI412)</f>
        <v>1215.2</v>
      </c>
      <c r="AM412" s="1069">
        <v>-16.899999999999999</v>
      </c>
      <c r="AN412" s="1069"/>
      <c r="AO412" s="1069">
        <v>28</v>
      </c>
      <c r="AP412" s="1069">
        <f>AO412*('Ввод исходных данных'!$D$83-AM412)</f>
        <v>1033.2</v>
      </c>
      <c r="AQ412" s="1064">
        <v>-9.4</v>
      </c>
      <c r="AR412" s="1064"/>
      <c r="AS412" s="1064">
        <f t="shared" si="76"/>
        <v>31</v>
      </c>
      <c r="AT412" s="1064">
        <f>AS412*('Ввод исходных данных'!$D$83-AQ412)</f>
        <v>911.4</v>
      </c>
      <c r="AU412" s="1070">
        <v>0.7</v>
      </c>
      <c r="AV412" s="1070"/>
      <c r="AW412" s="1070">
        <f t="shared" si="77"/>
        <v>30</v>
      </c>
      <c r="AX412" s="1070">
        <f>AW412*('Ввод исходных данных'!$D$83-AU412)</f>
        <v>579</v>
      </c>
      <c r="AY412" s="1071">
        <v>7.7</v>
      </c>
      <c r="AZ412" s="1071"/>
      <c r="BA412" s="1071">
        <f t="shared" si="78"/>
        <v>14.5</v>
      </c>
      <c r="BB412" s="1071">
        <f>BA412*('Ввод исходных данных'!$D$83-AY412)</f>
        <v>178.35000000000002</v>
      </c>
      <c r="BC412" s="1072">
        <v>14.7</v>
      </c>
      <c r="BD412" s="1072"/>
      <c r="BE412" s="1072">
        <f t="shared" si="70"/>
        <v>0</v>
      </c>
      <c r="BF412" s="1073">
        <f>BE412*('Ввод исходных данных'!$D$83-BC412)</f>
        <v>0</v>
      </c>
    </row>
    <row r="413" spans="2:58" ht="15.75" customHeight="1" x14ac:dyDescent="0.25">
      <c r="B413" s="1052" t="s">
        <v>396</v>
      </c>
      <c r="C413" s="1052" t="s">
        <v>397</v>
      </c>
      <c r="D413" s="1053" t="str">
        <f t="shared" si="79"/>
        <v>Тюменская областьЛеуши</v>
      </c>
      <c r="E413" s="1054">
        <v>237</v>
      </c>
      <c r="F413" s="1055">
        <v>-7.4</v>
      </c>
      <c r="G413" s="1055">
        <v>-37</v>
      </c>
      <c r="H413" s="1057">
        <v>2.9</v>
      </c>
      <c r="I413" s="1058">
        <f>E413*('Ввод исходных данных'!$D$83-F413)</f>
        <v>6493.7999999999993</v>
      </c>
      <c r="J413" s="1059" t="str">
        <f t="shared" si="69"/>
        <v>6000-7000</v>
      </c>
      <c r="K413" s="1060">
        <v>18.399999999999999</v>
      </c>
      <c r="L413" s="1060"/>
      <c r="M413" s="1061">
        <f t="shared" si="71"/>
        <v>0</v>
      </c>
      <c r="N413" s="1062">
        <f>M413*('Ввод исходных данных'!$D$83-K413)</f>
        <v>0</v>
      </c>
      <c r="O413" s="1063">
        <v>14.6</v>
      </c>
      <c r="P413" s="1063"/>
      <c r="Q413" s="1063">
        <f t="shared" si="72"/>
        <v>0</v>
      </c>
      <c r="R413" s="1063">
        <f>Q413*('Ввод исходных данных'!$D$83-O413)</f>
        <v>0</v>
      </c>
      <c r="S413" s="1064">
        <v>8.6</v>
      </c>
      <c r="T413" s="1064"/>
      <c r="U413" s="1064">
        <f t="shared" si="73"/>
        <v>12.5</v>
      </c>
      <c r="V413" s="1064">
        <f>U413*('Ввод исходных данных'!$D$83-S413)</f>
        <v>142.5</v>
      </c>
      <c r="W413" s="1065">
        <v>0.8</v>
      </c>
      <c r="X413" s="1065"/>
      <c r="Y413" s="1065">
        <f t="shared" si="74"/>
        <v>31</v>
      </c>
      <c r="Z413" s="1065">
        <f>Y413*('Ввод исходных данных'!$D$83-W413)</f>
        <v>595.19999999999993</v>
      </c>
      <c r="AA413" s="1066">
        <v>-8.6</v>
      </c>
      <c r="AB413" s="1066"/>
      <c r="AC413" s="1066">
        <f t="shared" si="75"/>
        <v>30</v>
      </c>
      <c r="AD413" s="1066">
        <f>AC413*('Ввод исходных данных'!$D$83-AA413)</f>
        <v>858</v>
      </c>
      <c r="AE413" s="1067">
        <v>-14.9</v>
      </c>
      <c r="AF413" s="1067"/>
      <c r="AG413" s="1067">
        <v>31</v>
      </c>
      <c r="AH413" s="1067">
        <f>AG413*('Ввод исходных данных'!$D$83-AE413)</f>
        <v>1081.8999999999999</v>
      </c>
      <c r="AI413" s="1068">
        <v>-17.600000000000001</v>
      </c>
      <c r="AJ413" s="1068"/>
      <c r="AK413" s="1068">
        <v>31</v>
      </c>
      <c r="AL413" s="1068">
        <f>AK413*('Ввод исходных данных'!$D$83-AI413)</f>
        <v>1165.6000000000001</v>
      </c>
      <c r="AM413" s="1069">
        <v>-15.8</v>
      </c>
      <c r="AN413" s="1069"/>
      <c r="AO413" s="1069">
        <v>28</v>
      </c>
      <c r="AP413" s="1069">
        <f>AO413*('Ввод исходных данных'!$D$83-AM413)</f>
        <v>1002.3999999999999</v>
      </c>
      <c r="AQ413" s="1064">
        <v>-6.3</v>
      </c>
      <c r="AR413" s="1064"/>
      <c r="AS413" s="1064">
        <f t="shared" si="76"/>
        <v>31</v>
      </c>
      <c r="AT413" s="1064">
        <f>AS413*('Ввод исходных данных'!$D$83-AQ413)</f>
        <v>815.30000000000007</v>
      </c>
      <c r="AU413" s="1070">
        <v>1.3</v>
      </c>
      <c r="AV413" s="1070"/>
      <c r="AW413" s="1070">
        <f t="shared" si="77"/>
        <v>30</v>
      </c>
      <c r="AX413" s="1070">
        <f>AW413*('Ввод исходных данных'!$D$83-AU413)</f>
        <v>561</v>
      </c>
      <c r="AY413" s="1071">
        <v>8.8000000000000007</v>
      </c>
      <c r="AZ413" s="1071"/>
      <c r="BA413" s="1071">
        <f t="shared" si="78"/>
        <v>12.5</v>
      </c>
      <c r="BB413" s="1071">
        <f>BA413*('Ввод исходных данных'!$D$83-AY413)</f>
        <v>140</v>
      </c>
      <c r="BC413" s="1072">
        <v>15.4</v>
      </c>
      <c r="BD413" s="1072"/>
      <c r="BE413" s="1072">
        <f t="shared" si="70"/>
        <v>0</v>
      </c>
      <c r="BF413" s="1073">
        <f>BE413*('Ввод исходных данных'!$D$83-BC413)</f>
        <v>0</v>
      </c>
    </row>
    <row r="414" spans="2:58" ht="15.75" customHeight="1" x14ac:dyDescent="0.25">
      <c r="B414" s="1076" t="s">
        <v>396</v>
      </c>
      <c r="C414" s="1076" t="s">
        <v>398</v>
      </c>
      <c r="D414" s="1053" t="str">
        <f t="shared" si="79"/>
        <v>Тюменская областьМарресаля</v>
      </c>
      <c r="E414" s="1054">
        <v>365</v>
      </c>
      <c r="F414" s="1055">
        <v>-8</v>
      </c>
      <c r="G414" s="1055">
        <v>-39</v>
      </c>
      <c r="H414" s="1057">
        <v>7.7</v>
      </c>
      <c r="I414" s="1058">
        <f>E414*('Ввод исходных данных'!$D$83-F414)</f>
        <v>10220</v>
      </c>
      <c r="J414" s="1059" t="str">
        <f t="shared" si="69"/>
        <v>10000-11000</v>
      </c>
      <c r="K414" s="1060">
        <v>7.3</v>
      </c>
      <c r="L414" s="1060"/>
      <c r="M414" s="1061">
        <f t="shared" si="71"/>
        <v>31</v>
      </c>
      <c r="N414" s="1062">
        <f>M414*('Ввод исходных данных'!$D$83-K414)</f>
        <v>393.7</v>
      </c>
      <c r="O414" s="1063">
        <v>7</v>
      </c>
      <c r="P414" s="1063"/>
      <c r="Q414" s="1063">
        <f t="shared" si="72"/>
        <v>31</v>
      </c>
      <c r="R414" s="1063">
        <f>Q414*('Ввод исходных данных'!$D$83-O414)</f>
        <v>403</v>
      </c>
      <c r="S414" s="1064">
        <v>3.7</v>
      </c>
      <c r="T414" s="1064"/>
      <c r="U414" s="1064">
        <f t="shared" si="73"/>
        <v>30</v>
      </c>
      <c r="V414" s="1064">
        <f>U414*('Ввод исходных данных'!$D$83-S414)</f>
        <v>489</v>
      </c>
      <c r="W414" s="1065">
        <v>-4.5</v>
      </c>
      <c r="X414" s="1065"/>
      <c r="Y414" s="1065">
        <f t="shared" si="74"/>
        <v>31</v>
      </c>
      <c r="Z414" s="1065">
        <f>Y414*('Ввод исходных данных'!$D$83-W414)</f>
        <v>759.5</v>
      </c>
      <c r="AA414" s="1066">
        <v>-13</v>
      </c>
      <c r="AB414" s="1066"/>
      <c r="AC414" s="1066">
        <f t="shared" si="75"/>
        <v>30</v>
      </c>
      <c r="AD414" s="1066">
        <f>AC414*('Ввод исходных данных'!$D$83-AA414)</f>
        <v>990</v>
      </c>
      <c r="AE414" s="1067">
        <v>-18</v>
      </c>
      <c r="AF414" s="1067"/>
      <c r="AG414" s="1067">
        <v>31</v>
      </c>
      <c r="AH414" s="1067">
        <f>AG414*('Ввод исходных данных'!$D$83-AE414)</f>
        <v>1178</v>
      </c>
      <c r="AI414" s="1068">
        <v>-21.7</v>
      </c>
      <c r="AJ414" s="1068"/>
      <c r="AK414" s="1068">
        <v>31</v>
      </c>
      <c r="AL414" s="1068">
        <f>AK414*('Ввод исходных данных'!$D$83-AI414)</f>
        <v>1292.7</v>
      </c>
      <c r="AM414" s="1069">
        <v>-22.4</v>
      </c>
      <c r="AN414" s="1069"/>
      <c r="AO414" s="1069">
        <v>28</v>
      </c>
      <c r="AP414" s="1069">
        <f>AO414*('Ввод исходных данных'!$D$83-AM414)</f>
        <v>1187.2</v>
      </c>
      <c r="AQ414" s="1064">
        <v>-17.8</v>
      </c>
      <c r="AR414" s="1064"/>
      <c r="AS414" s="1064">
        <f t="shared" si="76"/>
        <v>31</v>
      </c>
      <c r="AT414" s="1064">
        <f>AS414*('Ввод исходных данных'!$D$83-AQ414)</f>
        <v>1171.8</v>
      </c>
      <c r="AU414" s="1070">
        <v>-13.5</v>
      </c>
      <c r="AV414" s="1070"/>
      <c r="AW414" s="1070">
        <f t="shared" si="77"/>
        <v>30</v>
      </c>
      <c r="AX414" s="1070">
        <f>AW414*('Ввод исходных данных'!$D$83-AU414)</f>
        <v>1005</v>
      </c>
      <c r="AY414" s="1071">
        <v>-5.5</v>
      </c>
      <c r="AZ414" s="1071"/>
      <c r="BA414" s="1071">
        <f t="shared" si="78"/>
        <v>31</v>
      </c>
      <c r="BB414" s="1071">
        <f>BA414*('Ввод исходных данных'!$D$83-AY414)</f>
        <v>790.5</v>
      </c>
      <c r="BC414" s="1072">
        <v>2</v>
      </c>
      <c r="BD414" s="1072"/>
      <c r="BE414" s="1072">
        <f t="shared" si="70"/>
        <v>30</v>
      </c>
      <c r="BF414" s="1073">
        <f>BE414*('Ввод исходных данных'!$D$83-BC414)</f>
        <v>540</v>
      </c>
    </row>
    <row r="415" spans="2:58" ht="15.75" customHeight="1" x14ac:dyDescent="0.25">
      <c r="B415" s="1052" t="s">
        <v>396</v>
      </c>
      <c r="C415" s="1052" t="s">
        <v>399</v>
      </c>
      <c r="D415" s="1053" t="str">
        <f t="shared" si="79"/>
        <v>Тюменская областьОктябрьское</v>
      </c>
      <c r="E415" s="1054">
        <v>257</v>
      </c>
      <c r="F415" s="1055">
        <v>-9.1</v>
      </c>
      <c r="G415" s="1055">
        <v>-41</v>
      </c>
      <c r="H415" s="1057">
        <v>2.8</v>
      </c>
      <c r="I415" s="1058">
        <f>E415*('Ввод исходных данных'!$D$83-F415)</f>
        <v>7478.7000000000007</v>
      </c>
      <c r="J415" s="1059" t="str">
        <f t="shared" si="69"/>
        <v>7000-8000</v>
      </c>
      <c r="K415" s="1060">
        <v>17.2</v>
      </c>
      <c r="L415" s="1060"/>
      <c r="M415" s="1061">
        <f t="shared" si="71"/>
        <v>0</v>
      </c>
      <c r="N415" s="1062">
        <f>M415*('Ввод исходных данных'!$D$83-K415)</f>
        <v>0</v>
      </c>
      <c r="O415" s="1063">
        <v>13.1</v>
      </c>
      <c r="P415" s="1063"/>
      <c r="Q415" s="1063">
        <f t="shared" si="72"/>
        <v>0</v>
      </c>
      <c r="R415" s="1063">
        <f>Q415*('Ввод исходных данных'!$D$83-O415)</f>
        <v>0</v>
      </c>
      <c r="S415" s="1064">
        <v>6.9</v>
      </c>
      <c r="T415" s="1064"/>
      <c r="U415" s="1064">
        <f t="shared" si="73"/>
        <v>22.5</v>
      </c>
      <c r="V415" s="1064">
        <f>U415*('Ввод исходных данных'!$D$83-S415)</f>
        <v>294.75</v>
      </c>
      <c r="W415" s="1065">
        <v>-1.6</v>
      </c>
      <c r="X415" s="1065"/>
      <c r="Y415" s="1065">
        <f t="shared" si="74"/>
        <v>31</v>
      </c>
      <c r="Z415" s="1065">
        <f>Y415*('Ввод исходных данных'!$D$83-W415)</f>
        <v>669.6</v>
      </c>
      <c r="AA415" s="1066">
        <v>-11.6</v>
      </c>
      <c r="AB415" s="1066"/>
      <c r="AC415" s="1066">
        <f t="shared" si="75"/>
        <v>30</v>
      </c>
      <c r="AD415" s="1066">
        <f>AC415*('Ввод исходных данных'!$D$83-AA415)</f>
        <v>948</v>
      </c>
      <c r="AE415" s="1067">
        <v>-18</v>
      </c>
      <c r="AF415" s="1067"/>
      <c r="AG415" s="1067">
        <v>31</v>
      </c>
      <c r="AH415" s="1067">
        <f>AG415*('Ввод исходных данных'!$D$83-AE415)</f>
        <v>1178</v>
      </c>
      <c r="AI415" s="1068">
        <v>-20.9</v>
      </c>
      <c r="AJ415" s="1068"/>
      <c r="AK415" s="1068">
        <v>31</v>
      </c>
      <c r="AL415" s="1068">
        <f>AK415*('Ввод исходных данных'!$D$83-AI415)</f>
        <v>1267.8999999999999</v>
      </c>
      <c r="AM415" s="1069">
        <v>-18.8</v>
      </c>
      <c r="AN415" s="1069"/>
      <c r="AO415" s="1069">
        <v>28</v>
      </c>
      <c r="AP415" s="1069">
        <f>AO415*('Ввод исходных данных'!$D$83-AM415)</f>
        <v>1086.3999999999999</v>
      </c>
      <c r="AQ415" s="1064">
        <v>-8.9</v>
      </c>
      <c r="AR415" s="1064"/>
      <c r="AS415" s="1064">
        <f t="shared" si="76"/>
        <v>31</v>
      </c>
      <c r="AT415" s="1064">
        <f>AS415*('Ввод исходных данных'!$D$83-AQ415)</f>
        <v>895.9</v>
      </c>
      <c r="AU415" s="1070">
        <v>-2.1</v>
      </c>
      <c r="AV415" s="1070"/>
      <c r="AW415" s="1070">
        <f t="shared" si="77"/>
        <v>30</v>
      </c>
      <c r="AX415" s="1070">
        <f>AW415*('Ввод исходных данных'!$D$83-AU415)</f>
        <v>663</v>
      </c>
      <c r="AY415" s="1071">
        <v>5.5</v>
      </c>
      <c r="AZ415" s="1071"/>
      <c r="BA415" s="1071">
        <f t="shared" si="78"/>
        <v>22.5</v>
      </c>
      <c r="BB415" s="1071">
        <f>BA415*('Ввод исходных данных'!$D$83-AY415)</f>
        <v>326.25</v>
      </c>
      <c r="BC415" s="1072">
        <v>13.2</v>
      </c>
      <c r="BD415" s="1072"/>
      <c r="BE415" s="1072">
        <f t="shared" si="70"/>
        <v>0</v>
      </c>
      <c r="BF415" s="1073">
        <f>BE415*('Ввод исходных данных'!$D$83-BC415)</f>
        <v>0</v>
      </c>
    </row>
    <row r="416" spans="2:58" ht="15.75" customHeight="1" x14ac:dyDescent="0.25">
      <c r="B416" s="1076" t="s">
        <v>396</v>
      </c>
      <c r="C416" s="1076" t="s">
        <v>400</v>
      </c>
      <c r="D416" s="1053" t="str">
        <f t="shared" si="79"/>
        <v>Тюменская областьСосьва</v>
      </c>
      <c r="E416" s="1054">
        <v>261</v>
      </c>
      <c r="F416" s="1055">
        <v>-9.5</v>
      </c>
      <c r="G416" s="1055">
        <v>-44</v>
      </c>
      <c r="H416" s="1057">
        <f>H415</f>
        <v>2.8</v>
      </c>
      <c r="I416" s="1058">
        <f>E416*('Ввод исходных данных'!$D$83-F416)</f>
        <v>7699.5</v>
      </c>
      <c r="J416" s="1059" t="str">
        <f t="shared" si="69"/>
        <v>7000-8000</v>
      </c>
      <c r="K416" s="1060">
        <v>16.100000000000001</v>
      </c>
      <c r="L416" s="1060"/>
      <c r="M416" s="1061">
        <f t="shared" si="71"/>
        <v>0</v>
      </c>
      <c r="N416" s="1062">
        <f>M416*('Ввод исходных данных'!$D$83-K416)</f>
        <v>0</v>
      </c>
      <c r="O416" s="1063">
        <v>12.8</v>
      </c>
      <c r="P416" s="1063"/>
      <c r="Q416" s="1063">
        <f t="shared" si="72"/>
        <v>0</v>
      </c>
      <c r="R416" s="1063">
        <f>Q416*('Ввод исходных данных'!$D$83-O416)</f>
        <v>0</v>
      </c>
      <c r="S416" s="1064">
        <v>6.6</v>
      </c>
      <c r="T416" s="1064"/>
      <c r="U416" s="1064">
        <f t="shared" si="73"/>
        <v>24.5</v>
      </c>
      <c r="V416" s="1064">
        <f>U416*('Ввод исходных данных'!$D$83-S416)</f>
        <v>328.3</v>
      </c>
      <c r="W416" s="1065">
        <v>-2.5</v>
      </c>
      <c r="X416" s="1065"/>
      <c r="Y416" s="1065">
        <f t="shared" si="74"/>
        <v>31</v>
      </c>
      <c r="Z416" s="1065">
        <f>Y416*('Ввод исходных данных'!$D$83-W416)</f>
        <v>697.5</v>
      </c>
      <c r="AA416" s="1066">
        <v>-12.8</v>
      </c>
      <c r="AB416" s="1066"/>
      <c r="AC416" s="1066">
        <f t="shared" si="75"/>
        <v>30</v>
      </c>
      <c r="AD416" s="1066">
        <f>AC416*('Ввод исходных данных'!$D$83-AA416)</f>
        <v>983.99999999999989</v>
      </c>
      <c r="AE416" s="1067">
        <v>-20.2</v>
      </c>
      <c r="AF416" s="1067"/>
      <c r="AG416" s="1067">
        <v>31</v>
      </c>
      <c r="AH416" s="1067">
        <f>AG416*('Ввод исходных данных'!$D$83-AE416)</f>
        <v>1246.2</v>
      </c>
      <c r="AI416" s="1068">
        <v>-22.7</v>
      </c>
      <c r="AJ416" s="1068"/>
      <c r="AK416" s="1068">
        <v>31</v>
      </c>
      <c r="AL416" s="1068">
        <f>AK416*('Ввод исходных данных'!$D$83-AI416)</f>
        <v>1323.7</v>
      </c>
      <c r="AM416" s="1069">
        <v>-20.399999999999999</v>
      </c>
      <c r="AN416" s="1069"/>
      <c r="AO416" s="1069">
        <v>28</v>
      </c>
      <c r="AP416" s="1069">
        <f>AO416*('Ввод исходных данных'!$D$83-AM416)</f>
        <v>1131.2</v>
      </c>
      <c r="AQ416" s="1064">
        <v>-12</v>
      </c>
      <c r="AR416" s="1064"/>
      <c r="AS416" s="1064">
        <f t="shared" si="76"/>
        <v>31</v>
      </c>
      <c r="AT416" s="1064">
        <f>AS416*('Ввод исходных данных'!$D$83-AQ416)</f>
        <v>992</v>
      </c>
      <c r="AU416" s="1070">
        <v>-1.8</v>
      </c>
      <c r="AV416" s="1070"/>
      <c r="AW416" s="1070">
        <f t="shared" si="77"/>
        <v>30</v>
      </c>
      <c r="AX416" s="1070">
        <f>AW416*('Ввод исходных данных'!$D$83-AU416)</f>
        <v>654</v>
      </c>
      <c r="AY416" s="1071">
        <v>5.2</v>
      </c>
      <c r="AZ416" s="1071"/>
      <c r="BA416" s="1071">
        <f t="shared" si="78"/>
        <v>24.5</v>
      </c>
      <c r="BB416" s="1071">
        <f>BA416*('Ввод исходных данных'!$D$83-AY416)</f>
        <v>362.6</v>
      </c>
      <c r="BC416" s="1072">
        <v>12.3</v>
      </c>
      <c r="BD416" s="1072"/>
      <c r="BE416" s="1072">
        <f t="shared" si="70"/>
        <v>0</v>
      </c>
      <c r="BF416" s="1073">
        <f>BE416*('Ввод исходных данных'!$D$83-BC416)</f>
        <v>0</v>
      </c>
    </row>
    <row r="417" spans="2:58" ht="15.75" customHeight="1" x14ac:dyDescent="0.25">
      <c r="B417" s="1052" t="s">
        <v>396</v>
      </c>
      <c r="C417" s="1052" t="s">
        <v>1598</v>
      </c>
      <c r="D417" s="1053" t="str">
        <f t="shared" si="79"/>
        <v>Тюменская областьТобольск</v>
      </c>
      <c r="E417" s="1054">
        <v>232</v>
      </c>
      <c r="F417" s="1055">
        <v>-7.9</v>
      </c>
      <c r="G417" s="1055">
        <v>-39</v>
      </c>
      <c r="H417" s="1057">
        <v>4.2</v>
      </c>
      <c r="I417" s="1058">
        <f>E417*('Ввод исходных данных'!$D$83-F417)</f>
        <v>6472.7999999999993</v>
      </c>
      <c r="J417" s="1059" t="str">
        <f t="shared" si="69"/>
        <v>6000-7000</v>
      </c>
      <c r="K417" s="1060">
        <v>18.5</v>
      </c>
      <c r="L417" s="1060"/>
      <c r="M417" s="1061">
        <f t="shared" si="71"/>
        <v>0</v>
      </c>
      <c r="N417" s="1062">
        <f>M417*('Ввод исходных данных'!$D$83-K417)</f>
        <v>0</v>
      </c>
      <c r="O417" s="1063">
        <v>15</v>
      </c>
      <c r="P417" s="1063"/>
      <c r="Q417" s="1063">
        <f t="shared" si="72"/>
        <v>0</v>
      </c>
      <c r="R417" s="1063">
        <f>Q417*('Ввод исходных данных'!$D$83-O417)</f>
        <v>0</v>
      </c>
      <c r="S417" s="1064">
        <v>9</v>
      </c>
      <c r="T417" s="1064"/>
      <c r="U417" s="1064">
        <f t="shared" si="73"/>
        <v>10</v>
      </c>
      <c r="V417" s="1064">
        <f>U417*('Ввод исходных данных'!$D$83-S417)</f>
        <v>110</v>
      </c>
      <c r="W417" s="1065">
        <v>1.5</v>
      </c>
      <c r="X417" s="1065"/>
      <c r="Y417" s="1065">
        <f t="shared" si="74"/>
        <v>31</v>
      </c>
      <c r="Z417" s="1065">
        <f>Y417*('Ввод исходных данных'!$D$83-W417)</f>
        <v>573.5</v>
      </c>
      <c r="AA417" s="1066">
        <v>-8.1</v>
      </c>
      <c r="AB417" s="1066"/>
      <c r="AC417" s="1066">
        <f t="shared" si="75"/>
        <v>30</v>
      </c>
      <c r="AD417" s="1066">
        <f>AC417*('Ввод исходных данных'!$D$83-AA417)</f>
        <v>843</v>
      </c>
      <c r="AE417" s="1067">
        <v>-15.3</v>
      </c>
      <c r="AF417" s="1067"/>
      <c r="AG417" s="1067">
        <v>31</v>
      </c>
      <c r="AH417" s="1067">
        <f>AG417*('Ввод исходных данных'!$D$83-AE417)</f>
        <v>1094.3</v>
      </c>
      <c r="AI417" s="1068">
        <v>-18.399999999999999</v>
      </c>
      <c r="AJ417" s="1068"/>
      <c r="AK417" s="1068">
        <v>31</v>
      </c>
      <c r="AL417" s="1068">
        <f>AK417*('Ввод исходных данных'!$D$83-AI417)</f>
        <v>1190.3999999999999</v>
      </c>
      <c r="AM417" s="1069">
        <v>-16.7</v>
      </c>
      <c r="AN417" s="1069"/>
      <c r="AO417" s="1069">
        <v>28</v>
      </c>
      <c r="AP417" s="1069">
        <f>AO417*('Ввод исходных данных'!$D$83-AM417)</f>
        <v>1027.6000000000001</v>
      </c>
      <c r="AQ417" s="1064">
        <v>-7.4</v>
      </c>
      <c r="AR417" s="1064"/>
      <c r="AS417" s="1064">
        <f t="shared" si="76"/>
        <v>31</v>
      </c>
      <c r="AT417" s="1064">
        <f>AS417*('Ввод исходных данных'!$D$83-AQ417)</f>
        <v>849.4</v>
      </c>
      <c r="AU417" s="1070">
        <v>1.9</v>
      </c>
      <c r="AV417" s="1070"/>
      <c r="AW417" s="1070">
        <f t="shared" si="77"/>
        <v>30</v>
      </c>
      <c r="AX417" s="1070">
        <f>AW417*('Ввод исходных данных'!$D$83-AU417)</f>
        <v>543</v>
      </c>
      <c r="AY417" s="1071">
        <v>9.9</v>
      </c>
      <c r="AZ417" s="1071"/>
      <c r="BA417" s="1071">
        <f t="shared" si="78"/>
        <v>10</v>
      </c>
      <c r="BB417" s="1071">
        <f>BA417*('Ввод исходных данных'!$D$83-AY417)</f>
        <v>101</v>
      </c>
      <c r="BC417" s="1072">
        <v>16.100000000000001</v>
      </c>
      <c r="BD417" s="1072"/>
      <c r="BE417" s="1072">
        <f t="shared" si="70"/>
        <v>0</v>
      </c>
      <c r="BF417" s="1073">
        <f>BE417*('Ввод исходных данных'!$D$83-BC417)</f>
        <v>0</v>
      </c>
    </row>
    <row r="418" spans="2:58" ht="15.75" customHeight="1" x14ac:dyDescent="0.25">
      <c r="B418" s="1076" t="s">
        <v>396</v>
      </c>
      <c r="C418" s="1076" t="s">
        <v>401</v>
      </c>
      <c r="D418" s="1053" t="str">
        <f t="shared" si="79"/>
        <v>Тюменская областьТюмень</v>
      </c>
      <c r="E418" s="1054">
        <v>223</v>
      </c>
      <c r="F418" s="1055">
        <v>-6.9</v>
      </c>
      <c r="G418" s="1055">
        <v>-35</v>
      </c>
      <c r="H418" s="1057">
        <v>3</v>
      </c>
      <c r="I418" s="1058">
        <f>E418*('Ввод исходных данных'!$D$83-F418)</f>
        <v>5998.7</v>
      </c>
      <c r="J418" s="1059" t="str">
        <f t="shared" si="69"/>
        <v>5000-6000</v>
      </c>
      <c r="K418" s="1060">
        <v>18.600000000000001</v>
      </c>
      <c r="L418" s="1060"/>
      <c r="M418" s="1061">
        <f t="shared" si="71"/>
        <v>0</v>
      </c>
      <c r="N418" s="1062">
        <f>M418*('Ввод исходных данных'!$D$83-K418)</f>
        <v>0</v>
      </c>
      <c r="O418" s="1063">
        <v>15.4</v>
      </c>
      <c r="P418" s="1063"/>
      <c r="Q418" s="1063">
        <f t="shared" si="72"/>
        <v>0</v>
      </c>
      <c r="R418" s="1063">
        <f>Q418*('Ввод исходных данных'!$D$83-O418)</f>
        <v>0</v>
      </c>
      <c r="S418" s="1064">
        <v>9.6</v>
      </c>
      <c r="T418" s="1064"/>
      <c r="U418" s="1064">
        <f t="shared" si="73"/>
        <v>5.5</v>
      </c>
      <c r="V418" s="1064">
        <f>U418*('Ввод исходных данных'!$D$83-S418)</f>
        <v>57.2</v>
      </c>
      <c r="W418" s="1065">
        <v>2.2000000000000002</v>
      </c>
      <c r="X418" s="1065"/>
      <c r="Y418" s="1065">
        <f t="shared" si="74"/>
        <v>31</v>
      </c>
      <c r="Z418" s="1065">
        <f>Y418*('Ввод исходных данных'!$D$83-W418)</f>
        <v>551.80000000000007</v>
      </c>
      <c r="AA418" s="1066">
        <v>-6.8</v>
      </c>
      <c r="AB418" s="1066"/>
      <c r="AC418" s="1066">
        <f t="shared" si="75"/>
        <v>30</v>
      </c>
      <c r="AD418" s="1066">
        <f>AC418*('Ввод исходных данных'!$D$83-AA418)</f>
        <v>804</v>
      </c>
      <c r="AE418" s="1067">
        <v>-13.5</v>
      </c>
      <c r="AF418" s="1067"/>
      <c r="AG418" s="1067">
        <v>31</v>
      </c>
      <c r="AH418" s="1067">
        <f>AG418*('Ввод исходных данных'!$D$83-AE418)</f>
        <v>1038.5</v>
      </c>
      <c r="AI418" s="1068">
        <v>-16.2</v>
      </c>
      <c r="AJ418" s="1068"/>
      <c r="AK418" s="1068">
        <v>31</v>
      </c>
      <c r="AL418" s="1068">
        <f>AK418*('Ввод исходных данных'!$D$83-AI418)</f>
        <v>1122.2</v>
      </c>
      <c r="AM418" s="1069">
        <v>-14.3</v>
      </c>
      <c r="AN418" s="1069"/>
      <c r="AO418" s="1069">
        <v>28</v>
      </c>
      <c r="AP418" s="1069">
        <f>AO418*('Ввод исходных данных'!$D$83-AM418)</f>
        <v>960.39999999999986</v>
      </c>
      <c r="AQ418" s="1064">
        <v>-5.7</v>
      </c>
      <c r="AR418" s="1064"/>
      <c r="AS418" s="1064">
        <f t="shared" si="76"/>
        <v>31</v>
      </c>
      <c r="AT418" s="1064">
        <f>AS418*('Ввод исходных данных'!$D$83-AQ418)</f>
        <v>796.69999999999993</v>
      </c>
      <c r="AU418" s="1070">
        <v>3.7</v>
      </c>
      <c r="AV418" s="1070"/>
      <c r="AW418" s="1070">
        <f t="shared" si="77"/>
        <v>30</v>
      </c>
      <c r="AX418" s="1070">
        <f>AW418*('Ввод исходных данных'!$D$83-AU418)</f>
        <v>489</v>
      </c>
      <c r="AY418" s="1071">
        <v>11</v>
      </c>
      <c r="AZ418" s="1071"/>
      <c r="BA418" s="1071">
        <f t="shared" si="78"/>
        <v>5.5</v>
      </c>
      <c r="BB418" s="1071">
        <f>BA418*('Ввод исходных данных'!$D$83-AY418)</f>
        <v>49.5</v>
      </c>
      <c r="BC418" s="1072">
        <v>16.5</v>
      </c>
      <c r="BD418" s="1072"/>
      <c r="BE418" s="1072">
        <f t="shared" si="70"/>
        <v>0</v>
      </c>
      <c r="BF418" s="1073">
        <f>BE418*('Ввод исходных данных'!$D$83-BC418)</f>
        <v>0</v>
      </c>
    </row>
    <row r="419" spans="2:58" ht="15.75" customHeight="1" x14ac:dyDescent="0.25">
      <c r="B419" s="1052" t="s">
        <v>396</v>
      </c>
      <c r="C419" s="1052" t="s">
        <v>402</v>
      </c>
      <c r="D419" s="1053" t="str">
        <f t="shared" si="79"/>
        <v>Тюменская областьУгут</v>
      </c>
      <c r="E419" s="1054">
        <v>251</v>
      </c>
      <c r="F419" s="1055">
        <v>-9.1</v>
      </c>
      <c r="G419" s="1055">
        <v>-42</v>
      </c>
      <c r="H419" s="1057">
        <v>4.4000000000000004</v>
      </c>
      <c r="I419" s="1058">
        <f>E419*('Ввод исходных данных'!$D$83-F419)</f>
        <v>7304.1</v>
      </c>
      <c r="J419" s="1059" t="str">
        <f t="shared" si="69"/>
        <v>7000-8000</v>
      </c>
      <c r="K419" s="1060">
        <v>17.399999999999999</v>
      </c>
      <c r="L419" s="1060"/>
      <c r="M419" s="1061">
        <f t="shared" si="71"/>
        <v>0</v>
      </c>
      <c r="N419" s="1062">
        <f>M419*('Ввод исходных данных'!$D$83-K419)</f>
        <v>0</v>
      </c>
      <c r="O419" s="1063">
        <v>13.6</v>
      </c>
      <c r="P419" s="1063"/>
      <c r="Q419" s="1063">
        <f t="shared" si="72"/>
        <v>0</v>
      </c>
      <c r="R419" s="1063">
        <f>Q419*('Ввод исходных данных'!$D$83-O419)</f>
        <v>0</v>
      </c>
      <c r="S419" s="1064">
        <v>7.9</v>
      </c>
      <c r="T419" s="1064"/>
      <c r="U419" s="1064">
        <f t="shared" si="73"/>
        <v>19.5</v>
      </c>
      <c r="V419" s="1064">
        <f>U419*('Ввод исходных данных'!$D$83-S419)</f>
        <v>235.95</v>
      </c>
      <c r="W419" s="1065">
        <v>-1.4</v>
      </c>
      <c r="X419" s="1065"/>
      <c r="Y419" s="1065">
        <f t="shared" si="74"/>
        <v>31</v>
      </c>
      <c r="Z419" s="1065">
        <f>Y419*('Ввод исходных данных'!$D$83-W419)</f>
        <v>663.4</v>
      </c>
      <c r="AA419" s="1066">
        <v>-12.6</v>
      </c>
      <c r="AB419" s="1066"/>
      <c r="AC419" s="1066">
        <f t="shared" si="75"/>
        <v>30</v>
      </c>
      <c r="AD419" s="1066">
        <f>AC419*('Ввод исходных данных'!$D$83-AA419)</f>
        <v>978</v>
      </c>
      <c r="AE419" s="1067">
        <v>-18.8</v>
      </c>
      <c r="AF419" s="1067"/>
      <c r="AG419" s="1067">
        <v>31</v>
      </c>
      <c r="AH419" s="1067">
        <f>AG419*('Ввод исходных данных'!$D$83-AE419)</f>
        <v>1202.8</v>
      </c>
      <c r="AI419" s="1068">
        <v>-21</v>
      </c>
      <c r="AJ419" s="1068"/>
      <c r="AK419" s="1068">
        <v>31</v>
      </c>
      <c r="AL419" s="1068">
        <f>AK419*('Ввод исходных данных'!$D$83-AI419)</f>
        <v>1271</v>
      </c>
      <c r="AM419" s="1069">
        <v>-19.399999999999999</v>
      </c>
      <c r="AN419" s="1069"/>
      <c r="AO419" s="1069">
        <v>28</v>
      </c>
      <c r="AP419" s="1069">
        <f>AO419*('Ввод исходных данных'!$D$83-AM419)</f>
        <v>1103.2</v>
      </c>
      <c r="AQ419" s="1064">
        <v>-10.9</v>
      </c>
      <c r="AR419" s="1064"/>
      <c r="AS419" s="1064">
        <f t="shared" si="76"/>
        <v>31</v>
      </c>
      <c r="AT419" s="1064">
        <f>AS419*('Ввод исходных данных'!$D$83-AQ419)</f>
        <v>957.9</v>
      </c>
      <c r="AU419" s="1070">
        <v>-1.1000000000000001</v>
      </c>
      <c r="AV419" s="1070"/>
      <c r="AW419" s="1070">
        <f t="shared" si="77"/>
        <v>30</v>
      </c>
      <c r="AX419" s="1070">
        <f>AW419*('Ввод исходных данных'!$D$83-AU419)</f>
        <v>633</v>
      </c>
      <c r="AY419" s="1071">
        <v>6</v>
      </c>
      <c r="AZ419" s="1071"/>
      <c r="BA419" s="1071">
        <f t="shared" si="78"/>
        <v>19.5</v>
      </c>
      <c r="BB419" s="1071">
        <f>BA419*('Ввод исходных данных'!$D$83-AY419)</f>
        <v>273</v>
      </c>
      <c r="BC419" s="1072">
        <v>13.4</v>
      </c>
      <c r="BD419" s="1072"/>
      <c r="BE419" s="1072">
        <f t="shared" si="70"/>
        <v>0</v>
      </c>
      <c r="BF419" s="1073">
        <f>BE419*('Ввод исходных данных'!$D$83-BC419)</f>
        <v>0</v>
      </c>
    </row>
    <row r="420" spans="2:58" ht="15.75" customHeight="1" x14ac:dyDescent="0.25">
      <c r="B420" s="1076" t="s">
        <v>625</v>
      </c>
      <c r="C420" s="1076" t="s">
        <v>403</v>
      </c>
      <c r="D420" s="1053" t="str">
        <f t="shared" si="79"/>
        <v>Удмуртская РеспубликаГлазов</v>
      </c>
      <c r="E420" s="1054">
        <v>231</v>
      </c>
      <c r="F420" s="1055">
        <v>-6</v>
      </c>
      <c r="G420" s="1055">
        <v>-35</v>
      </c>
      <c r="H420" s="1057">
        <v>4.9000000000000004</v>
      </c>
      <c r="I420" s="1058">
        <f>E420*('Ввод исходных данных'!$D$83-F420)</f>
        <v>6006</v>
      </c>
      <c r="J420" s="1059" t="str">
        <f t="shared" si="69"/>
        <v>6000-7000</v>
      </c>
      <c r="K420" s="1060">
        <v>17.8</v>
      </c>
      <c r="L420" s="1060"/>
      <c r="M420" s="1061">
        <f t="shared" si="71"/>
        <v>0</v>
      </c>
      <c r="N420" s="1062">
        <f>M420*('Ввод исходных данных'!$D$83-K420)</f>
        <v>0</v>
      </c>
      <c r="O420" s="1063">
        <v>15.4</v>
      </c>
      <c r="P420" s="1063"/>
      <c r="Q420" s="1063">
        <f t="shared" si="72"/>
        <v>0</v>
      </c>
      <c r="R420" s="1063">
        <f>Q420*('Ввод исходных данных'!$D$83-O420)</f>
        <v>0</v>
      </c>
      <c r="S420" s="1064">
        <v>9.1</v>
      </c>
      <c r="T420" s="1064"/>
      <c r="U420" s="1064">
        <f t="shared" si="73"/>
        <v>9.5</v>
      </c>
      <c r="V420" s="1064">
        <f>U420*('Ввод исходных данных'!$D$83-S420)</f>
        <v>103.55</v>
      </c>
      <c r="W420" s="1065">
        <v>1.8</v>
      </c>
      <c r="X420" s="1065"/>
      <c r="Y420" s="1065">
        <f t="shared" si="74"/>
        <v>31</v>
      </c>
      <c r="Z420" s="1065">
        <f>Y420*('Ввод исходных данных'!$D$83-W420)</f>
        <v>564.19999999999993</v>
      </c>
      <c r="AA420" s="1066">
        <v>-6.2</v>
      </c>
      <c r="AB420" s="1066"/>
      <c r="AC420" s="1066">
        <f t="shared" si="75"/>
        <v>30</v>
      </c>
      <c r="AD420" s="1066">
        <f>AC420*('Ввод исходных данных'!$D$83-AA420)</f>
        <v>786</v>
      </c>
      <c r="AE420" s="1067">
        <v>-12.6</v>
      </c>
      <c r="AF420" s="1067"/>
      <c r="AG420" s="1067">
        <v>31</v>
      </c>
      <c r="AH420" s="1067">
        <f>AG420*('Ввод исходных данных'!$D$83-AE420)</f>
        <v>1010.6</v>
      </c>
      <c r="AI420" s="1068">
        <v>-14.9</v>
      </c>
      <c r="AJ420" s="1068"/>
      <c r="AK420" s="1068">
        <v>31</v>
      </c>
      <c r="AL420" s="1068">
        <f>AK420*('Ввод исходных данных'!$D$83-AI420)</f>
        <v>1081.8999999999999</v>
      </c>
      <c r="AM420" s="1069">
        <v>-14</v>
      </c>
      <c r="AN420" s="1069"/>
      <c r="AO420" s="1069">
        <v>28</v>
      </c>
      <c r="AP420" s="1069">
        <f>AO420*('Ввод исходных данных'!$D$83-AM420)</f>
        <v>952</v>
      </c>
      <c r="AQ420" s="1064">
        <v>-8</v>
      </c>
      <c r="AR420" s="1064"/>
      <c r="AS420" s="1064">
        <f t="shared" si="76"/>
        <v>31</v>
      </c>
      <c r="AT420" s="1064">
        <f>AS420*('Ввод исходных данных'!$D$83-AQ420)</f>
        <v>868</v>
      </c>
      <c r="AU420" s="1070">
        <v>2</v>
      </c>
      <c r="AV420" s="1070"/>
      <c r="AW420" s="1070">
        <f t="shared" si="77"/>
        <v>30</v>
      </c>
      <c r="AX420" s="1070">
        <f>AW420*('Ввод исходных данных'!$D$83-AU420)</f>
        <v>540</v>
      </c>
      <c r="AY420" s="1071">
        <v>9.9</v>
      </c>
      <c r="AZ420" s="1071"/>
      <c r="BA420" s="1071">
        <f t="shared" si="78"/>
        <v>9.5</v>
      </c>
      <c r="BB420" s="1071">
        <f>BA420*('Ввод исходных данных'!$D$83-AY420)</f>
        <v>95.95</v>
      </c>
      <c r="BC420" s="1072">
        <v>15.8</v>
      </c>
      <c r="BD420" s="1072"/>
      <c r="BE420" s="1072">
        <f t="shared" si="70"/>
        <v>0</v>
      </c>
      <c r="BF420" s="1073">
        <f>BE420*('Ввод исходных данных'!$D$83-BC420)</f>
        <v>0</v>
      </c>
    </row>
    <row r="421" spans="2:58" ht="15.75" customHeight="1" x14ac:dyDescent="0.25">
      <c r="B421" s="1052" t="s">
        <v>625</v>
      </c>
      <c r="C421" s="1052" t="s">
        <v>404</v>
      </c>
      <c r="D421" s="1053" t="str">
        <f t="shared" si="79"/>
        <v>Удмуртская РеспубликаИжевск</v>
      </c>
      <c r="E421" s="1054">
        <v>219</v>
      </c>
      <c r="F421" s="1055">
        <v>-5.6</v>
      </c>
      <c r="G421" s="1055">
        <v>-33</v>
      </c>
      <c r="H421" s="1057">
        <v>5.5</v>
      </c>
      <c r="I421" s="1058">
        <f>E421*('Ввод исходных данных'!$D$83-F421)</f>
        <v>5606.4000000000005</v>
      </c>
      <c r="J421" s="1059" t="str">
        <f t="shared" si="69"/>
        <v>5000-6000</v>
      </c>
      <c r="K421" s="1060">
        <v>18.600000000000001</v>
      </c>
      <c r="L421" s="1060"/>
      <c r="M421" s="1061">
        <f t="shared" si="71"/>
        <v>0</v>
      </c>
      <c r="N421" s="1062">
        <f>M421*('Ввод исходных данных'!$D$83-K421)</f>
        <v>0</v>
      </c>
      <c r="O421" s="1063">
        <v>15.9</v>
      </c>
      <c r="P421" s="1063"/>
      <c r="Q421" s="1063">
        <f t="shared" si="72"/>
        <v>0</v>
      </c>
      <c r="R421" s="1063">
        <f>Q421*('Ввод исходных данных'!$D$83-O421)</f>
        <v>0</v>
      </c>
      <c r="S421" s="1064">
        <v>10.1</v>
      </c>
      <c r="T421" s="1064"/>
      <c r="U421" s="1064">
        <f t="shared" si="73"/>
        <v>3.5</v>
      </c>
      <c r="V421" s="1064">
        <f>U421*('Ввод исходных данных'!$D$83-S421)</f>
        <v>34.65</v>
      </c>
      <c r="W421" s="1065">
        <v>2.7</v>
      </c>
      <c r="X421" s="1065"/>
      <c r="Y421" s="1065">
        <f t="shared" si="74"/>
        <v>31</v>
      </c>
      <c r="Z421" s="1065">
        <f>Y421*('Ввод исходных данных'!$D$83-W421)</f>
        <v>536.30000000000007</v>
      </c>
      <c r="AA421" s="1066">
        <v>-4.9000000000000004</v>
      </c>
      <c r="AB421" s="1066"/>
      <c r="AC421" s="1066">
        <f t="shared" si="75"/>
        <v>30</v>
      </c>
      <c r="AD421" s="1066">
        <f>AC421*('Ввод исходных данных'!$D$83-AA421)</f>
        <v>747</v>
      </c>
      <c r="AE421" s="1067">
        <v>-10.9</v>
      </c>
      <c r="AF421" s="1067"/>
      <c r="AG421" s="1067">
        <v>31</v>
      </c>
      <c r="AH421" s="1067">
        <f>AG421*('Ввод исходных данных'!$D$83-AE421)</f>
        <v>957.9</v>
      </c>
      <c r="AI421" s="1068">
        <v>-13.4</v>
      </c>
      <c r="AJ421" s="1068"/>
      <c r="AK421" s="1068">
        <v>31</v>
      </c>
      <c r="AL421" s="1068">
        <f>AK421*('Ввод исходных данных'!$D$83-AI421)</f>
        <v>1035.3999999999999</v>
      </c>
      <c r="AM421" s="1069">
        <v>-12.3</v>
      </c>
      <c r="AN421" s="1069"/>
      <c r="AO421" s="1069">
        <v>28</v>
      </c>
      <c r="AP421" s="1069">
        <f>AO421*('Ввод исходных данных'!$D$83-AM421)</f>
        <v>904.39999999999986</v>
      </c>
      <c r="AQ421" s="1064">
        <v>-5.0999999999999996</v>
      </c>
      <c r="AR421" s="1064"/>
      <c r="AS421" s="1064">
        <f t="shared" si="76"/>
        <v>31</v>
      </c>
      <c r="AT421" s="1064">
        <f>AS421*('Ввод исходных данных'!$D$83-AQ421)</f>
        <v>778.1</v>
      </c>
      <c r="AU421" s="1070">
        <v>3.8</v>
      </c>
      <c r="AV421" s="1070"/>
      <c r="AW421" s="1070">
        <f t="shared" si="77"/>
        <v>30</v>
      </c>
      <c r="AX421" s="1070">
        <f>AW421*('Ввод исходных данных'!$D$83-AU421)</f>
        <v>486</v>
      </c>
      <c r="AY421" s="1071">
        <v>11.7</v>
      </c>
      <c r="AZ421" s="1071"/>
      <c r="BA421" s="1071">
        <f t="shared" si="78"/>
        <v>3.5</v>
      </c>
      <c r="BB421" s="1071">
        <f>BA421*('Ввод исходных данных'!$D$83-AY421)</f>
        <v>29.050000000000004</v>
      </c>
      <c r="BC421" s="1072">
        <v>16.5</v>
      </c>
      <c r="BD421" s="1072"/>
      <c r="BE421" s="1072">
        <f t="shared" si="70"/>
        <v>0</v>
      </c>
      <c r="BF421" s="1073">
        <f>BE421*('Ввод исходных данных'!$D$83-BC421)</f>
        <v>0</v>
      </c>
    </row>
    <row r="422" spans="2:58" ht="15.75" customHeight="1" x14ac:dyDescent="0.25">
      <c r="B422" s="1076" t="s">
        <v>625</v>
      </c>
      <c r="C422" s="1076" t="s">
        <v>405</v>
      </c>
      <c r="D422" s="1053" t="str">
        <f t="shared" si="79"/>
        <v>Удмуртская РеспубликаСарапул</v>
      </c>
      <c r="E422" s="1054">
        <v>215</v>
      </c>
      <c r="F422" s="1055">
        <v>-5.6</v>
      </c>
      <c r="G422" s="1055">
        <v>-33</v>
      </c>
      <c r="H422" s="1057">
        <v>3.6</v>
      </c>
      <c r="I422" s="1058">
        <f>E422*('Ввод исходных данных'!$D$83-F422)</f>
        <v>5504</v>
      </c>
      <c r="J422" s="1059" t="str">
        <f t="shared" si="69"/>
        <v>5000-6000</v>
      </c>
      <c r="K422" s="1060">
        <v>19.100000000000001</v>
      </c>
      <c r="L422" s="1060"/>
      <c r="M422" s="1061">
        <f t="shared" si="71"/>
        <v>0</v>
      </c>
      <c r="N422" s="1062">
        <f>M422*('Ввод исходных данных'!$D$83-K422)</f>
        <v>0</v>
      </c>
      <c r="O422" s="1063">
        <v>16.399999999999999</v>
      </c>
      <c r="P422" s="1063"/>
      <c r="Q422" s="1063">
        <f t="shared" si="72"/>
        <v>0</v>
      </c>
      <c r="R422" s="1063">
        <f>Q422*('Ввод исходных данных'!$D$83-O422)</f>
        <v>0</v>
      </c>
      <c r="S422" s="1064">
        <v>10.6</v>
      </c>
      <c r="T422" s="1064"/>
      <c r="U422" s="1064">
        <f t="shared" si="73"/>
        <v>1.5</v>
      </c>
      <c r="V422" s="1064">
        <f>U422*('Ввод исходных данных'!$D$83-S422)</f>
        <v>14.100000000000001</v>
      </c>
      <c r="W422" s="1065">
        <v>3.1</v>
      </c>
      <c r="X422" s="1065"/>
      <c r="Y422" s="1065">
        <f t="shared" si="74"/>
        <v>31</v>
      </c>
      <c r="Z422" s="1065">
        <f>Y422*('Ввод исходных данных'!$D$83-W422)</f>
        <v>523.9</v>
      </c>
      <c r="AA422" s="1066">
        <v>-4.5999999999999996</v>
      </c>
      <c r="AB422" s="1066"/>
      <c r="AC422" s="1066">
        <f t="shared" si="75"/>
        <v>30</v>
      </c>
      <c r="AD422" s="1066">
        <f>AC422*('Ввод исходных данных'!$D$83-AA422)</f>
        <v>738</v>
      </c>
      <c r="AE422" s="1067">
        <v>-10.6</v>
      </c>
      <c r="AF422" s="1067"/>
      <c r="AG422" s="1067">
        <v>31</v>
      </c>
      <c r="AH422" s="1067">
        <f>AG422*('Ввод исходных данных'!$D$83-AE422)</f>
        <v>948.6</v>
      </c>
      <c r="AI422" s="1068">
        <v>-13.2</v>
      </c>
      <c r="AJ422" s="1068"/>
      <c r="AK422" s="1068">
        <v>31</v>
      </c>
      <c r="AL422" s="1068">
        <f>AK422*('Ввод исходных данных'!$D$83-AI422)</f>
        <v>1029.2</v>
      </c>
      <c r="AM422" s="1069">
        <v>-12.1</v>
      </c>
      <c r="AN422" s="1069"/>
      <c r="AO422" s="1069">
        <v>28</v>
      </c>
      <c r="AP422" s="1069">
        <f>AO422*('Ввод исходных данных'!$D$83-AM422)</f>
        <v>898.80000000000007</v>
      </c>
      <c r="AQ422" s="1064">
        <v>-5</v>
      </c>
      <c r="AR422" s="1064"/>
      <c r="AS422" s="1064">
        <f t="shared" si="76"/>
        <v>31</v>
      </c>
      <c r="AT422" s="1064">
        <f>AS422*('Ввод исходных данных'!$D$83-AQ422)</f>
        <v>775</v>
      </c>
      <c r="AU422" s="1070">
        <v>4.2</v>
      </c>
      <c r="AV422" s="1070"/>
      <c r="AW422" s="1070">
        <f t="shared" si="77"/>
        <v>30</v>
      </c>
      <c r="AX422" s="1070">
        <f>AW422*('Ввод исходных данных'!$D$83-AU422)</f>
        <v>474</v>
      </c>
      <c r="AY422" s="1071">
        <v>12.2</v>
      </c>
      <c r="AZ422" s="1071"/>
      <c r="BA422" s="1071">
        <f t="shared" si="78"/>
        <v>1.5</v>
      </c>
      <c r="BB422" s="1071">
        <f>BA422*('Ввод исходных данных'!$D$83-AY422)</f>
        <v>11.700000000000001</v>
      </c>
      <c r="BC422" s="1072">
        <v>17</v>
      </c>
      <c r="BD422" s="1072"/>
      <c r="BE422" s="1072">
        <f t="shared" si="70"/>
        <v>0</v>
      </c>
      <c r="BF422" s="1073">
        <f>BE422*('Ввод исходных данных'!$D$83-BC422)</f>
        <v>0</v>
      </c>
    </row>
    <row r="423" spans="2:58" ht="15.75" customHeight="1" x14ac:dyDescent="0.25">
      <c r="B423" s="1052" t="s">
        <v>406</v>
      </c>
      <c r="C423" s="1052" t="s">
        <v>407</v>
      </c>
      <c r="D423" s="1053" t="str">
        <f t="shared" si="79"/>
        <v>Ульяновская областьСурское</v>
      </c>
      <c r="E423" s="1054">
        <v>211</v>
      </c>
      <c r="F423" s="1055">
        <v>-4.8</v>
      </c>
      <c r="G423" s="1055">
        <v>-31</v>
      </c>
      <c r="H423" s="1057">
        <f>H369</f>
        <v>5.4</v>
      </c>
      <c r="I423" s="1058">
        <f>E423*('Ввод исходных данных'!$D$83-F423)</f>
        <v>5232.8</v>
      </c>
      <c r="J423" s="1059" t="str">
        <f t="shared" si="69"/>
        <v>5000-6000</v>
      </c>
      <c r="K423" s="1060">
        <v>18.7</v>
      </c>
      <c r="L423" s="1060"/>
      <c r="M423" s="1061">
        <f t="shared" si="71"/>
        <v>0</v>
      </c>
      <c r="N423" s="1062">
        <f>M423*('Ввод исходных данных'!$D$83-K423)</f>
        <v>0</v>
      </c>
      <c r="O423" s="1063">
        <v>17.2</v>
      </c>
      <c r="P423" s="1063"/>
      <c r="Q423" s="1063">
        <f t="shared" si="72"/>
        <v>0</v>
      </c>
      <c r="R423" s="1063">
        <f>Q423*('Ввод исходных данных'!$D$83-O423)</f>
        <v>0</v>
      </c>
      <c r="S423" s="1064">
        <v>11.3</v>
      </c>
      <c r="T423" s="1064"/>
      <c r="U423" s="1064">
        <f t="shared" si="73"/>
        <v>0</v>
      </c>
      <c r="V423" s="1064">
        <f>U423*('Ввод исходных данных'!$D$83-S423)</f>
        <v>0</v>
      </c>
      <c r="W423" s="1065">
        <v>3.6</v>
      </c>
      <c r="X423" s="1065"/>
      <c r="Y423" s="1065">
        <f t="shared" si="74"/>
        <v>30</v>
      </c>
      <c r="Z423" s="1065">
        <f>Y423*('Ввод исходных данных'!$D$83-W423)</f>
        <v>491.99999999999994</v>
      </c>
      <c r="AA423" s="1066">
        <v>-3.1</v>
      </c>
      <c r="AB423" s="1066"/>
      <c r="AC423" s="1066">
        <f t="shared" si="75"/>
        <v>30</v>
      </c>
      <c r="AD423" s="1066">
        <f>AC423*('Ввод исходных данных'!$D$83-AA423)</f>
        <v>693</v>
      </c>
      <c r="AE423" s="1067">
        <v>-8.9</v>
      </c>
      <c r="AF423" s="1067"/>
      <c r="AG423" s="1067">
        <v>31</v>
      </c>
      <c r="AH423" s="1067">
        <f>AG423*('Ввод исходных данных'!$D$83-AE423)</f>
        <v>895.9</v>
      </c>
      <c r="AI423" s="1068">
        <v>-13.2</v>
      </c>
      <c r="AJ423" s="1068"/>
      <c r="AK423" s="1068">
        <v>31</v>
      </c>
      <c r="AL423" s="1068">
        <f>AK423*('Ввод исходных данных'!$D$83-AI423)</f>
        <v>1029.2</v>
      </c>
      <c r="AM423" s="1069">
        <v>-12.5</v>
      </c>
      <c r="AN423" s="1069"/>
      <c r="AO423" s="1069">
        <v>28</v>
      </c>
      <c r="AP423" s="1069">
        <f>AO423*('Ввод исходных данных'!$D$83-AM423)</f>
        <v>910</v>
      </c>
      <c r="AQ423" s="1064">
        <v>-6.1</v>
      </c>
      <c r="AR423" s="1064"/>
      <c r="AS423" s="1064">
        <f t="shared" si="76"/>
        <v>31</v>
      </c>
      <c r="AT423" s="1064">
        <f>AS423*('Ввод исходных данных'!$D$83-AQ423)</f>
        <v>809.1</v>
      </c>
      <c r="AU423" s="1070">
        <v>4.8</v>
      </c>
      <c r="AV423" s="1070"/>
      <c r="AW423" s="1070">
        <f t="shared" si="77"/>
        <v>30</v>
      </c>
      <c r="AX423" s="1070">
        <f>AW423*('Ввод исходных данных'!$D$83-AU423)</f>
        <v>456</v>
      </c>
      <c r="AY423" s="1071">
        <v>13</v>
      </c>
      <c r="AZ423" s="1071"/>
      <c r="BA423" s="1071">
        <f t="shared" si="78"/>
        <v>0</v>
      </c>
      <c r="BB423" s="1071">
        <f>BA423*('Ввод исходных данных'!$D$83-AY423)</f>
        <v>0</v>
      </c>
      <c r="BC423" s="1072">
        <v>17.100000000000001</v>
      </c>
      <c r="BD423" s="1072"/>
      <c r="BE423" s="1072">
        <f t="shared" si="70"/>
        <v>0</v>
      </c>
      <c r="BF423" s="1073">
        <f>BE423*('Ввод исходных данных'!$D$83-BC423)</f>
        <v>0</v>
      </c>
    </row>
    <row r="424" spans="2:58" ht="15.75" customHeight="1" x14ac:dyDescent="0.25">
      <c r="B424" s="1076" t="s">
        <v>406</v>
      </c>
      <c r="C424" s="1076" t="s">
        <v>408</v>
      </c>
      <c r="D424" s="1053" t="str">
        <f t="shared" si="79"/>
        <v>Ульяновская областьУльяновск</v>
      </c>
      <c r="E424" s="1054">
        <v>212</v>
      </c>
      <c r="F424" s="1055">
        <v>-5.4</v>
      </c>
      <c r="G424" s="1055">
        <v>-31</v>
      </c>
      <c r="H424" s="1057">
        <f>H423</f>
        <v>5.4</v>
      </c>
      <c r="I424" s="1058">
        <f>E424*('Ввод исходных данных'!$D$83-F424)</f>
        <v>5384.7999999999993</v>
      </c>
      <c r="J424" s="1059" t="str">
        <f t="shared" si="69"/>
        <v>5000-6000</v>
      </c>
      <c r="K424" s="1060">
        <v>19.600000000000001</v>
      </c>
      <c r="L424" s="1060"/>
      <c r="M424" s="1061">
        <f t="shared" si="71"/>
        <v>0.5</v>
      </c>
      <c r="N424" s="1062">
        <f>M424*('Ввод исходных данных'!$D$83-K424)</f>
        <v>0.19999999999999929</v>
      </c>
      <c r="O424" s="1063">
        <v>17.600000000000001</v>
      </c>
      <c r="P424" s="1063"/>
      <c r="Q424" s="1063">
        <f t="shared" si="72"/>
        <v>0</v>
      </c>
      <c r="R424" s="1063">
        <f>Q424*('Ввод исходных данных'!$D$83-O424)</f>
        <v>0</v>
      </c>
      <c r="S424" s="1064">
        <v>11.4</v>
      </c>
      <c r="T424" s="1064"/>
      <c r="U424" s="1064">
        <f t="shared" si="73"/>
        <v>0</v>
      </c>
      <c r="V424" s="1064">
        <f>U424*('Ввод исходных данных'!$D$83-S424)</f>
        <v>0</v>
      </c>
      <c r="W424" s="1065">
        <v>3.8</v>
      </c>
      <c r="X424" s="1065"/>
      <c r="Y424" s="1065">
        <f t="shared" si="74"/>
        <v>30.5</v>
      </c>
      <c r="Z424" s="1065">
        <f>Y424*('Ввод исходных данных'!$D$83-W424)</f>
        <v>494.09999999999997</v>
      </c>
      <c r="AA424" s="1066">
        <v>-4.0999999999999996</v>
      </c>
      <c r="AB424" s="1066"/>
      <c r="AC424" s="1066">
        <f t="shared" si="75"/>
        <v>30</v>
      </c>
      <c r="AD424" s="1066">
        <f>AC424*('Ввод исходных данных'!$D$83-AA424)</f>
        <v>723</v>
      </c>
      <c r="AE424" s="1067">
        <v>-10.4</v>
      </c>
      <c r="AF424" s="1067"/>
      <c r="AG424" s="1067">
        <v>31</v>
      </c>
      <c r="AH424" s="1067">
        <f>AG424*('Ввод исходных данных'!$D$83-AE424)</f>
        <v>942.4</v>
      </c>
      <c r="AI424" s="1068">
        <v>-13.8</v>
      </c>
      <c r="AJ424" s="1068"/>
      <c r="AK424" s="1068">
        <v>31</v>
      </c>
      <c r="AL424" s="1068">
        <f>AK424*('Ввод исходных данных'!$D$83-AI424)</f>
        <v>1047.8</v>
      </c>
      <c r="AM424" s="1069">
        <v>-13.2</v>
      </c>
      <c r="AN424" s="1069"/>
      <c r="AO424" s="1069">
        <v>28</v>
      </c>
      <c r="AP424" s="1069">
        <f>AO424*('Ввод исходных данных'!$D$83-AM424)</f>
        <v>929.60000000000014</v>
      </c>
      <c r="AQ424" s="1064">
        <v>-6.8</v>
      </c>
      <c r="AR424" s="1064"/>
      <c r="AS424" s="1064">
        <f t="shared" si="76"/>
        <v>31</v>
      </c>
      <c r="AT424" s="1064">
        <f>AS424*('Ввод исходных данных'!$D$83-AQ424)</f>
        <v>830.80000000000007</v>
      </c>
      <c r="AU424" s="1070">
        <v>4.0999999999999996</v>
      </c>
      <c r="AV424" s="1070"/>
      <c r="AW424" s="1070">
        <f t="shared" si="77"/>
        <v>30</v>
      </c>
      <c r="AX424" s="1070">
        <f>AW424*('Ввод исходных данных'!$D$83-AU424)</f>
        <v>477</v>
      </c>
      <c r="AY424" s="1071">
        <v>12.6</v>
      </c>
      <c r="AZ424" s="1071"/>
      <c r="BA424" s="1071">
        <f t="shared" si="78"/>
        <v>0</v>
      </c>
      <c r="BB424" s="1071">
        <f>BA424*('Ввод исходных данных'!$D$83-AY424)</f>
        <v>0</v>
      </c>
      <c r="BC424" s="1072">
        <v>17.600000000000001</v>
      </c>
      <c r="BD424" s="1072"/>
      <c r="BE424" s="1072">
        <f t="shared" si="70"/>
        <v>0</v>
      </c>
      <c r="BF424" s="1073">
        <f>BE424*('Ввод исходных данных'!$D$83-BC424)</f>
        <v>0</v>
      </c>
    </row>
    <row r="425" spans="2:58" ht="15.75" customHeight="1" x14ac:dyDescent="0.25">
      <c r="B425" s="1052" t="s">
        <v>121</v>
      </c>
      <c r="C425" s="1052" t="s">
        <v>122</v>
      </c>
      <c r="D425" s="1053" t="str">
        <f t="shared" si="79"/>
        <v>Хабаровский крайАян</v>
      </c>
      <c r="E425" s="1054">
        <v>278</v>
      </c>
      <c r="F425" s="1055">
        <v>-7.4</v>
      </c>
      <c r="G425" s="1055">
        <v>-28</v>
      </c>
      <c r="H425" s="1057">
        <v>4.0999999999999996</v>
      </c>
      <c r="I425" s="1058">
        <f>E425*('Ввод исходных данных'!$D$83-F425)</f>
        <v>7617.2</v>
      </c>
      <c r="J425" s="1059" t="str">
        <f t="shared" si="69"/>
        <v>7000-8000</v>
      </c>
      <c r="K425" s="1060">
        <v>11.4</v>
      </c>
      <c r="L425" s="1060"/>
      <c r="M425" s="1061">
        <f t="shared" si="71"/>
        <v>0</v>
      </c>
      <c r="N425" s="1062">
        <f>M425*('Ввод исходных данных'!$D$83-K425)</f>
        <v>0</v>
      </c>
      <c r="O425" s="1063">
        <v>13.2</v>
      </c>
      <c r="P425" s="1063"/>
      <c r="Q425" s="1063">
        <f t="shared" si="72"/>
        <v>2.5</v>
      </c>
      <c r="R425" s="1063">
        <f>Q425*('Ввод исходных данных'!$D$83-O425)</f>
        <v>17</v>
      </c>
      <c r="S425" s="1064">
        <v>9.6</v>
      </c>
      <c r="T425" s="1064"/>
      <c r="U425" s="1064">
        <f t="shared" si="73"/>
        <v>30</v>
      </c>
      <c r="V425" s="1064">
        <f>U425*('Ввод исходных данных'!$D$83-S425)</f>
        <v>312</v>
      </c>
      <c r="W425" s="1065">
        <v>0.4</v>
      </c>
      <c r="X425" s="1065"/>
      <c r="Y425" s="1065">
        <f t="shared" si="74"/>
        <v>31</v>
      </c>
      <c r="Z425" s="1065">
        <f>Y425*('Ввод исходных данных'!$D$83-W425)</f>
        <v>607.6</v>
      </c>
      <c r="AA425" s="1066">
        <v>-11</v>
      </c>
      <c r="AB425" s="1066"/>
      <c r="AC425" s="1066">
        <f t="shared" si="75"/>
        <v>30</v>
      </c>
      <c r="AD425" s="1066">
        <f>AC425*('Ввод исходных данных'!$D$83-AA425)</f>
        <v>930</v>
      </c>
      <c r="AE425" s="1067">
        <v>-17.399999999999999</v>
      </c>
      <c r="AF425" s="1067"/>
      <c r="AG425" s="1067">
        <v>31</v>
      </c>
      <c r="AH425" s="1067">
        <f>AG425*('Ввод исходных данных'!$D$83-AE425)</f>
        <v>1159.3999999999999</v>
      </c>
      <c r="AI425" s="1068">
        <v>-19.7</v>
      </c>
      <c r="AJ425" s="1068"/>
      <c r="AK425" s="1068">
        <v>31</v>
      </c>
      <c r="AL425" s="1068">
        <f>AK425*('Ввод исходных данных'!$D$83-AI425)</f>
        <v>1230.7</v>
      </c>
      <c r="AM425" s="1069">
        <v>-17.600000000000001</v>
      </c>
      <c r="AN425" s="1069"/>
      <c r="AO425" s="1069">
        <v>28</v>
      </c>
      <c r="AP425" s="1069">
        <f>AO425*('Ввод исходных данных'!$D$83-AM425)</f>
        <v>1052.8</v>
      </c>
      <c r="AQ425" s="1064">
        <v>-11.6</v>
      </c>
      <c r="AR425" s="1064"/>
      <c r="AS425" s="1064">
        <f t="shared" si="76"/>
        <v>31</v>
      </c>
      <c r="AT425" s="1064">
        <f>AS425*('Ввод исходных данных'!$D$83-AQ425)</f>
        <v>979.6</v>
      </c>
      <c r="AU425" s="1070">
        <v>-3.8</v>
      </c>
      <c r="AV425" s="1070"/>
      <c r="AW425" s="1070">
        <f t="shared" si="77"/>
        <v>30</v>
      </c>
      <c r="AX425" s="1070">
        <f>AW425*('Ввод исходных данных'!$D$83-AU425)</f>
        <v>714</v>
      </c>
      <c r="AY425" s="1071">
        <v>0.8</v>
      </c>
      <c r="AZ425" s="1071"/>
      <c r="BA425" s="1071">
        <f t="shared" si="78"/>
        <v>31</v>
      </c>
      <c r="BB425" s="1071">
        <f>BA425*('Ввод исходных данных'!$D$83-AY425)</f>
        <v>595.19999999999993</v>
      </c>
      <c r="BC425" s="1072">
        <v>5.6</v>
      </c>
      <c r="BD425" s="1072"/>
      <c r="BE425" s="1072">
        <f t="shared" si="70"/>
        <v>2.5</v>
      </c>
      <c r="BF425" s="1073">
        <f>BE425*('Ввод исходных данных'!$D$83-BC425)</f>
        <v>36</v>
      </c>
    </row>
    <row r="426" spans="2:58" ht="15.75" customHeight="1" x14ac:dyDescent="0.25">
      <c r="B426" s="1076" t="s">
        <v>121</v>
      </c>
      <c r="C426" s="1076" t="s">
        <v>123</v>
      </c>
      <c r="D426" s="1053" t="str">
        <f t="shared" si="79"/>
        <v>Хабаровский крайБайдуков</v>
      </c>
      <c r="E426" s="1054">
        <v>255</v>
      </c>
      <c r="F426" s="1055">
        <v>-9</v>
      </c>
      <c r="G426" s="1055">
        <v>-31</v>
      </c>
      <c r="H426" s="1057">
        <f>4.1</f>
        <v>4.0999999999999996</v>
      </c>
      <c r="I426" s="1058">
        <f>E426*('Ввод исходных данных'!$D$83-F426)</f>
        <v>7395</v>
      </c>
      <c r="J426" s="1059" t="str">
        <f t="shared" si="69"/>
        <v>7000-8000</v>
      </c>
      <c r="K426" s="1060">
        <v>14.5</v>
      </c>
      <c r="L426" s="1060"/>
      <c r="M426" s="1061">
        <f t="shared" si="71"/>
        <v>0</v>
      </c>
      <c r="N426" s="1062">
        <f>M426*('Ввод исходных данных'!$D$83-K426)</f>
        <v>0</v>
      </c>
      <c r="O426" s="1063">
        <v>15.5</v>
      </c>
      <c r="P426" s="1063"/>
      <c r="Q426" s="1063">
        <f t="shared" si="72"/>
        <v>0</v>
      </c>
      <c r="R426" s="1063">
        <f>Q426*('Ввод исходных данных'!$D$83-O426)</f>
        <v>0</v>
      </c>
      <c r="S426" s="1064">
        <v>12</v>
      </c>
      <c r="T426" s="1064"/>
      <c r="U426" s="1064">
        <f t="shared" si="73"/>
        <v>21.5</v>
      </c>
      <c r="V426" s="1064">
        <f>U426*('Ввод исходных данных'!$D$83-S426)</f>
        <v>172</v>
      </c>
      <c r="W426" s="1065">
        <v>3.4</v>
      </c>
      <c r="X426" s="1065"/>
      <c r="Y426" s="1065">
        <f t="shared" si="74"/>
        <v>31</v>
      </c>
      <c r="Z426" s="1065">
        <f>Y426*('Ввод исходных данных'!$D$83-W426)</f>
        <v>514.6</v>
      </c>
      <c r="AA426" s="1066">
        <v>-7.1</v>
      </c>
      <c r="AB426" s="1066"/>
      <c r="AC426" s="1066">
        <f t="shared" si="75"/>
        <v>30</v>
      </c>
      <c r="AD426" s="1066">
        <f>AC426*('Ввод исходных данных'!$D$83-AA426)</f>
        <v>813</v>
      </c>
      <c r="AE426" s="1067">
        <v>-16.600000000000001</v>
      </c>
      <c r="AF426" s="1067"/>
      <c r="AG426" s="1067">
        <v>31</v>
      </c>
      <c r="AH426" s="1067">
        <f>AG426*('Ввод исходных данных'!$D$83-AE426)</f>
        <v>1134.6000000000001</v>
      </c>
      <c r="AI426" s="1068">
        <v>-21.7</v>
      </c>
      <c r="AJ426" s="1068"/>
      <c r="AK426" s="1068">
        <v>31</v>
      </c>
      <c r="AL426" s="1068">
        <f>AK426*('Ввод исходных данных'!$D$83-AI426)</f>
        <v>1292.7</v>
      </c>
      <c r="AM426" s="1069">
        <v>-20.2</v>
      </c>
      <c r="AN426" s="1069"/>
      <c r="AO426" s="1069">
        <v>28</v>
      </c>
      <c r="AP426" s="1069">
        <f>AO426*('Ввод исходных данных'!$D$83-AM426)</f>
        <v>1125.6000000000001</v>
      </c>
      <c r="AQ426" s="1064">
        <v>-14.5</v>
      </c>
      <c r="AR426" s="1064"/>
      <c r="AS426" s="1064">
        <f t="shared" si="76"/>
        <v>31</v>
      </c>
      <c r="AT426" s="1064">
        <f>AS426*('Ввод исходных данных'!$D$83-AQ426)</f>
        <v>1069.5</v>
      </c>
      <c r="AU426" s="1070">
        <v>-5.2</v>
      </c>
      <c r="AV426" s="1070"/>
      <c r="AW426" s="1070">
        <f t="shared" si="77"/>
        <v>30</v>
      </c>
      <c r="AX426" s="1070">
        <f>AW426*('Ввод исходных данных'!$D$83-AU426)</f>
        <v>756</v>
      </c>
      <c r="AY426" s="1071">
        <v>0.9</v>
      </c>
      <c r="AZ426" s="1071"/>
      <c r="BA426" s="1071">
        <f t="shared" si="78"/>
        <v>21.5</v>
      </c>
      <c r="BB426" s="1071">
        <f>BA426*('Ввод исходных данных'!$D$83-AY426)</f>
        <v>410.65000000000003</v>
      </c>
      <c r="BC426" s="1072">
        <v>9.1</v>
      </c>
      <c r="BD426" s="1072"/>
      <c r="BE426" s="1072">
        <f t="shared" si="70"/>
        <v>0</v>
      </c>
      <c r="BF426" s="1073">
        <f>BE426*('Ввод исходных данных'!$D$83-BC426)</f>
        <v>0</v>
      </c>
    </row>
    <row r="427" spans="2:58" ht="15.75" customHeight="1" x14ac:dyDescent="0.25">
      <c r="B427" s="1052" t="s">
        <v>121</v>
      </c>
      <c r="C427" s="1052" t="s">
        <v>124</v>
      </c>
      <c r="D427" s="1053" t="str">
        <f t="shared" si="79"/>
        <v>Хабаровский крайБикин</v>
      </c>
      <c r="E427" s="1054">
        <v>208</v>
      </c>
      <c r="F427" s="1055">
        <v>-9.1</v>
      </c>
      <c r="G427" s="1055">
        <v>-32</v>
      </c>
      <c r="H427" s="1057">
        <v>3.2</v>
      </c>
      <c r="I427" s="1058">
        <f>E427*('Ввод исходных данных'!$D$83-F427)</f>
        <v>6052.8</v>
      </c>
      <c r="J427" s="1059" t="str">
        <f t="shared" si="69"/>
        <v>6000-7000</v>
      </c>
      <c r="K427" s="1060">
        <v>21</v>
      </c>
      <c r="L427" s="1060"/>
      <c r="M427" s="1061">
        <f t="shared" si="71"/>
        <v>0</v>
      </c>
      <c r="N427" s="1062">
        <f>M427*('Ввод исходных данных'!$D$83-K427)</f>
        <v>0</v>
      </c>
      <c r="O427" s="1063">
        <v>19.899999999999999</v>
      </c>
      <c r="P427" s="1063"/>
      <c r="Q427" s="1063">
        <f t="shared" si="72"/>
        <v>0</v>
      </c>
      <c r="R427" s="1063">
        <f>Q427*('Ввод исходных данных'!$D$83-O427)</f>
        <v>0</v>
      </c>
      <c r="S427" s="1064">
        <v>13.3</v>
      </c>
      <c r="T427" s="1064"/>
      <c r="U427" s="1064">
        <f t="shared" si="73"/>
        <v>0</v>
      </c>
      <c r="V427" s="1064">
        <f>U427*('Ввод исходных данных'!$D$83-S427)</f>
        <v>0</v>
      </c>
      <c r="W427" s="1065">
        <v>4.5</v>
      </c>
      <c r="X427" s="1065"/>
      <c r="Y427" s="1065">
        <f t="shared" si="74"/>
        <v>28.5</v>
      </c>
      <c r="Z427" s="1065">
        <f>Y427*('Ввод исходных данных'!$D$83-W427)</f>
        <v>441.75</v>
      </c>
      <c r="AA427" s="1066">
        <v>-7.6</v>
      </c>
      <c r="AB427" s="1066"/>
      <c r="AC427" s="1066">
        <f t="shared" si="75"/>
        <v>30</v>
      </c>
      <c r="AD427" s="1066">
        <f>AC427*('Ввод исходных данных'!$D$83-AA427)</f>
        <v>828</v>
      </c>
      <c r="AE427" s="1067">
        <v>-18.3</v>
      </c>
      <c r="AF427" s="1067"/>
      <c r="AG427" s="1067">
        <v>31</v>
      </c>
      <c r="AH427" s="1067">
        <f>AG427*('Ввод исходных данных'!$D$83-AE427)</f>
        <v>1187.3</v>
      </c>
      <c r="AI427" s="1068">
        <v>-22.4</v>
      </c>
      <c r="AJ427" s="1068"/>
      <c r="AK427" s="1068">
        <v>31</v>
      </c>
      <c r="AL427" s="1068">
        <f>AK427*('Ввод исходных данных'!$D$83-AI427)</f>
        <v>1314.3999999999999</v>
      </c>
      <c r="AM427" s="1069">
        <v>-17.399999999999999</v>
      </c>
      <c r="AN427" s="1069"/>
      <c r="AO427" s="1069">
        <v>28</v>
      </c>
      <c r="AP427" s="1069">
        <f>AO427*('Ввод исходных данных'!$D$83-AM427)</f>
        <v>1047.2</v>
      </c>
      <c r="AQ427" s="1064">
        <v>-8.1</v>
      </c>
      <c r="AR427" s="1064"/>
      <c r="AS427" s="1064">
        <f t="shared" si="76"/>
        <v>31</v>
      </c>
      <c r="AT427" s="1064">
        <f>AS427*('Ввод исходных данных'!$D$83-AQ427)</f>
        <v>871.1</v>
      </c>
      <c r="AU427" s="1070">
        <v>4.0999999999999996</v>
      </c>
      <c r="AV427" s="1070"/>
      <c r="AW427" s="1070">
        <f t="shared" si="77"/>
        <v>28.5</v>
      </c>
      <c r="AX427" s="1070">
        <f>AW427*('Ввод исходных данных'!$D$83-AU427)</f>
        <v>453.15000000000003</v>
      </c>
      <c r="AY427" s="1071">
        <v>11.7</v>
      </c>
      <c r="AZ427" s="1071"/>
      <c r="BA427" s="1071">
        <f t="shared" si="78"/>
        <v>0</v>
      </c>
      <c r="BB427" s="1071">
        <f>BA427*('Ввод исходных данных'!$D$83-AY427)</f>
        <v>0</v>
      </c>
      <c r="BC427" s="1072">
        <v>17.399999999999999</v>
      </c>
      <c r="BD427" s="1072"/>
      <c r="BE427" s="1072">
        <f t="shared" si="70"/>
        <v>0</v>
      </c>
      <c r="BF427" s="1073">
        <f>BE427*('Ввод исходных данных'!$D$83-BC427)</f>
        <v>0</v>
      </c>
    </row>
    <row r="428" spans="2:58" ht="15.75" customHeight="1" x14ac:dyDescent="0.25">
      <c r="B428" s="1076" t="s">
        <v>121</v>
      </c>
      <c r="C428" s="1076" t="s">
        <v>125</v>
      </c>
      <c r="D428" s="1053" t="str">
        <f t="shared" si="79"/>
        <v>Хабаровский крайБира</v>
      </c>
      <c r="E428" s="1054">
        <v>220</v>
      </c>
      <c r="F428" s="1055">
        <v>-9.1</v>
      </c>
      <c r="G428" s="1055">
        <v>-31</v>
      </c>
      <c r="H428" s="1057">
        <f>H429</f>
        <v>4.0999999999999996</v>
      </c>
      <c r="I428" s="1058">
        <f>E428*('Ввод исходных данных'!$D$83-F428)</f>
        <v>6402</v>
      </c>
      <c r="J428" s="1059" t="str">
        <f t="shared" si="69"/>
        <v>6000-7000</v>
      </c>
      <c r="K428" s="1060">
        <v>20.100000000000001</v>
      </c>
      <c r="L428" s="1060"/>
      <c r="M428" s="1061">
        <f t="shared" si="71"/>
        <v>0</v>
      </c>
      <c r="N428" s="1062">
        <f>M428*('Ввод исходных данных'!$D$83-K428)</f>
        <v>0</v>
      </c>
      <c r="O428" s="1063">
        <v>18.5</v>
      </c>
      <c r="P428" s="1063"/>
      <c r="Q428" s="1063">
        <f t="shared" si="72"/>
        <v>0</v>
      </c>
      <c r="R428" s="1063">
        <f>Q428*('Ввод исходных данных'!$D$83-O428)</f>
        <v>0</v>
      </c>
      <c r="S428" s="1064">
        <v>12</v>
      </c>
      <c r="T428" s="1064"/>
      <c r="U428" s="1064">
        <f t="shared" si="73"/>
        <v>4</v>
      </c>
      <c r="V428" s="1064">
        <f>U428*('Ввод исходных данных'!$D$83-S428)</f>
        <v>32</v>
      </c>
      <c r="W428" s="1065">
        <v>2.6</v>
      </c>
      <c r="X428" s="1065"/>
      <c r="Y428" s="1065">
        <f t="shared" si="74"/>
        <v>31</v>
      </c>
      <c r="Z428" s="1065">
        <f>Y428*('Ввод исходных данных'!$D$83-W428)</f>
        <v>539.4</v>
      </c>
      <c r="AA428" s="1066">
        <v>-10.1</v>
      </c>
      <c r="AB428" s="1066"/>
      <c r="AC428" s="1066">
        <f t="shared" si="75"/>
        <v>30</v>
      </c>
      <c r="AD428" s="1066">
        <f>AC428*('Ввод исходных данных'!$D$83-AA428)</f>
        <v>903</v>
      </c>
      <c r="AE428" s="1067">
        <v>-19.5</v>
      </c>
      <c r="AF428" s="1067"/>
      <c r="AG428" s="1067">
        <v>31</v>
      </c>
      <c r="AH428" s="1067">
        <f>AG428*('Ввод исходных данных'!$D$83-AE428)</f>
        <v>1224.5</v>
      </c>
      <c r="AI428" s="1068">
        <v>-22</v>
      </c>
      <c r="AJ428" s="1068"/>
      <c r="AK428" s="1068">
        <v>31</v>
      </c>
      <c r="AL428" s="1068">
        <f>AK428*('Ввод исходных данных'!$D$83-AI428)</f>
        <v>1302</v>
      </c>
      <c r="AM428" s="1069">
        <v>-16.600000000000001</v>
      </c>
      <c r="AN428" s="1069"/>
      <c r="AO428" s="1069">
        <v>28</v>
      </c>
      <c r="AP428" s="1069">
        <f>AO428*('Ввод исходных данных'!$D$83-AM428)</f>
        <v>1024.8</v>
      </c>
      <c r="AQ428" s="1064">
        <v>-8.1999999999999993</v>
      </c>
      <c r="AR428" s="1064"/>
      <c r="AS428" s="1064">
        <f t="shared" si="76"/>
        <v>31</v>
      </c>
      <c r="AT428" s="1064">
        <f>AS428*('Ввод исходных данных'!$D$83-AQ428)</f>
        <v>874.19999999999993</v>
      </c>
      <c r="AU428" s="1070">
        <v>2.7</v>
      </c>
      <c r="AV428" s="1070"/>
      <c r="AW428" s="1070">
        <f t="shared" si="77"/>
        <v>30</v>
      </c>
      <c r="AX428" s="1070">
        <f>AW428*('Ввод исходных данных'!$D$83-AU428)</f>
        <v>519</v>
      </c>
      <c r="AY428" s="1071">
        <v>10.199999999999999</v>
      </c>
      <c r="AZ428" s="1071"/>
      <c r="BA428" s="1071">
        <f t="shared" si="78"/>
        <v>4</v>
      </c>
      <c r="BB428" s="1071">
        <f>BA428*('Ввод исходных данных'!$D$83-AY428)</f>
        <v>39.200000000000003</v>
      </c>
      <c r="BC428" s="1072">
        <v>16.5</v>
      </c>
      <c r="BD428" s="1072"/>
      <c r="BE428" s="1072">
        <f t="shared" si="70"/>
        <v>0</v>
      </c>
      <c r="BF428" s="1073">
        <f>BE428*('Ввод исходных данных'!$D$83-BC428)</f>
        <v>0</v>
      </c>
    </row>
    <row r="429" spans="2:58" ht="15.75" customHeight="1" x14ac:dyDescent="0.25">
      <c r="B429" s="1052" t="s">
        <v>121</v>
      </c>
      <c r="C429" s="1052" t="s">
        <v>700</v>
      </c>
      <c r="D429" s="1053" t="str">
        <f t="shared" si="79"/>
        <v>Хабаровский крайВяземский</v>
      </c>
      <c r="E429" s="1054">
        <v>213</v>
      </c>
      <c r="F429" s="1055">
        <v>-9.3000000000000007</v>
      </c>
      <c r="G429" s="1055">
        <v>-31</v>
      </c>
      <c r="H429" s="1057">
        <v>4.0999999999999996</v>
      </c>
      <c r="I429" s="1058">
        <f>E429*('Ввод исходных данных'!$D$83-F429)</f>
        <v>6240.9000000000005</v>
      </c>
      <c r="J429" s="1059" t="str">
        <f t="shared" si="69"/>
        <v>6000-7000</v>
      </c>
      <c r="K429" s="1060">
        <v>20.6</v>
      </c>
      <c r="L429" s="1060"/>
      <c r="M429" s="1061">
        <f t="shared" si="71"/>
        <v>0</v>
      </c>
      <c r="N429" s="1062">
        <f>M429*('Ввод исходных данных'!$D$83-K429)</f>
        <v>0</v>
      </c>
      <c r="O429" s="1063">
        <v>19.600000000000001</v>
      </c>
      <c r="P429" s="1063"/>
      <c r="Q429" s="1063">
        <f t="shared" si="72"/>
        <v>0</v>
      </c>
      <c r="R429" s="1063">
        <f>Q429*('Ввод исходных данных'!$D$83-O429)</f>
        <v>0</v>
      </c>
      <c r="S429" s="1064">
        <v>13</v>
      </c>
      <c r="T429" s="1064"/>
      <c r="U429" s="1064">
        <f t="shared" si="73"/>
        <v>0.5</v>
      </c>
      <c r="V429" s="1064">
        <f>U429*('Ввод исходных данных'!$D$83-S429)</f>
        <v>3.5</v>
      </c>
      <c r="W429" s="1065">
        <v>3.9</v>
      </c>
      <c r="X429" s="1065"/>
      <c r="Y429" s="1065">
        <f t="shared" si="74"/>
        <v>31</v>
      </c>
      <c r="Z429" s="1065">
        <f>Y429*('Ввод исходных данных'!$D$83-W429)</f>
        <v>499.1</v>
      </c>
      <c r="AA429" s="1066">
        <v>-8.1999999999999993</v>
      </c>
      <c r="AB429" s="1066"/>
      <c r="AC429" s="1066">
        <f t="shared" si="75"/>
        <v>30</v>
      </c>
      <c r="AD429" s="1066">
        <f>AC429*('Ввод исходных данных'!$D$83-AA429)</f>
        <v>846</v>
      </c>
      <c r="AE429" s="1067">
        <v>-18.100000000000001</v>
      </c>
      <c r="AF429" s="1067"/>
      <c r="AG429" s="1067">
        <v>31</v>
      </c>
      <c r="AH429" s="1067">
        <f>AG429*('Ввод исходных данных'!$D$83-AE429)</f>
        <v>1181.1000000000001</v>
      </c>
      <c r="AI429" s="1068">
        <v>-22.3</v>
      </c>
      <c r="AJ429" s="1068"/>
      <c r="AK429" s="1068">
        <v>31</v>
      </c>
      <c r="AL429" s="1068">
        <f>AK429*('Ввод исходных данных'!$D$83-AI429)</f>
        <v>1311.3</v>
      </c>
      <c r="AM429" s="1069">
        <v>-17.8</v>
      </c>
      <c r="AN429" s="1069"/>
      <c r="AO429" s="1069">
        <v>28</v>
      </c>
      <c r="AP429" s="1069">
        <f>AO429*('Ввод исходных данных'!$D$83-AM429)</f>
        <v>1058.3999999999999</v>
      </c>
      <c r="AQ429" s="1064">
        <v>-9</v>
      </c>
      <c r="AR429" s="1064"/>
      <c r="AS429" s="1064">
        <f t="shared" si="76"/>
        <v>31</v>
      </c>
      <c r="AT429" s="1064">
        <f>AS429*('Ввод исходных данных'!$D$83-AQ429)</f>
        <v>899</v>
      </c>
      <c r="AU429" s="1070">
        <v>3.4</v>
      </c>
      <c r="AV429" s="1070"/>
      <c r="AW429" s="1070">
        <f t="shared" si="77"/>
        <v>30</v>
      </c>
      <c r="AX429" s="1070">
        <f>AW429*('Ввод исходных данных'!$D$83-AU429)</f>
        <v>498.00000000000006</v>
      </c>
      <c r="AY429" s="1071">
        <v>11.3</v>
      </c>
      <c r="AZ429" s="1071"/>
      <c r="BA429" s="1071">
        <f t="shared" si="78"/>
        <v>0.5</v>
      </c>
      <c r="BB429" s="1071">
        <f>BA429*('Ввод исходных данных'!$D$83-AY429)</f>
        <v>4.3499999999999996</v>
      </c>
      <c r="BC429" s="1072">
        <v>17.100000000000001</v>
      </c>
      <c r="BD429" s="1072"/>
      <c r="BE429" s="1072">
        <f t="shared" si="70"/>
        <v>0</v>
      </c>
      <c r="BF429" s="1073">
        <f>BE429*('Ввод исходных данных'!$D$83-BC429)</f>
        <v>0</v>
      </c>
    </row>
    <row r="430" spans="2:58" ht="15.75" customHeight="1" x14ac:dyDescent="0.25">
      <c r="B430" s="1076" t="s">
        <v>121</v>
      </c>
      <c r="C430" s="1076" t="s">
        <v>131</v>
      </c>
      <c r="D430" s="1053" t="str">
        <f t="shared" si="79"/>
        <v>Хабаровский крайГвасюги</v>
      </c>
      <c r="E430" s="1054">
        <v>228</v>
      </c>
      <c r="F430" s="1055">
        <v>-10.4</v>
      </c>
      <c r="G430" s="1055">
        <v>-35</v>
      </c>
      <c r="H430" s="1057">
        <f>H429</f>
        <v>4.0999999999999996</v>
      </c>
      <c r="I430" s="1058">
        <f>E430*('Ввод исходных данных'!$D$83-F430)</f>
        <v>6931.2</v>
      </c>
      <c r="J430" s="1059" t="str">
        <f t="shared" si="69"/>
        <v>6000-7000</v>
      </c>
      <c r="K430" s="1060">
        <v>19.600000000000001</v>
      </c>
      <c r="L430" s="1060"/>
      <c r="M430" s="1061">
        <f t="shared" si="71"/>
        <v>0</v>
      </c>
      <c r="N430" s="1062">
        <f>M430*('Ввод исходных данных'!$D$83-K430)</f>
        <v>0</v>
      </c>
      <c r="O430" s="1063">
        <v>18.399999999999999</v>
      </c>
      <c r="P430" s="1063"/>
      <c r="Q430" s="1063">
        <f t="shared" si="72"/>
        <v>0</v>
      </c>
      <c r="R430" s="1063">
        <f>Q430*('Ввод исходных данных'!$D$83-O430)</f>
        <v>0</v>
      </c>
      <c r="S430" s="1064">
        <v>11.4</v>
      </c>
      <c r="T430" s="1064"/>
      <c r="U430" s="1064">
        <f t="shared" si="73"/>
        <v>8</v>
      </c>
      <c r="V430" s="1064">
        <f>U430*('Ввод исходных данных'!$D$83-S430)</f>
        <v>68.8</v>
      </c>
      <c r="W430" s="1065">
        <v>1.5</v>
      </c>
      <c r="X430" s="1065"/>
      <c r="Y430" s="1065">
        <f t="shared" si="74"/>
        <v>31</v>
      </c>
      <c r="Z430" s="1065">
        <f>Y430*('Ввод исходных данных'!$D$83-W430)</f>
        <v>573.5</v>
      </c>
      <c r="AA430" s="1066">
        <v>-10.8</v>
      </c>
      <c r="AB430" s="1066"/>
      <c r="AC430" s="1066">
        <f t="shared" si="75"/>
        <v>30</v>
      </c>
      <c r="AD430" s="1066">
        <f>AC430*('Ввод исходных данных'!$D$83-AA430)</f>
        <v>924</v>
      </c>
      <c r="AE430" s="1067">
        <v>-20.8</v>
      </c>
      <c r="AF430" s="1067"/>
      <c r="AG430" s="1067">
        <v>31</v>
      </c>
      <c r="AH430" s="1067">
        <f>AG430*('Ввод исходных данных'!$D$83-AE430)</f>
        <v>1264.8</v>
      </c>
      <c r="AI430" s="1068">
        <v>-24.9</v>
      </c>
      <c r="AJ430" s="1068"/>
      <c r="AK430" s="1068">
        <v>31</v>
      </c>
      <c r="AL430" s="1068">
        <f>AK430*('Ввод исходных данных'!$D$83-AI430)</f>
        <v>1391.8999999999999</v>
      </c>
      <c r="AM430" s="1069">
        <v>-20.100000000000001</v>
      </c>
      <c r="AN430" s="1069"/>
      <c r="AO430" s="1069">
        <v>28</v>
      </c>
      <c r="AP430" s="1069">
        <f>AO430*('Ввод исходных данных'!$D$83-AM430)</f>
        <v>1122.8</v>
      </c>
      <c r="AQ430" s="1064">
        <v>-10.6</v>
      </c>
      <c r="AR430" s="1064"/>
      <c r="AS430" s="1064">
        <f t="shared" si="76"/>
        <v>31</v>
      </c>
      <c r="AT430" s="1064">
        <f>AS430*('Ввод исходных данных'!$D$83-AQ430)</f>
        <v>948.6</v>
      </c>
      <c r="AU430" s="1070">
        <v>1.3</v>
      </c>
      <c r="AV430" s="1070"/>
      <c r="AW430" s="1070">
        <f t="shared" si="77"/>
        <v>30</v>
      </c>
      <c r="AX430" s="1070">
        <f>AW430*('Ввод исходных данных'!$D$83-AU430)</f>
        <v>561</v>
      </c>
      <c r="AY430" s="1071">
        <v>9.1</v>
      </c>
      <c r="AZ430" s="1071"/>
      <c r="BA430" s="1071">
        <f t="shared" si="78"/>
        <v>8</v>
      </c>
      <c r="BB430" s="1071">
        <f>BA430*('Ввод исходных данных'!$D$83-AY430)</f>
        <v>87.2</v>
      </c>
      <c r="BC430" s="1072">
        <v>15.6</v>
      </c>
      <c r="BD430" s="1072"/>
      <c r="BE430" s="1072">
        <f t="shared" si="70"/>
        <v>0</v>
      </c>
      <c r="BF430" s="1073">
        <f>BE430*('Ввод исходных данных'!$D$83-BC430)</f>
        <v>0</v>
      </c>
    </row>
    <row r="431" spans="2:58" ht="15.75" customHeight="1" x14ac:dyDescent="0.25">
      <c r="B431" s="1052" t="s">
        <v>121</v>
      </c>
      <c r="C431" s="1052" t="s">
        <v>130</v>
      </c>
      <c r="D431" s="1053" t="str">
        <f t="shared" si="79"/>
        <v>Хабаровский крайГроссевичи</v>
      </c>
      <c r="E431" s="1054">
        <v>248</v>
      </c>
      <c r="F431" s="1055">
        <v>-4.3</v>
      </c>
      <c r="G431" s="1055">
        <v>-22</v>
      </c>
      <c r="H431" s="1057">
        <f t="shared" ref="H431:H433" si="80">H430</f>
        <v>4.0999999999999996</v>
      </c>
      <c r="I431" s="1058">
        <f>E431*('Ввод исходных данных'!$D$83-F431)</f>
        <v>6026.4000000000005</v>
      </c>
      <c r="J431" s="1059" t="str">
        <f t="shared" si="69"/>
        <v>6000-7000</v>
      </c>
      <c r="K431" s="1060">
        <v>13</v>
      </c>
      <c r="L431" s="1060"/>
      <c r="M431" s="1061">
        <f t="shared" si="71"/>
        <v>0</v>
      </c>
      <c r="N431" s="1062">
        <f>M431*('Ввод исходных данных'!$D$83-K431)</f>
        <v>0</v>
      </c>
      <c r="O431" s="1063">
        <v>15.9</v>
      </c>
      <c r="P431" s="1063"/>
      <c r="Q431" s="1063">
        <f t="shared" si="72"/>
        <v>0</v>
      </c>
      <c r="R431" s="1063">
        <f>Q431*('Ввод исходных данных'!$D$83-O431)</f>
        <v>0</v>
      </c>
      <c r="S431" s="1064">
        <v>13.1</v>
      </c>
      <c r="T431" s="1064"/>
      <c r="U431" s="1064">
        <f t="shared" si="73"/>
        <v>18</v>
      </c>
      <c r="V431" s="1064">
        <f>U431*('Ввод исходных данных'!$D$83-S431)</f>
        <v>124.2</v>
      </c>
      <c r="W431" s="1065">
        <v>5.9</v>
      </c>
      <c r="X431" s="1065"/>
      <c r="Y431" s="1065">
        <f t="shared" si="74"/>
        <v>31</v>
      </c>
      <c r="Z431" s="1065">
        <f>Y431*('Ввод исходных данных'!$D$83-W431)</f>
        <v>437.09999999999997</v>
      </c>
      <c r="AA431" s="1066">
        <v>-4</v>
      </c>
      <c r="AB431" s="1066"/>
      <c r="AC431" s="1066">
        <f t="shared" si="75"/>
        <v>30</v>
      </c>
      <c r="AD431" s="1066">
        <f>AC431*('Ввод исходных данных'!$D$83-AA431)</f>
        <v>720</v>
      </c>
      <c r="AE431" s="1067">
        <v>-11.8</v>
      </c>
      <c r="AF431" s="1067"/>
      <c r="AG431" s="1067">
        <v>31</v>
      </c>
      <c r="AH431" s="1067">
        <f>AG431*('Ввод исходных данных'!$D$83-AE431)</f>
        <v>985.80000000000007</v>
      </c>
      <c r="AI431" s="1068">
        <v>-14.8</v>
      </c>
      <c r="AJ431" s="1068"/>
      <c r="AK431" s="1068">
        <v>31</v>
      </c>
      <c r="AL431" s="1068">
        <f>AK431*('Ввод исходных данных'!$D$83-AI431)</f>
        <v>1078.8</v>
      </c>
      <c r="AM431" s="1069">
        <v>-11.9</v>
      </c>
      <c r="AN431" s="1069"/>
      <c r="AO431" s="1069">
        <v>28</v>
      </c>
      <c r="AP431" s="1069">
        <f>AO431*('Ввод исходных данных'!$D$83-AM431)</f>
        <v>893.19999999999993</v>
      </c>
      <c r="AQ431" s="1064">
        <v>-6</v>
      </c>
      <c r="AR431" s="1064"/>
      <c r="AS431" s="1064">
        <f t="shared" si="76"/>
        <v>31</v>
      </c>
      <c r="AT431" s="1064">
        <f>AS431*('Ввод исходных данных'!$D$83-AQ431)</f>
        <v>806</v>
      </c>
      <c r="AU431" s="1070">
        <v>0.4</v>
      </c>
      <c r="AV431" s="1070"/>
      <c r="AW431" s="1070">
        <f t="shared" si="77"/>
        <v>30</v>
      </c>
      <c r="AX431" s="1070">
        <f>AW431*('Ввод исходных данных'!$D$83-AU431)</f>
        <v>588</v>
      </c>
      <c r="AY431" s="1071">
        <v>4.3</v>
      </c>
      <c r="AZ431" s="1071"/>
      <c r="BA431" s="1071">
        <f t="shared" si="78"/>
        <v>18</v>
      </c>
      <c r="BB431" s="1071">
        <f>BA431*('Ввод исходных данных'!$D$83-AY431)</f>
        <v>282.59999999999997</v>
      </c>
      <c r="BC431" s="1072">
        <v>8.4</v>
      </c>
      <c r="BD431" s="1072"/>
      <c r="BE431" s="1072">
        <f t="shared" si="70"/>
        <v>0</v>
      </c>
      <c r="BF431" s="1073">
        <f>BE431*('Ввод исходных данных'!$D$83-BC431)</f>
        <v>0</v>
      </c>
    </row>
    <row r="432" spans="2:58" ht="15.75" customHeight="1" x14ac:dyDescent="0.25">
      <c r="B432" s="1076" t="s">
        <v>121</v>
      </c>
      <c r="C432" s="1076" t="s">
        <v>127</v>
      </c>
      <c r="D432" s="1053" t="str">
        <f t="shared" si="79"/>
        <v>Хабаровский крайДе-Кастри</v>
      </c>
      <c r="E432" s="1054">
        <v>256</v>
      </c>
      <c r="F432" s="1055">
        <v>-6.9</v>
      </c>
      <c r="G432" s="1055">
        <v>-27</v>
      </c>
      <c r="H432" s="1057">
        <f t="shared" si="80"/>
        <v>4.0999999999999996</v>
      </c>
      <c r="I432" s="1058">
        <f>E432*('Ввод исходных данных'!$D$83-F432)</f>
        <v>6886.4</v>
      </c>
      <c r="J432" s="1059" t="str">
        <f t="shared" si="69"/>
        <v>6000-7000</v>
      </c>
      <c r="K432" s="1060">
        <v>13.2</v>
      </c>
      <c r="L432" s="1060"/>
      <c r="M432" s="1061">
        <f t="shared" si="71"/>
        <v>0</v>
      </c>
      <c r="N432" s="1062">
        <f>M432*('Ввод исходных данных'!$D$83-K432)</f>
        <v>0</v>
      </c>
      <c r="O432" s="1063">
        <v>15.3</v>
      </c>
      <c r="P432" s="1063"/>
      <c r="Q432" s="1063">
        <f t="shared" si="72"/>
        <v>0</v>
      </c>
      <c r="R432" s="1063">
        <f>Q432*('Ввод исходных данных'!$D$83-O432)</f>
        <v>0</v>
      </c>
      <c r="S432" s="1064">
        <v>12</v>
      </c>
      <c r="T432" s="1064"/>
      <c r="U432" s="1064">
        <f t="shared" si="73"/>
        <v>22</v>
      </c>
      <c r="V432" s="1064">
        <f>U432*('Ввод исходных данных'!$D$83-S432)</f>
        <v>176</v>
      </c>
      <c r="W432" s="1065">
        <v>3.2</v>
      </c>
      <c r="X432" s="1065"/>
      <c r="Y432" s="1065">
        <f t="shared" si="74"/>
        <v>31</v>
      </c>
      <c r="Z432" s="1065">
        <f>Y432*('Ввод исходных данных'!$D$83-W432)</f>
        <v>520.80000000000007</v>
      </c>
      <c r="AA432" s="1066">
        <v>-8.1</v>
      </c>
      <c r="AB432" s="1066"/>
      <c r="AC432" s="1066">
        <f t="shared" si="75"/>
        <v>30</v>
      </c>
      <c r="AD432" s="1066">
        <f>AC432*('Ввод исходных данных'!$D$83-AA432)</f>
        <v>843</v>
      </c>
      <c r="AE432" s="1067">
        <v>-16.2</v>
      </c>
      <c r="AF432" s="1067"/>
      <c r="AG432" s="1067">
        <v>31</v>
      </c>
      <c r="AH432" s="1067">
        <f>AG432*('Ввод исходных данных'!$D$83-AE432)</f>
        <v>1122.2</v>
      </c>
      <c r="AI432" s="1068">
        <v>-19.399999999999999</v>
      </c>
      <c r="AJ432" s="1068"/>
      <c r="AK432" s="1068">
        <v>31</v>
      </c>
      <c r="AL432" s="1068">
        <f>AK432*('Ввод исходных данных'!$D$83-AI432)</f>
        <v>1221.3999999999999</v>
      </c>
      <c r="AM432" s="1069">
        <v>-15.8</v>
      </c>
      <c r="AN432" s="1069"/>
      <c r="AO432" s="1069">
        <v>28</v>
      </c>
      <c r="AP432" s="1069">
        <f>AO432*('Ввод исходных данных'!$D$83-AM432)</f>
        <v>1002.3999999999999</v>
      </c>
      <c r="AQ432" s="1064">
        <v>-9.3000000000000007</v>
      </c>
      <c r="AR432" s="1064"/>
      <c r="AS432" s="1064">
        <f t="shared" si="76"/>
        <v>31</v>
      </c>
      <c r="AT432" s="1064">
        <f>AS432*('Ввод исходных данных'!$D$83-AQ432)</f>
        <v>908.30000000000007</v>
      </c>
      <c r="AU432" s="1070">
        <v>-1.5</v>
      </c>
      <c r="AV432" s="1070"/>
      <c r="AW432" s="1070">
        <f t="shared" si="77"/>
        <v>30</v>
      </c>
      <c r="AX432" s="1070">
        <f>AW432*('Ввод исходных данных'!$D$83-AU432)</f>
        <v>645</v>
      </c>
      <c r="AY432" s="1071">
        <v>3.2</v>
      </c>
      <c r="AZ432" s="1071"/>
      <c r="BA432" s="1071">
        <f t="shared" si="78"/>
        <v>22</v>
      </c>
      <c r="BB432" s="1071">
        <f>BA432*('Ввод исходных данных'!$D$83-AY432)</f>
        <v>369.6</v>
      </c>
      <c r="BC432" s="1072">
        <v>8.5</v>
      </c>
      <c r="BD432" s="1072"/>
      <c r="BE432" s="1072">
        <f t="shared" si="70"/>
        <v>0</v>
      </c>
      <c r="BF432" s="1073">
        <f>BE432*('Ввод исходных данных'!$D$83-BC432)</f>
        <v>0</v>
      </c>
    </row>
    <row r="433" spans="2:58" ht="15.75" customHeight="1" x14ac:dyDescent="0.25">
      <c r="B433" s="1052" t="s">
        <v>121</v>
      </c>
      <c r="C433" s="1052" t="s">
        <v>128</v>
      </c>
      <c r="D433" s="1053" t="str">
        <f t="shared" si="79"/>
        <v>Хабаровский крайДжаорэ</v>
      </c>
      <c r="E433" s="1054">
        <v>252</v>
      </c>
      <c r="F433" s="1055">
        <v>-7.9</v>
      </c>
      <c r="G433" s="1055">
        <v>-30</v>
      </c>
      <c r="H433" s="1057">
        <f t="shared" si="80"/>
        <v>4.0999999999999996</v>
      </c>
      <c r="I433" s="1058">
        <f>E433*('Ввод исходных данных'!$D$83-F433)</f>
        <v>7030.7999999999993</v>
      </c>
      <c r="J433" s="1059" t="str">
        <f t="shared" si="69"/>
        <v>7000-8000</v>
      </c>
      <c r="K433" s="1060">
        <v>15.4</v>
      </c>
      <c r="L433" s="1060"/>
      <c r="M433" s="1061">
        <f t="shared" si="71"/>
        <v>0</v>
      </c>
      <c r="N433" s="1062">
        <f>M433*('Ввод исходных данных'!$D$83-K433)</f>
        <v>0</v>
      </c>
      <c r="O433" s="1063">
        <v>16</v>
      </c>
      <c r="P433" s="1063"/>
      <c r="Q433" s="1063">
        <f t="shared" si="72"/>
        <v>0</v>
      </c>
      <c r="R433" s="1063">
        <f>Q433*('Ввод исходных данных'!$D$83-O433)</f>
        <v>0</v>
      </c>
      <c r="S433" s="1064">
        <v>11.4</v>
      </c>
      <c r="T433" s="1064"/>
      <c r="U433" s="1064">
        <f t="shared" si="73"/>
        <v>20</v>
      </c>
      <c r="V433" s="1064">
        <f>U433*('Ввод исходных данных'!$D$83-S433)</f>
        <v>172</v>
      </c>
      <c r="W433" s="1065">
        <v>2.8</v>
      </c>
      <c r="X433" s="1065"/>
      <c r="Y433" s="1065">
        <f t="shared" si="74"/>
        <v>31</v>
      </c>
      <c r="Z433" s="1065">
        <f>Y433*('Ввод исходных данных'!$D$83-W433)</f>
        <v>533.19999999999993</v>
      </c>
      <c r="AA433" s="1066">
        <v>-8.3000000000000007</v>
      </c>
      <c r="AB433" s="1066"/>
      <c r="AC433" s="1066">
        <f t="shared" si="75"/>
        <v>30</v>
      </c>
      <c r="AD433" s="1066">
        <f>AC433*('Ввод исходных данных'!$D$83-AA433)</f>
        <v>849</v>
      </c>
      <c r="AE433" s="1067">
        <v>-16.8</v>
      </c>
      <c r="AF433" s="1067"/>
      <c r="AG433" s="1067">
        <v>31</v>
      </c>
      <c r="AH433" s="1067">
        <f>AG433*('Ввод исходных данных'!$D$83-AE433)</f>
        <v>1140.8</v>
      </c>
      <c r="AI433" s="1068">
        <v>-19.7</v>
      </c>
      <c r="AJ433" s="1068"/>
      <c r="AK433" s="1068">
        <v>31</v>
      </c>
      <c r="AL433" s="1068">
        <f>AK433*('Ввод исходных данных'!$D$83-AI433)</f>
        <v>1230.7</v>
      </c>
      <c r="AM433" s="1069">
        <v>-17.5</v>
      </c>
      <c r="AN433" s="1069"/>
      <c r="AO433" s="1069">
        <v>28</v>
      </c>
      <c r="AP433" s="1069">
        <f>AO433*('Ввод исходных данных'!$D$83-AM433)</f>
        <v>1050</v>
      </c>
      <c r="AQ433" s="1064">
        <v>-11</v>
      </c>
      <c r="AR433" s="1064"/>
      <c r="AS433" s="1064">
        <f t="shared" si="76"/>
        <v>31</v>
      </c>
      <c r="AT433" s="1064">
        <f>AS433*('Ввод исходных данных'!$D$83-AQ433)</f>
        <v>961</v>
      </c>
      <c r="AU433" s="1070">
        <v>-2.5</v>
      </c>
      <c r="AV433" s="1070"/>
      <c r="AW433" s="1070">
        <f t="shared" si="77"/>
        <v>30</v>
      </c>
      <c r="AX433" s="1070">
        <f>AW433*('Ввод исходных данных'!$D$83-AU433)</f>
        <v>675</v>
      </c>
      <c r="AY433" s="1071">
        <v>3.1</v>
      </c>
      <c r="AZ433" s="1071"/>
      <c r="BA433" s="1071">
        <f t="shared" si="78"/>
        <v>20</v>
      </c>
      <c r="BB433" s="1071">
        <f>BA433*('Ввод исходных данных'!$D$83-AY433)</f>
        <v>338</v>
      </c>
      <c r="BC433" s="1072">
        <v>11.5</v>
      </c>
      <c r="BD433" s="1072"/>
      <c r="BE433" s="1072">
        <f t="shared" si="70"/>
        <v>0</v>
      </c>
      <c r="BF433" s="1073">
        <f>BE433*('Ввод исходных данных'!$D$83-BC433)</f>
        <v>0</v>
      </c>
    </row>
    <row r="434" spans="2:58" ht="15.75" customHeight="1" x14ac:dyDescent="0.25">
      <c r="B434" s="1076" t="s">
        <v>121</v>
      </c>
      <c r="C434" s="1076" t="s">
        <v>701</v>
      </c>
      <c r="D434" s="1053" t="str">
        <f t="shared" si="79"/>
        <v>Хабаровский крайЕкатерино- Никольское</v>
      </c>
      <c r="E434" s="1054">
        <v>204</v>
      </c>
      <c r="F434" s="1055">
        <v>-9.3000000000000007</v>
      </c>
      <c r="G434" s="1055">
        <v>-29</v>
      </c>
      <c r="H434" s="1057">
        <v>4.4000000000000004</v>
      </c>
      <c r="I434" s="1058">
        <f>E434*('Ввод исходных данных'!$D$83-F434)</f>
        <v>5977.2</v>
      </c>
      <c r="J434" s="1059" t="str">
        <f t="shared" si="69"/>
        <v>5000-6000</v>
      </c>
      <c r="K434" s="1060">
        <v>21.4</v>
      </c>
      <c r="L434" s="1060"/>
      <c r="M434" s="1061">
        <f t="shared" si="71"/>
        <v>0</v>
      </c>
      <c r="N434" s="1062">
        <f>M434*('Ввод исходных данных'!$D$83-K434)</f>
        <v>0</v>
      </c>
      <c r="O434" s="1063">
        <v>19.600000000000001</v>
      </c>
      <c r="P434" s="1063"/>
      <c r="Q434" s="1063">
        <f t="shared" si="72"/>
        <v>0</v>
      </c>
      <c r="R434" s="1063">
        <f>Q434*('Ввод исходных данных'!$D$83-O434)</f>
        <v>0</v>
      </c>
      <c r="S434" s="1064">
        <v>13.2</v>
      </c>
      <c r="T434" s="1064"/>
      <c r="U434" s="1064">
        <f t="shared" si="73"/>
        <v>0</v>
      </c>
      <c r="V434" s="1064">
        <f>U434*('Ввод исходных данных'!$D$83-S434)</f>
        <v>0</v>
      </c>
      <c r="W434" s="1065">
        <v>4.3</v>
      </c>
      <c r="X434" s="1065"/>
      <c r="Y434" s="1065">
        <f t="shared" si="74"/>
        <v>26.5</v>
      </c>
      <c r="Z434" s="1065">
        <f>Y434*('Ввод исходных данных'!$D$83-W434)</f>
        <v>416.04999999999995</v>
      </c>
      <c r="AA434" s="1066">
        <v>-7.8</v>
      </c>
      <c r="AB434" s="1066"/>
      <c r="AC434" s="1066">
        <f t="shared" si="75"/>
        <v>30</v>
      </c>
      <c r="AD434" s="1066">
        <f>AC434*('Ввод исходных данных'!$D$83-AA434)</f>
        <v>834</v>
      </c>
      <c r="AE434" s="1067">
        <v>-17.7</v>
      </c>
      <c r="AF434" s="1067"/>
      <c r="AG434" s="1067">
        <v>31</v>
      </c>
      <c r="AH434" s="1067">
        <f>AG434*('Ввод исходных данных'!$D$83-AE434)</f>
        <v>1168.7</v>
      </c>
      <c r="AI434" s="1068">
        <v>-19.8</v>
      </c>
      <c r="AJ434" s="1068"/>
      <c r="AK434" s="1068">
        <v>31</v>
      </c>
      <c r="AL434" s="1068">
        <f>AK434*('Ввод исходных данных'!$D$83-AI434)</f>
        <v>1233.8</v>
      </c>
      <c r="AM434" s="1069">
        <v>-15.1</v>
      </c>
      <c r="AN434" s="1069"/>
      <c r="AO434" s="1069">
        <v>28</v>
      </c>
      <c r="AP434" s="1069">
        <f>AO434*('Ввод исходных данных'!$D$83-AM434)</f>
        <v>982.80000000000007</v>
      </c>
      <c r="AQ434" s="1064">
        <v>-5.9</v>
      </c>
      <c r="AR434" s="1064"/>
      <c r="AS434" s="1064">
        <f t="shared" si="76"/>
        <v>31</v>
      </c>
      <c r="AT434" s="1064">
        <f>AS434*('Ввод исходных данных'!$D$83-AQ434)</f>
        <v>802.9</v>
      </c>
      <c r="AU434" s="1070">
        <v>4.9000000000000004</v>
      </c>
      <c r="AV434" s="1070"/>
      <c r="AW434" s="1070">
        <f t="shared" si="77"/>
        <v>26.5</v>
      </c>
      <c r="AX434" s="1070">
        <f>AW434*('Ввод исходных данных'!$D$83-AU434)</f>
        <v>400.15</v>
      </c>
      <c r="AY434" s="1071">
        <v>12.5</v>
      </c>
      <c r="AZ434" s="1071"/>
      <c r="BA434" s="1071">
        <f t="shared" si="78"/>
        <v>0</v>
      </c>
      <c r="BB434" s="1071">
        <f>BA434*('Ввод исходных данных'!$D$83-AY434)</f>
        <v>0</v>
      </c>
      <c r="BC434" s="1072">
        <v>18.100000000000001</v>
      </c>
      <c r="BD434" s="1072"/>
      <c r="BE434" s="1072">
        <f t="shared" si="70"/>
        <v>0</v>
      </c>
      <c r="BF434" s="1073">
        <f>BE434*('Ввод исходных данных'!$D$83-BC434)</f>
        <v>0</v>
      </c>
    </row>
    <row r="435" spans="2:58" ht="15.75" customHeight="1" x14ac:dyDescent="0.25">
      <c r="B435" s="1052" t="s">
        <v>121</v>
      </c>
      <c r="C435" s="1052" t="s">
        <v>917</v>
      </c>
      <c r="D435" s="1053" t="str">
        <f t="shared" si="79"/>
        <v>Хабаровский крайИм, Полины Осипенко</v>
      </c>
      <c r="E435" s="1054">
        <v>232</v>
      </c>
      <c r="F435" s="1055">
        <v>-12.5</v>
      </c>
      <c r="G435" s="1055">
        <v>-40</v>
      </c>
      <c r="H435" s="1057">
        <v>3.5</v>
      </c>
      <c r="I435" s="1058">
        <f>E435*('Ввод исходных данных'!$D$83-F435)</f>
        <v>7540</v>
      </c>
      <c r="J435" s="1059" t="str">
        <f t="shared" si="69"/>
        <v>7000-8000</v>
      </c>
      <c r="K435" s="1060">
        <v>18.100000000000001</v>
      </c>
      <c r="L435" s="1060"/>
      <c r="M435" s="1061">
        <f t="shared" si="71"/>
        <v>0</v>
      </c>
      <c r="N435" s="1062">
        <f>M435*('Ввод исходных данных'!$D$83-K435)</f>
        <v>0</v>
      </c>
      <c r="O435" s="1063">
        <v>16.8</v>
      </c>
      <c r="P435" s="1063"/>
      <c r="Q435" s="1063">
        <f t="shared" si="72"/>
        <v>0</v>
      </c>
      <c r="R435" s="1063">
        <f>Q435*('Ввод исходных данных'!$D$83-O435)</f>
        <v>0</v>
      </c>
      <c r="S435" s="1064">
        <v>10.6</v>
      </c>
      <c r="T435" s="1064"/>
      <c r="U435" s="1064">
        <f t="shared" si="73"/>
        <v>10</v>
      </c>
      <c r="V435" s="1064">
        <f>U435*('Ввод исходных данных'!$D$83-S435)</f>
        <v>94</v>
      </c>
      <c r="W435" s="1065">
        <v>1.2</v>
      </c>
      <c r="X435" s="1065"/>
      <c r="Y435" s="1065">
        <f t="shared" si="74"/>
        <v>31</v>
      </c>
      <c r="Z435" s="1065">
        <f>Y435*('Ввод исходных данных'!$D$83-W435)</f>
        <v>582.80000000000007</v>
      </c>
      <c r="AA435" s="1066">
        <v>-13.3</v>
      </c>
      <c r="AB435" s="1066"/>
      <c r="AC435" s="1066">
        <f t="shared" si="75"/>
        <v>30</v>
      </c>
      <c r="AD435" s="1066">
        <f>AC435*('Ввод исходных данных'!$D$83-AA435)</f>
        <v>998.99999999999989</v>
      </c>
      <c r="AE435" s="1067">
        <v>-24.7</v>
      </c>
      <c r="AF435" s="1067"/>
      <c r="AG435" s="1067">
        <v>31</v>
      </c>
      <c r="AH435" s="1067">
        <f>AG435*('Ввод исходных данных'!$D$83-AE435)</f>
        <v>1385.7</v>
      </c>
      <c r="AI435" s="1068">
        <v>-26.9</v>
      </c>
      <c r="AJ435" s="1068"/>
      <c r="AK435" s="1068">
        <v>31</v>
      </c>
      <c r="AL435" s="1068">
        <f>AK435*('Ввод исходных данных'!$D$83-AI435)</f>
        <v>1453.8999999999999</v>
      </c>
      <c r="AM435" s="1069">
        <v>-21.5</v>
      </c>
      <c r="AN435" s="1069"/>
      <c r="AO435" s="1069">
        <v>28</v>
      </c>
      <c r="AP435" s="1069">
        <f>AO435*('Ввод исходных данных'!$D$83-AM435)</f>
        <v>1162</v>
      </c>
      <c r="AQ435" s="1064">
        <v>-11</v>
      </c>
      <c r="AR435" s="1064"/>
      <c r="AS435" s="1064">
        <f t="shared" si="76"/>
        <v>31</v>
      </c>
      <c r="AT435" s="1064">
        <f>AS435*('Ввод исходных данных'!$D$83-AQ435)</f>
        <v>961</v>
      </c>
      <c r="AU435" s="1070">
        <v>0.4</v>
      </c>
      <c r="AV435" s="1070"/>
      <c r="AW435" s="1070">
        <f t="shared" si="77"/>
        <v>30</v>
      </c>
      <c r="AX435" s="1070">
        <f>AW435*('Ввод исходных данных'!$D$83-AU435)</f>
        <v>588</v>
      </c>
      <c r="AY435" s="1071">
        <v>8.3000000000000007</v>
      </c>
      <c r="AZ435" s="1071"/>
      <c r="BA435" s="1071">
        <f t="shared" si="78"/>
        <v>10</v>
      </c>
      <c r="BB435" s="1071">
        <f>BA435*('Ввод исходных данных'!$D$83-AY435)</f>
        <v>117</v>
      </c>
      <c r="BC435" s="1072">
        <v>15</v>
      </c>
      <c r="BD435" s="1072"/>
      <c r="BE435" s="1072">
        <f t="shared" si="70"/>
        <v>0</v>
      </c>
      <c r="BF435" s="1073">
        <f>BE435*('Ввод исходных данных'!$D$83-BC435)</f>
        <v>0</v>
      </c>
    </row>
    <row r="436" spans="2:58" ht="15.75" customHeight="1" x14ac:dyDescent="0.25">
      <c r="B436" s="1076" t="s">
        <v>121</v>
      </c>
      <c r="C436" s="1076" t="s">
        <v>134</v>
      </c>
      <c r="D436" s="1053" t="str">
        <f t="shared" si="79"/>
        <v>Хабаровский крайКомсомольск-на-Амуре</v>
      </c>
      <c r="E436" s="1054">
        <v>223</v>
      </c>
      <c r="F436" s="1055">
        <v>-10.8</v>
      </c>
      <c r="G436" s="1055">
        <v>-35</v>
      </c>
      <c r="H436" s="1057">
        <v>5.7</v>
      </c>
      <c r="I436" s="1058">
        <f>E436*('Ввод исходных данных'!$D$83-F436)</f>
        <v>6868.4000000000005</v>
      </c>
      <c r="J436" s="1059" t="str">
        <f t="shared" si="69"/>
        <v>6000-7000</v>
      </c>
      <c r="K436" s="1060">
        <v>19.899999999999999</v>
      </c>
      <c r="L436" s="1060"/>
      <c r="M436" s="1061">
        <f t="shared" si="71"/>
        <v>0</v>
      </c>
      <c r="N436" s="1062">
        <f>M436*('Ввод исходных данных'!$D$83-K436)</f>
        <v>0</v>
      </c>
      <c r="O436" s="1063">
        <v>18.7</v>
      </c>
      <c r="P436" s="1063"/>
      <c r="Q436" s="1063">
        <f t="shared" si="72"/>
        <v>0</v>
      </c>
      <c r="R436" s="1063">
        <f>Q436*('Ввод исходных данных'!$D$83-O436)</f>
        <v>0</v>
      </c>
      <c r="S436" s="1064">
        <v>12.6</v>
      </c>
      <c r="T436" s="1064"/>
      <c r="U436" s="1064">
        <f t="shared" si="73"/>
        <v>5.5</v>
      </c>
      <c r="V436" s="1064">
        <f>U436*('Ввод исходных данных'!$D$83-S436)</f>
        <v>40.700000000000003</v>
      </c>
      <c r="W436" s="1065">
        <v>3</v>
      </c>
      <c r="X436" s="1065"/>
      <c r="Y436" s="1065">
        <f t="shared" si="74"/>
        <v>31</v>
      </c>
      <c r="Z436" s="1065">
        <f>Y436*('Ввод исходных данных'!$D$83-W436)</f>
        <v>527</v>
      </c>
      <c r="AA436" s="1066">
        <v>-10.7</v>
      </c>
      <c r="AB436" s="1066"/>
      <c r="AC436" s="1066">
        <f t="shared" si="75"/>
        <v>30</v>
      </c>
      <c r="AD436" s="1066">
        <f>AC436*('Ввод исходных данных'!$D$83-AA436)</f>
        <v>921</v>
      </c>
      <c r="AE436" s="1067">
        <v>-22</v>
      </c>
      <c r="AF436" s="1067"/>
      <c r="AG436" s="1067">
        <v>31</v>
      </c>
      <c r="AH436" s="1067">
        <f>AG436*('Ввод исходных данных'!$D$83-AE436)</f>
        <v>1302</v>
      </c>
      <c r="AI436" s="1068">
        <v>-25.6</v>
      </c>
      <c r="AJ436" s="1068"/>
      <c r="AK436" s="1068">
        <v>31</v>
      </c>
      <c r="AL436" s="1068">
        <f>AK436*('Ввод исходных данных'!$D$83-AI436)</f>
        <v>1413.6000000000001</v>
      </c>
      <c r="AM436" s="1069">
        <v>-20.3</v>
      </c>
      <c r="AN436" s="1069"/>
      <c r="AO436" s="1069">
        <v>28</v>
      </c>
      <c r="AP436" s="1069">
        <f>AO436*('Ввод исходных данных'!$D$83-AM436)</f>
        <v>1128.3999999999999</v>
      </c>
      <c r="AQ436" s="1064">
        <v>-10.1</v>
      </c>
      <c r="AR436" s="1064"/>
      <c r="AS436" s="1064">
        <f t="shared" si="76"/>
        <v>31</v>
      </c>
      <c r="AT436" s="1064">
        <f>AS436*('Ввод исходных данных'!$D$83-AQ436)</f>
        <v>933.1</v>
      </c>
      <c r="AU436" s="1070">
        <v>1.3</v>
      </c>
      <c r="AV436" s="1070"/>
      <c r="AW436" s="1070">
        <f t="shared" si="77"/>
        <v>30</v>
      </c>
      <c r="AX436" s="1070">
        <f>AW436*('Ввод исходных данных'!$D$83-AU436)</f>
        <v>561</v>
      </c>
      <c r="AY436" s="1071">
        <v>8.6999999999999993</v>
      </c>
      <c r="AZ436" s="1071"/>
      <c r="BA436" s="1071">
        <f t="shared" si="78"/>
        <v>5.5</v>
      </c>
      <c r="BB436" s="1071">
        <f>BA436*('Ввод исходных данных'!$D$83-AY436)</f>
        <v>62.150000000000006</v>
      </c>
      <c r="BC436" s="1072">
        <v>15.6</v>
      </c>
      <c r="BD436" s="1072"/>
      <c r="BE436" s="1072">
        <f t="shared" si="70"/>
        <v>0</v>
      </c>
      <c r="BF436" s="1073">
        <f>BE436*('Ввод исходных данных'!$D$83-BC436)</f>
        <v>0</v>
      </c>
    </row>
    <row r="437" spans="2:58" ht="15.75" customHeight="1" x14ac:dyDescent="0.25">
      <c r="B437" s="1052" t="s">
        <v>121</v>
      </c>
      <c r="C437" s="1052" t="s">
        <v>135</v>
      </c>
      <c r="D437" s="1053" t="str">
        <f t="shared" si="79"/>
        <v>Хабаровский крайНижнетамбовское</v>
      </c>
      <c r="E437" s="1054">
        <v>229</v>
      </c>
      <c r="F437" s="1055">
        <v>-10.9</v>
      </c>
      <c r="G437" s="1055">
        <v>-36</v>
      </c>
      <c r="H437" s="1057">
        <f>H436</f>
        <v>5.7</v>
      </c>
      <c r="I437" s="1058">
        <f>E437*('Ввод исходных данных'!$D$83-F437)</f>
        <v>7076.0999999999995</v>
      </c>
      <c r="J437" s="1059" t="str">
        <f t="shared" si="69"/>
        <v>7000-8000</v>
      </c>
      <c r="K437" s="1060">
        <v>19.3</v>
      </c>
      <c r="L437" s="1060"/>
      <c r="M437" s="1061">
        <f t="shared" si="71"/>
        <v>0</v>
      </c>
      <c r="N437" s="1062">
        <f>M437*('Ввод исходных данных'!$D$83-K437)</f>
        <v>0</v>
      </c>
      <c r="O437" s="1063">
        <v>18.2</v>
      </c>
      <c r="P437" s="1063"/>
      <c r="Q437" s="1063">
        <f t="shared" si="72"/>
        <v>0</v>
      </c>
      <c r="R437" s="1063">
        <f>Q437*('Ввод исходных данных'!$D$83-O437)</f>
        <v>0</v>
      </c>
      <c r="S437" s="1064">
        <v>12.1</v>
      </c>
      <c r="T437" s="1064"/>
      <c r="U437" s="1064">
        <f t="shared" si="73"/>
        <v>8.5</v>
      </c>
      <c r="V437" s="1064">
        <f>U437*('Ввод исходных данных'!$D$83-S437)</f>
        <v>67.150000000000006</v>
      </c>
      <c r="W437" s="1065">
        <v>2.6</v>
      </c>
      <c r="X437" s="1065"/>
      <c r="Y437" s="1065">
        <f t="shared" si="74"/>
        <v>31</v>
      </c>
      <c r="Z437" s="1065">
        <f>Y437*('Ввод исходных данных'!$D$83-W437)</f>
        <v>539.4</v>
      </c>
      <c r="AA437" s="1066">
        <v>-10.8</v>
      </c>
      <c r="AB437" s="1066"/>
      <c r="AC437" s="1066">
        <f t="shared" si="75"/>
        <v>30</v>
      </c>
      <c r="AD437" s="1066">
        <f>AC437*('Ввод исходных данных'!$D$83-AA437)</f>
        <v>924</v>
      </c>
      <c r="AE437" s="1067">
        <v>-21.8</v>
      </c>
      <c r="AF437" s="1067"/>
      <c r="AG437" s="1067">
        <v>31</v>
      </c>
      <c r="AH437" s="1067">
        <f>AG437*('Ввод исходных данных'!$D$83-AE437)</f>
        <v>1295.8</v>
      </c>
      <c r="AI437" s="1068">
        <v>-26.4</v>
      </c>
      <c r="AJ437" s="1068"/>
      <c r="AK437" s="1068">
        <v>31</v>
      </c>
      <c r="AL437" s="1068">
        <f>AK437*('Ввод исходных данных'!$D$83-AI437)</f>
        <v>1438.3999999999999</v>
      </c>
      <c r="AM437" s="1069">
        <v>-21.1</v>
      </c>
      <c r="AN437" s="1069"/>
      <c r="AO437" s="1069">
        <v>28</v>
      </c>
      <c r="AP437" s="1069">
        <f>AO437*('Ввод исходных данных'!$D$83-AM437)</f>
        <v>1150.8</v>
      </c>
      <c r="AQ437" s="1064">
        <v>-11</v>
      </c>
      <c r="AR437" s="1064"/>
      <c r="AS437" s="1064">
        <f t="shared" si="76"/>
        <v>31</v>
      </c>
      <c r="AT437" s="1064">
        <f>AS437*('Ввод исходных данных'!$D$83-AQ437)</f>
        <v>961</v>
      </c>
      <c r="AU437" s="1070">
        <v>0.3</v>
      </c>
      <c r="AV437" s="1070"/>
      <c r="AW437" s="1070">
        <f t="shared" si="77"/>
        <v>30</v>
      </c>
      <c r="AX437" s="1070">
        <f>AW437*('Ввод исходных данных'!$D$83-AU437)</f>
        <v>591</v>
      </c>
      <c r="AY437" s="1071">
        <v>8.1999999999999993</v>
      </c>
      <c r="AZ437" s="1071"/>
      <c r="BA437" s="1071">
        <f t="shared" si="78"/>
        <v>8.5</v>
      </c>
      <c r="BB437" s="1071">
        <f>BA437*('Ввод исходных данных'!$D$83-AY437)</f>
        <v>100.30000000000001</v>
      </c>
      <c r="BC437" s="1072">
        <v>15.1</v>
      </c>
      <c r="BD437" s="1072"/>
      <c r="BE437" s="1072">
        <f t="shared" si="70"/>
        <v>0</v>
      </c>
      <c r="BF437" s="1073">
        <f>BE437*('Ввод исходных данных'!$D$83-BC437)</f>
        <v>0</v>
      </c>
    </row>
    <row r="438" spans="2:58" ht="15.75" customHeight="1" x14ac:dyDescent="0.25">
      <c r="B438" s="1076" t="s">
        <v>121</v>
      </c>
      <c r="C438" s="1076" t="s">
        <v>702</v>
      </c>
      <c r="D438" s="1053" t="str">
        <f t="shared" si="79"/>
        <v>Хабаровский крайНиколаевск- на-Амуре</v>
      </c>
      <c r="E438" s="1054">
        <v>245</v>
      </c>
      <c r="F438" s="1055">
        <v>-10.1</v>
      </c>
      <c r="G438" s="1055">
        <v>-33</v>
      </c>
      <c r="H438" s="1057">
        <v>3.8</v>
      </c>
      <c r="I438" s="1058">
        <f>E438*('Ввод исходных данных'!$D$83-F438)</f>
        <v>7374.5</v>
      </c>
      <c r="J438" s="1059" t="str">
        <f t="shared" si="69"/>
        <v>7000-8000</v>
      </c>
      <c r="K438" s="1060">
        <v>16.5</v>
      </c>
      <c r="L438" s="1060"/>
      <c r="M438" s="1061">
        <f t="shared" si="71"/>
        <v>0</v>
      </c>
      <c r="N438" s="1062">
        <f>M438*('Ввод исходных данных'!$D$83-K438)</f>
        <v>0</v>
      </c>
      <c r="O438" s="1063">
        <v>15.8</v>
      </c>
      <c r="P438" s="1063"/>
      <c r="Q438" s="1063">
        <f t="shared" si="72"/>
        <v>0</v>
      </c>
      <c r="R438" s="1063">
        <f>Q438*('Ввод исходных данных'!$D$83-O438)</f>
        <v>0</v>
      </c>
      <c r="S438" s="1064">
        <v>10.4</v>
      </c>
      <c r="T438" s="1064"/>
      <c r="U438" s="1064">
        <f t="shared" si="73"/>
        <v>16.5</v>
      </c>
      <c r="V438" s="1064">
        <f>U438*('Ввод исходных данных'!$D$83-S438)</f>
        <v>158.4</v>
      </c>
      <c r="W438" s="1065">
        <v>1.9</v>
      </c>
      <c r="X438" s="1065"/>
      <c r="Y438" s="1065">
        <f t="shared" si="74"/>
        <v>31</v>
      </c>
      <c r="Z438" s="1065">
        <f>Y438*('Ввод исходных данных'!$D$83-W438)</f>
        <v>561.1</v>
      </c>
      <c r="AA438" s="1066">
        <v>-10.3</v>
      </c>
      <c r="AB438" s="1066"/>
      <c r="AC438" s="1066">
        <f t="shared" si="75"/>
        <v>30</v>
      </c>
      <c r="AD438" s="1066">
        <f>AC438*('Ввод исходных данных'!$D$83-AA438)</f>
        <v>909</v>
      </c>
      <c r="AE438" s="1067">
        <v>-19.8</v>
      </c>
      <c r="AF438" s="1067"/>
      <c r="AG438" s="1067">
        <v>31</v>
      </c>
      <c r="AH438" s="1067">
        <f>AG438*('Ввод исходных данных'!$D$83-AE438)</f>
        <v>1233.8</v>
      </c>
      <c r="AI438" s="1068">
        <v>-22.4</v>
      </c>
      <c r="AJ438" s="1068"/>
      <c r="AK438" s="1068">
        <v>31</v>
      </c>
      <c r="AL438" s="1068">
        <f>AK438*('Ввод исходных данных'!$D$83-AI438)</f>
        <v>1314.3999999999999</v>
      </c>
      <c r="AM438" s="1069">
        <v>-19.3</v>
      </c>
      <c r="AN438" s="1069"/>
      <c r="AO438" s="1069">
        <v>28</v>
      </c>
      <c r="AP438" s="1069">
        <f>AO438*('Ввод исходных данных'!$D$83-AM438)</f>
        <v>1100.3999999999999</v>
      </c>
      <c r="AQ438" s="1064">
        <v>-11.7</v>
      </c>
      <c r="AR438" s="1064"/>
      <c r="AS438" s="1064">
        <f t="shared" si="76"/>
        <v>31</v>
      </c>
      <c r="AT438" s="1064">
        <f>AS438*('Ввод исходных данных'!$D$83-AQ438)</f>
        <v>982.69999999999993</v>
      </c>
      <c r="AU438" s="1070">
        <v>-2.2000000000000002</v>
      </c>
      <c r="AV438" s="1070"/>
      <c r="AW438" s="1070">
        <f t="shared" si="77"/>
        <v>30</v>
      </c>
      <c r="AX438" s="1070">
        <f>AW438*('Ввод исходных данных'!$D$83-AU438)</f>
        <v>666</v>
      </c>
      <c r="AY438" s="1071">
        <v>4.9000000000000004</v>
      </c>
      <c r="AZ438" s="1071"/>
      <c r="BA438" s="1071">
        <f t="shared" si="78"/>
        <v>16.5</v>
      </c>
      <c r="BB438" s="1071">
        <f>BA438*('Ввод исходных данных'!$D$83-AY438)</f>
        <v>249.15</v>
      </c>
      <c r="BC438" s="1072">
        <v>12.9</v>
      </c>
      <c r="BD438" s="1072"/>
      <c r="BE438" s="1072">
        <f t="shared" si="70"/>
        <v>0</v>
      </c>
      <c r="BF438" s="1073">
        <f>BE438*('Ввод исходных данных'!$D$83-BC438)</f>
        <v>0</v>
      </c>
    </row>
    <row r="439" spans="2:58" ht="15.75" customHeight="1" x14ac:dyDescent="0.25">
      <c r="B439" s="1052" t="s">
        <v>121</v>
      </c>
      <c r="C439" s="1052" t="s">
        <v>136</v>
      </c>
      <c r="D439" s="1053" t="str">
        <f t="shared" si="79"/>
        <v>Хабаровский крайОхотск</v>
      </c>
      <c r="E439" s="1054">
        <v>274</v>
      </c>
      <c r="F439" s="1055">
        <v>-9.6</v>
      </c>
      <c r="G439" s="1055">
        <v>-32</v>
      </c>
      <c r="H439" s="1057">
        <v>3.9</v>
      </c>
      <c r="I439" s="1058">
        <f>E439*('Ввод исходных данных'!$D$83-F439)</f>
        <v>8110.4000000000005</v>
      </c>
      <c r="J439" s="1059" t="str">
        <f t="shared" si="69"/>
        <v>8000-9000</v>
      </c>
      <c r="K439" s="1060">
        <v>12.4</v>
      </c>
      <c r="L439" s="1060"/>
      <c r="M439" s="1061">
        <f t="shared" si="71"/>
        <v>0</v>
      </c>
      <c r="N439" s="1062">
        <f>M439*('Ввод исходных данных'!$D$83-K439)</f>
        <v>0</v>
      </c>
      <c r="O439" s="1063">
        <v>13.3</v>
      </c>
      <c r="P439" s="1063"/>
      <c r="Q439" s="1063">
        <f t="shared" si="72"/>
        <v>0.5</v>
      </c>
      <c r="R439" s="1063">
        <f>Q439*('Ввод исходных данных'!$D$83-O439)</f>
        <v>3.3499999999999996</v>
      </c>
      <c r="S439" s="1064">
        <v>8.5</v>
      </c>
      <c r="T439" s="1064"/>
      <c r="U439" s="1064">
        <f t="shared" si="73"/>
        <v>30</v>
      </c>
      <c r="V439" s="1064">
        <f>U439*('Ввод исходных данных'!$D$83-S439)</f>
        <v>345</v>
      </c>
      <c r="W439" s="1065">
        <v>-1.8</v>
      </c>
      <c r="X439" s="1065"/>
      <c r="Y439" s="1065">
        <f t="shared" si="74"/>
        <v>31</v>
      </c>
      <c r="Z439" s="1065">
        <f>Y439*('Ввод исходных данных'!$D$83-W439)</f>
        <v>675.80000000000007</v>
      </c>
      <c r="AA439" s="1066">
        <v>-13.9</v>
      </c>
      <c r="AB439" s="1066"/>
      <c r="AC439" s="1066">
        <f t="shared" si="75"/>
        <v>30</v>
      </c>
      <c r="AD439" s="1066">
        <f>AC439*('Ввод исходных данных'!$D$83-AA439)</f>
        <v>1017</v>
      </c>
      <c r="AE439" s="1067">
        <v>-19.7</v>
      </c>
      <c r="AF439" s="1067"/>
      <c r="AG439" s="1067">
        <v>31</v>
      </c>
      <c r="AH439" s="1067">
        <f>AG439*('Ввод исходных данных'!$D$83-AE439)</f>
        <v>1230.7</v>
      </c>
      <c r="AI439" s="1068">
        <v>-21.1</v>
      </c>
      <c r="AJ439" s="1068"/>
      <c r="AK439" s="1068">
        <v>31</v>
      </c>
      <c r="AL439" s="1068">
        <f>AK439*('Ввод исходных данных'!$D$83-AI439)</f>
        <v>1274.1000000000001</v>
      </c>
      <c r="AM439" s="1069">
        <v>-18.8</v>
      </c>
      <c r="AN439" s="1069"/>
      <c r="AO439" s="1069">
        <v>28</v>
      </c>
      <c r="AP439" s="1069">
        <f>AO439*('Ввод исходных данных'!$D$83-AM439)</f>
        <v>1086.3999999999999</v>
      </c>
      <c r="AQ439" s="1064">
        <v>-12.9</v>
      </c>
      <c r="AR439" s="1064"/>
      <c r="AS439" s="1064">
        <f t="shared" si="76"/>
        <v>31</v>
      </c>
      <c r="AT439" s="1064">
        <f>AS439*('Ввод исходных данных'!$D$83-AQ439)</f>
        <v>1019.9</v>
      </c>
      <c r="AU439" s="1070">
        <v>-4.5</v>
      </c>
      <c r="AV439" s="1070"/>
      <c r="AW439" s="1070">
        <f t="shared" si="77"/>
        <v>30</v>
      </c>
      <c r="AX439" s="1070">
        <f>AW439*('Ввод исходных данных'!$D$83-AU439)</f>
        <v>735</v>
      </c>
      <c r="AY439" s="1071">
        <v>1.8</v>
      </c>
      <c r="AZ439" s="1071"/>
      <c r="BA439" s="1071">
        <f t="shared" si="78"/>
        <v>31</v>
      </c>
      <c r="BB439" s="1071">
        <f>BA439*('Ввод исходных данных'!$D$83-AY439)</f>
        <v>564.19999999999993</v>
      </c>
      <c r="BC439" s="1072">
        <v>7.5</v>
      </c>
      <c r="BD439" s="1072"/>
      <c r="BE439" s="1072">
        <f t="shared" si="70"/>
        <v>0.5</v>
      </c>
      <c r="BF439" s="1073">
        <f>BE439*('Ввод исходных данных'!$D$83-BC439)</f>
        <v>6.25</v>
      </c>
    </row>
    <row r="440" spans="2:58" ht="15.75" customHeight="1" x14ac:dyDescent="0.25">
      <c r="B440" s="1076" t="s">
        <v>121</v>
      </c>
      <c r="C440" s="1076" t="s">
        <v>137</v>
      </c>
      <c r="D440" s="1053" t="str">
        <f t="shared" si="79"/>
        <v>Хабаровский крайСизиман</v>
      </c>
      <c r="E440" s="1054">
        <v>263</v>
      </c>
      <c r="F440" s="1055">
        <v>-6.2</v>
      </c>
      <c r="G440" s="1055">
        <v>-26</v>
      </c>
      <c r="H440" s="1057">
        <f>H439</f>
        <v>3.9</v>
      </c>
      <c r="I440" s="1058">
        <f>E440*('Ввод исходных данных'!$D$83-F440)</f>
        <v>6890.5999999999995</v>
      </c>
      <c r="J440" s="1059" t="str">
        <f t="shared" si="69"/>
        <v>6000-7000</v>
      </c>
      <c r="K440" s="1060">
        <v>12.6</v>
      </c>
      <c r="L440" s="1060"/>
      <c r="M440" s="1061">
        <f t="shared" si="71"/>
        <v>0</v>
      </c>
      <c r="N440" s="1062">
        <f>M440*('Ввод исходных данных'!$D$83-K440)</f>
        <v>0</v>
      </c>
      <c r="O440" s="1063">
        <v>14.7</v>
      </c>
      <c r="P440" s="1063"/>
      <c r="Q440" s="1063">
        <f t="shared" si="72"/>
        <v>0</v>
      </c>
      <c r="R440" s="1063">
        <f>Q440*('Ввод исходных данных'!$D$83-O440)</f>
        <v>0</v>
      </c>
      <c r="S440" s="1064">
        <v>11.4</v>
      </c>
      <c r="T440" s="1064"/>
      <c r="U440" s="1064">
        <f t="shared" si="73"/>
        <v>25.5</v>
      </c>
      <c r="V440" s="1064">
        <f>U440*('Ввод исходных данных'!$D$83-S440)</f>
        <v>219.29999999999998</v>
      </c>
      <c r="W440" s="1065">
        <v>3.2</v>
      </c>
      <c r="X440" s="1065"/>
      <c r="Y440" s="1065">
        <f t="shared" si="74"/>
        <v>31</v>
      </c>
      <c r="Z440" s="1065">
        <f>Y440*('Ввод исходных данных'!$D$83-W440)</f>
        <v>520.80000000000007</v>
      </c>
      <c r="AA440" s="1066">
        <v>-7.5</v>
      </c>
      <c r="AB440" s="1066"/>
      <c r="AC440" s="1066">
        <f t="shared" si="75"/>
        <v>30</v>
      </c>
      <c r="AD440" s="1066">
        <f>AC440*('Ввод исходных данных'!$D$83-AA440)</f>
        <v>825</v>
      </c>
      <c r="AE440" s="1067">
        <v>-14.9</v>
      </c>
      <c r="AF440" s="1067"/>
      <c r="AG440" s="1067">
        <v>31</v>
      </c>
      <c r="AH440" s="1067">
        <f>AG440*('Ввод исходных данных'!$D$83-AE440)</f>
        <v>1081.8999999999999</v>
      </c>
      <c r="AI440" s="1068">
        <v>-18.2</v>
      </c>
      <c r="AJ440" s="1068"/>
      <c r="AK440" s="1068">
        <v>31</v>
      </c>
      <c r="AL440" s="1068">
        <f>AK440*('Ввод исходных данных'!$D$83-AI440)</f>
        <v>1184.2</v>
      </c>
      <c r="AM440" s="1069">
        <v>-15.3</v>
      </c>
      <c r="AN440" s="1069"/>
      <c r="AO440" s="1069">
        <v>28</v>
      </c>
      <c r="AP440" s="1069">
        <f>AO440*('Ввод исходных данных'!$D$83-AM440)</f>
        <v>988.39999999999986</v>
      </c>
      <c r="AQ440" s="1064">
        <v>-9.3000000000000007</v>
      </c>
      <c r="AR440" s="1064"/>
      <c r="AS440" s="1064">
        <f t="shared" si="76"/>
        <v>31</v>
      </c>
      <c r="AT440" s="1064">
        <f>AS440*('Ввод исходных данных'!$D$83-AQ440)</f>
        <v>908.30000000000007</v>
      </c>
      <c r="AU440" s="1070">
        <v>-1.2</v>
      </c>
      <c r="AV440" s="1070"/>
      <c r="AW440" s="1070">
        <f t="shared" si="77"/>
        <v>30</v>
      </c>
      <c r="AX440" s="1070">
        <f>AW440*('Ввод исходных данных'!$D$83-AU440)</f>
        <v>636</v>
      </c>
      <c r="AY440" s="1071">
        <v>2.9</v>
      </c>
      <c r="AZ440" s="1071"/>
      <c r="BA440" s="1071">
        <f t="shared" si="78"/>
        <v>25.5</v>
      </c>
      <c r="BB440" s="1071">
        <f>BA440*('Ввод исходных данных'!$D$83-AY440)</f>
        <v>436.05</v>
      </c>
      <c r="BC440" s="1072">
        <v>7.5</v>
      </c>
      <c r="BD440" s="1072"/>
      <c r="BE440" s="1072">
        <f t="shared" si="70"/>
        <v>0</v>
      </c>
      <c r="BF440" s="1073">
        <f>BE440*('Ввод исходных данных'!$D$83-BC440)</f>
        <v>0</v>
      </c>
    </row>
    <row r="441" spans="2:58" ht="15.75" customHeight="1" x14ac:dyDescent="0.25">
      <c r="B441" s="1052" t="s">
        <v>121</v>
      </c>
      <c r="C441" s="1052" t="s">
        <v>138</v>
      </c>
      <c r="D441" s="1053" t="str">
        <f t="shared" si="79"/>
        <v>Хабаровский крайСоветская Гавань</v>
      </c>
      <c r="E441" s="1054">
        <v>234</v>
      </c>
      <c r="F441" s="1055">
        <v>-6</v>
      </c>
      <c r="G441" s="1055">
        <v>-24</v>
      </c>
      <c r="H441" s="1057">
        <v>4.2</v>
      </c>
      <c r="I441" s="1058">
        <f>E441*('Ввод исходных данных'!$D$83-F441)</f>
        <v>6084</v>
      </c>
      <c r="J441" s="1059" t="str">
        <f t="shared" si="69"/>
        <v>6000-7000</v>
      </c>
      <c r="K441" s="1060">
        <v>14.6</v>
      </c>
      <c r="L441" s="1060"/>
      <c r="M441" s="1061">
        <f t="shared" si="71"/>
        <v>0</v>
      </c>
      <c r="N441" s="1062">
        <f>M441*('Ввод исходных данных'!$D$83-K441)</f>
        <v>0</v>
      </c>
      <c r="O441" s="1063">
        <v>16.7</v>
      </c>
      <c r="P441" s="1063"/>
      <c r="Q441" s="1063">
        <f t="shared" si="72"/>
        <v>0</v>
      </c>
      <c r="R441" s="1063">
        <f>Q441*('Ввод исходных данных'!$D$83-O441)</f>
        <v>0</v>
      </c>
      <c r="S441" s="1064">
        <v>12.8</v>
      </c>
      <c r="T441" s="1064"/>
      <c r="U441" s="1064">
        <f t="shared" si="73"/>
        <v>11</v>
      </c>
      <c r="V441" s="1064">
        <f>U441*('Ввод исходных данных'!$D$83-S441)</f>
        <v>79.199999999999989</v>
      </c>
      <c r="W441" s="1065">
        <v>5.5</v>
      </c>
      <c r="X441" s="1065"/>
      <c r="Y441" s="1065">
        <f t="shared" si="74"/>
        <v>31</v>
      </c>
      <c r="Z441" s="1065">
        <f>Y441*('Ввод исходных данных'!$D$83-W441)</f>
        <v>449.5</v>
      </c>
      <c r="AA441" s="1066">
        <v>-4.5999999999999996</v>
      </c>
      <c r="AB441" s="1066"/>
      <c r="AC441" s="1066">
        <f t="shared" si="75"/>
        <v>30</v>
      </c>
      <c r="AD441" s="1066">
        <f>AC441*('Ввод исходных данных'!$D$83-AA441)</f>
        <v>738</v>
      </c>
      <c r="AE441" s="1067">
        <v>-12.9</v>
      </c>
      <c r="AF441" s="1067"/>
      <c r="AG441" s="1067">
        <v>31</v>
      </c>
      <c r="AH441" s="1067">
        <f>AG441*('Ввод исходных данных'!$D$83-AE441)</f>
        <v>1019.9</v>
      </c>
      <c r="AI441" s="1068">
        <v>-15.9</v>
      </c>
      <c r="AJ441" s="1068"/>
      <c r="AK441" s="1068">
        <v>31</v>
      </c>
      <c r="AL441" s="1068">
        <f>AK441*('Ввод исходных данных'!$D$83-AI441)</f>
        <v>1112.8999999999999</v>
      </c>
      <c r="AM441" s="1069">
        <v>-13.8</v>
      </c>
      <c r="AN441" s="1069"/>
      <c r="AO441" s="1069">
        <v>28</v>
      </c>
      <c r="AP441" s="1069">
        <f>AO441*('Ввод исходных данных'!$D$83-AM441)</f>
        <v>946.39999999999986</v>
      </c>
      <c r="AQ441" s="1064">
        <v>-6.8</v>
      </c>
      <c r="AR441" s="1064"/>
      <c r="AS441" s="1064">
        <f t="shared" si="76"/>
        <v>31</v>
      </c>
      <c r="AT441" s="1064">
        <f>AS441*('Ввод исходных данных'!$D$83-AQ441)</f>
        <v>830.80000000000007</v>
      </c>
      <c r="AU441" s="1070">
        <v>0.9</v>
      </c>
      <c r="AV441" s="1070"/>
      <c r="AW441" s="1070">
        <f t="shared" si="77"/>
        <v>30</v>
      </c>
      <c r="AX441" s="1070">
        <f>AW441*('Ввод исходных данных'!$D$83-AU441)</f>
        <v>573</v>
      </c>
      <c r="AY441" s="1071">
        <v>6.1</v>
      </c>
      <c r="AZ441" s="1071"/>
      <c r="BA441" s="1071">
        <f t="shared" si="78"/>
        <v>11</v>
      </c>
      <c r="BB441" s="1071">
        <f>BA441*('Ввод исходных данных'!$D$83-AY441)</f>
        <v>152.9</v>
      </c>
      <c r="BC441" s="1072">
        <v>10.8</v>
      </c>
      <c r="BD441" s="1072"/>
      <c r="BE441" s="1072">
        <f t="shared" si="70"/>
        <v>0</v>
      </c>
      <c r="BF441" s="1073">
        <f>BE441*('Ввод исходных данных'!$D$83-BC441)</f>
        <v>0</v>
      </c>
    </row>
    <row r="442" spans="2:58" ht="15.75" customHeight="1" x14ac:dyDescent="0.25">
      <c r="B442" s="1076" t="s">
        <v>121</v>
      </c>
      <c r="C442" s="1076" t="s">
        <v>703</v>
      </c>
      <c r="D442" s="1053" t="str">
        <f t="shared" si="79"/>
        <v>Хабаровский крайСофийский Прииск</v>
      </c>
      <c r="E442" s="1054">
        <v>262</v>
      </c>
      <c r="F442" s="1055">
        <v>-14.7</v>
      </c>
      <c r="G442" s="1055">
        <v>-44</v>
      </c>
      <c r="H442" s="1057">
        <v>1.7</v>
      </c>
      <c r="I442" s="1058">
        <f>E442*('Ввод исходных данных'!$D$83-F442)</f>
        <v>9091.4000000000015</v>
      </c>
      <c r="J442" s="1059" t="str">
        <f t="shared" si="69"/>
        <v>9000-10000</v>
      </c>
      <c r="K442" s="1060">
        <v>15.5</v>
      </c>
      <c r="L442" s="1060"/>
      <c r="M442" s="1061">
        <f t="shared" si="71"/>
        <v>0</v>
      </c>
      <c r="N442" s="1062">
        <f>M442*('Ввод исходных данных'!$D$83-K442)</f>
        <v>0</v>
      </c>
      <c r="O442" s="1063">
        <v>12.8</v>
      </c>
      <c r="P442" s="1063"/>
      <c r="Q442" s="1063">
        <f t="shared" si="72"/>
        <v>0</v>
      </c>
      <c r="R442" s="1063">
        <f>Q442*('Ввод исходных данных'!$D$83-O442)</f>
        <v>0</v>
      </c>
      <c r="S442" s="1064">
        <v>5.9</v>
      </c>
      <c r="T442" s="1064"/>
      <c r="U442" s="1064">
        <f t="shared" si="73"/>
        <v>25</v>
      </c>
      <c r="V442" s="1064">
        <f>U442*('Ввод исходных данных'!$D$83-S442)</f>
        <v>352.5</v>
      </c>
      <c r="W442" s="1065">
        <v>-4.7</v>
      </c>
      <c r="X442" s="1065"/>
      <c r="Y442" s="1065">
        <f t="shared" si="74"/>
        <v>31</v>
      </c>
      <c r="Z442" s="1065">
        <f>Y442*('Ввод исходных данных'!$D$83-W442)</f>
        <v>765.69999999999993</v>
      </c>
      <c r="AA442" s="1066">
        <v>-19.899999999999999</v>
      </c>
      <c r="AB442" s="1066"/>
      <c r="AC442" s="1066">
        <f t="shared" si="75"/>
        <v>30</v>
      </c>
      <c r="AD442" s="1066">
        <f>AC442*('Ввод исходных данных'!$D$83-AA442)</f>
        <v>1197</v>
      </c>
      <c r="AE442" s="1067">
        <v>-30</v>
      </c>
      <c r="AF442" s="1067"/>
      <c r="AG442" s="1067">
        <v>31</v>
      </c>
      <c r="AH442" s="1067">
        <f>AG442*('Ввод исходных данных'!$D$83-AE442)</f>
        <v>1550</v>
      </c>
      <c r="AI442" s="1068">
        <v>-31.1</v>
      </c>
      <c r="AJ442" s="1068"/>
      <c r="AK442" s="1068">
        <v>31</v>
      </c>
      <c r="AL442" s="1068">
        <f>AK442*('Ввод исходных данных'!$D$83-AI442)</f>
        <v>1584.1000000000001</v>
      </c>
      <c r="AM442" s="1069">
        <v>-25.8</v>
      </c>
      <c r="AN442" s="1069"/>
      <c r="AO442" s="1069">
        <v>28</v>
      </c>
      <c r="AP442" s="1069">
        <f>AO442*('Ввод исходных данных'!$D$83-AM442)</f>
        <v>1282.3999999999999</v>
      </c>
      <c r="AQ442" s="1064">
        <v>-15.8</v>
      </c>
      <c r="AR442" s="1064"/>
      <c r="AS442" s="1064">
        <f t="shared" si="76"/>
        <v>31</v>
      </c>
      <c r="AT442" s="1064">
        <f>AS442*('Ввод исходных данных'!$D$83-AQ442)</f>
        <v>1109.8</v>
      </c>
      <c r="AU442" s="1070">
        <v>-3.9</v>
      </c>
      <c r="AV442" s="1070"/>
      <c r="AW442" s="1070">
        <f t="shared" si="77"/>
        <v>30</v>
      </c>
      <c r="AX442" s="1070">
        <f>AW442*('Ввод исходных данных'!$D$83-AU442)</f>
        <v>717</v>
      </c>
      <c r="AY442" s="1071">
        <v>5.2</v>
      </c>
      <c r="AZ442" s="1071"/>
      <c r="BA442" s="1071">
        <f t="shared" si="78"/>
        <v>25</v>
      </c>
      <c r="BB442" s="1071">
        <f>BA442*('Ввод исходных данных'!$D$83-AY442)</f>
        <v>370</v>
      </c>
      <c r="BC442" s="1072">
        <v>12.2</v>
      </c>
      <c r="BD442" s="1072"/>
      <c r="BE442" s="1072">
        <f t="shared" si="70"/>
        <v>0</v>
      </c>
      <c r="BF442" s="1073">
        <f>BE442*('Ввод исходных данных'!$D$83-BC442)</f>
        <v>0</v>
      </c>
    </row>
    <row r="443" spans="2:58" ht="15.75" customHeight="1" x14ac:dyDescent="0.25">
      <c r="B443" s="1052" t="s">
        <v>121</v>
      </c>
      <c r="C443" s="1052" t="s">
        <v>139</v>
      </c>
      <c r="D443" s="1053" t="str">
        <f t="shared" si="79"/>
        <v>Хабаровский крайСредний Ургал</v>
      </c>
      <c r="E443" s="1054">
        <v>238</v>
      </c>
      <c r="F443" s="1055">
        <v>-13.3</v>
      </c>
      <c r="G443" s="1055">
        <v>-40</v>
      </c>
      <c r="H443" s="1057">
        <f>H445</f>
        <v>3.9</v>
      </c>
      <c r="I443" s="1058">
        <f>E443*('Ввод исходных данных'!$D$83-F443)</f>
        <v>7925.4</v>
      </c>
      <c r="J443" s="1059" t="str">
        <f t="shared" si="69"/>
        <v>7000-8000</v>
      </c>
      <c r="K443" s="1060">
        <v>18.8</v>
      </c>
      <c r="L443" s="1060"/>
      <c r="M443" s="1061">
        <f t="shared" si="71"/>
        <v>0</v>
      </c>
      <c r="N443" s="1062">
        <f>M443*('Ввод исходных данных'!$D$83-K443)</f>
        <v>0</v>
      </c>
      <c r="O443" s="1063">
        <v>16.5</v>
      </c>
      <c r="P443" s="1063"/>
      <c r="Q443" s="1063">
        <f t="shared" si="72"/>
        <v>0</v>
      </c>
      <c r="R443" s="1063">
        <f>Q443*('Ввод исходных данных'!$D$83-O443)</f>
        <v>0</v>
      </c>
      <c r="S443" s="1064">
        <v>9.5</v>
      </c>
      <c r="T443" s="1064"/>
      <c r="U443" s="1064">
        <f t="shared" si="73"/>
        <v>13</v>
      </c>
      <c r="V443" s="1064">
        <f>U443*('Ввод исходных данных'!$D$83-S443)</f>
        <v>136.5</v>
      </c>
      <c r="W443" s="1065">
        <v>-0.8</v>
      </c>
      <c r="X443" s="1065"/>
      <c r="Y443" s="1065">
        <f t="shared" si="74"/>
        <v>31</v>
      </c>
      <c r="Z443" s="1065">
        <f>Y443*('Ввод исходных данных'!$D$83-W443)</f>
        <v>644.80000000000007</v>
      </c>
      <c r="AA443" s="1066">
        <v>-16.600000000000001</v>
      </c>
      <c r="AB443" s="1066"/>
      <c r="AC443" s="1066">
        <f t="shared" si="75"/>
        <v>30</v>
      </c>
      <c r="AD443" s="1066">
        <f>AC443*('Ввод исходных данных'!$D$83-AA443)</f>
        <v>1098</v>
      </c>
      <c r="AE443" s="1067">
        <v>-28.6</v>
      </c>
      <c r="AF443" s="1067"/>
      <c r="AG443" s="1067">
        <v>31</v>
      </c>
      <c r="AH443" s="1067">
        <f>AG443*('Ввод исходных данных'!$D$83-AE443)</f>
        <v>1506.6000000000001</v>
      </c>
      <c r="AI443" s="1068">
        <v>-31.1</v>
      </c>
      <c r="AJ443" s="1068"/>
      <c r="AK443" s="1068">
        <v>31</v>
      </c>
      <c r="AL443" s="1068">
        <f>AK443*('Ввод исходных данных'!$D$83-AI443)</f>
        <v>1584.1000000000001</v>
      </c>
      <c r="AM443" s="1069">
        <v>-23</v>
      </c>
      <c r="AN443" s="1069"/>
      <c r="AO443" s="1069">
        <v>28</v>
      </c>
      <c r="AP443" s="1069">
        <f>AO443*('Ввод исходных данных'!$D$83-AM443)</f>
        <v>1204</v>
      </c>
      <c r="AQ443" s="1064">
        <v>-12.1</v>
      </c>
      <c r="AR443" s="1064"/>
      <c r="AS443" s="1064">
        <f t="shared" si="76"/>
        <v>31</v>
      </c>
      <c r="AT443" s="1064">
        <f>AS443*('Ввод исходных данных'!$D$83-AQ443)</f>
        <v>995.1</v>
      </c>
      <c r="AU443" s="1070">
        <v>0.2</v>
      </c>
      <c r="AV443" s="1070"/>
      <c r="AW443" s="1070">
        <f t="shared" si="77"/>
        <v>30</v>
      </c>
      <c r="AX443" s="1070">
        <f>AW443*('Ввод исходных данных'!$D$83-AU443)</f>
        <v>594</v>
      </c>
      <c r="AY443" s="1071">
        <v>8.1</v>
      </c>
      <c r="AZ443" s="1071"/>
      <c r="BA443" s="1071">
        <f t="shared" si="78"/>
        <v>13</v>
      </c>
      <c r="BB443" s="1071">
        <f>BA443*('Ввод исходных данных'!$D$83-AY443)</f>
        <v>154.70000000000002</v>
      </c>
      <c r="BC443" s="1072">
        <v>14.8</v>
      </c>
      <c r="BD443" s="1072"/>
      <c r="BE443" s="1072">
        <f t="shared" si="70"/>
        <v>0</v>
      </c>
      <c r="BF443" s="1073">
        <f>BE443*('Ввод исходных данных'!$D$83-BC443)</f>
        <v>0</v>
      </c>
    </row>
    <row r="444" spans="2:58" ht="15.75" customHeight="1" x14ac:dyDescent="0.25">
      <c r="B444" s="1076" t="s">
        <v>121</v>
      </c>
      <c r="C444" s="1076" t="s">
        <v>140</v>
      </c>
      <c r="D444" s="1053" t="str">
        <f t="shared" si="79"/>
        <v>Хабаровский крайТроицкое</v>
      </c>
      <c r="E444" s="1054">
        <v>217</v>
      </c>
      <c r="F444" s="1055">
        <v>-9.6999999999999993</v>
      </c>
      <c r="G444" s="1055">
        <v>-31</v>
      </c>
      <c r="H444" s="1057">
        <f>H443</f>
        <v>3.9</v>
      </c>
      <c r="I444" s="1058">
        <f>E444*('Ввод исходных данных'!$D$83-F444)</f>
        <v>6444.9</v>
      </c>
      <c r="J444" s="1059" t="str">
        <f t="shared" si="69"/>
        <v>6000-7000</v>
      </c>
      <c r="K444" s="1060">
        <v>17.5</v>
      </c>
      <c r="L444" s="1060"/>
      <c r="M444" s="1061">
        <f t="shared" si="71"/>
        <v>0</v>
      </c>
      <c r="N444" s="1062">
        <f>M444*('Ввод исходных данных'!$D$83-K444)</f>
        <v>0</v>
      </c>
      <c r="O444" s="1063">
        <v>14</v>
      </c>
      <c r="P444" s="1063"/>
      <c r="Q444" s="1063">
        <f t="shared" si="72"/>
        <v>0</v>
      </c>
      <c r="R444" s="1063">
        <f>Q444*('Ввод исходных данных'!$D$83-O444)</f>
        <v>0</v>
      </c>
      <c r="S444" s="1064">
        <v>7</v>
      </c>
      <c r="T444" s="1064"/>
      <c r="U444" s="1064">
        <f t="shared" si="73"/>
        <v>2.5</v>
      </c>
      <c r="V444" s="1064">
        <f>U444*('Ввод исходных данных'!$D$83-S444)</f>
        <v>32.5</v>
      </c>
      <c r="W444" s="1065">
        <v>3.9</v>
      </c>
      <c r="X444" s="1065"/>
      <c r="Y444" s="1065">
        <f t="shared" si="74"/>
        <v>31</v>
      </c>
      <c r="Z444" s="1065">
        <f>Y444*('Ввод исходных данных'!$D$83-W444)</f>
        <v>499.1</v>
      </c>
      <c r="AA444" s="1066">
        <v>-8.6999999999999993</v>
      </c>
      <c r="AB444" s="1066"/>
      <c r="AC444" s="1066">
        <f t="shared" si="75"/>
        <v>30</v>
      </c>
      <c r="AD444" s="1066">
        <f>AC444*('Ввод исходных данных'!$D$83-AA444)</f>
        <v>861</v>
      </c>
      <c r="AE444" s="1067">
        <v>-19.2</v>
      </c>
      <c r="AF444" s="1067"/>
      <c r="AG444" s="1067">
        <v>31</v>
      </c>
      <c r="AH444" s="1067">
        <f>AG444*('Ввод исходных данных'!$D$83-AE444)</f>
        <v>1215.2</v>
      </c>
      <c r="AI444" s="1068">
        <v>-23.3</v>
      </c>
      <c r="AJ444" s="1068"/>
      <c r="AK444" s="1068">
        <v>31</v>
      </c>
      <c r="AL444" s="1068">
        <f>AK444*('Ввод исходных данных'!$D$83-AI444)</f>
        <v>1342.3</v>
      </c>
      <c r="AM444" s="1069">
        <v>-18.2</v>
      </c>
      <c r="AN444" s="1069"/>
      <c r="AO444" s="1069">
        <v>28</v>
      </c>
      <c r="AP444" s="1069">
        <f>AO444*('Ввод исходных данных'!$D$83-AM444)</f>
        <v>1069.6000000000001</v>
      </c>
      <c r="AQ444" s="1064">
        <v>-9.4</v>
      </c>
      <c r="AR444" s="1064"/>
      <c r="AS444" s="1064">
        <f t="shared" si="76"/>
        <v>31</v>
      </c>
      <c r="AT444" s="1064">
        <f>AS444*('Ввод исходных данных'!$D$83-AQ444)</f>
        <v>911.4</v>
      </c>
      <c r="AU444" s="1070">
        <v>2.1</v>
      </c>
      <c r="AV444" s="1070"/>
      <c r="AW444" s="1070">
        <f t="shared" si="77"/>
        <v>30</v>
      </c>
      <c r="AX444" s="1070">
        <f>AW444*('Ввод исходных данных'!$D$83-AU444)</f>
        <v>537</v>
      </c>
      <c r="AY444" s="1071">
        <v>6.9</v>
      </c>
      <c r="AZ444" s="1071"/>
      <c r="BA444" s="1071">
        <f t="shared" si="78"/>
        <v>2.5</v>
      </c>
      <c r="BB444" s="1071">
        <f>BA444*('Ввод исходных данных'!$D$83-AY444)</f>
        <v>32.75</v>
      </c>
      <c r="BC444" s="1072">
        <v>14.5</v>
      </c>
      <c r="BD444" s="1072"/>
      <c r="BE444" s="1072">
        <f t="shared" si="70"/>
        <v>0</v>
      </c>
      <c r="BF444" s="1073">
        <f>BE444*('Ввод исходных данных'!$D$83-BC444)</f>
        <v>0</v>
      </c>
    </row>
    <row r="445" spans="2:58" ht="15.75" customHeight="1" x14ac:dyDescent="0.25">
      <c r="B445" s="1052" t="s">
        <v>121</v>
      </c>
      <c r="C445" s="1052" t="s">
        <v>133</v>
      </c>
      <c r="D445" s="1053" t="str">
        <f t="shared" si="79"/>
        <v>Хабаровский крайХабаровск</v>
      </c>
      <c r="E445" s="1054">
        <v>204</v>
      </c>
      <c r="F445" s="1055">
        <v>-9.5</v>
      </c>
      <c r="G445" s="1055">
        <v>-29</v>
      </c>
      <c r="H445" s="1057">
        <v>3.9</v>
      </c>
      <c r="I445" s="1058">
        <f>E445*('Ввод исходных данных'!$D$83-F445)</f>
        <v>6018</v>
      </c>
      <c r="J445" s="1059" t="str">
        <f t="shared" si="69"/>
        <v>6000-7000</v>
      </c>
      <c r="K445" s="1060">
        <v>21.3</v>
      </c>
      <c r="L445" s="1060"/>
      <c r="M445" s="1061">
        <f t="shared" si="71"/>
        <v>0</v>
      </c>
      <c r="N445" s="1062">
        <f>M445*('Ввод исходных данных'!$D$83-K445)</f>
        <v>0</v>
      </c>
      <c r="O445" s="1063">
        <v>19.600000000000001</v>
      </c>
      <c r="P445" s="1063"/>
      <c r="Q445" s="1063">
        <f t="shared" si="72"/>
        <v>0</v>
      </c>
      <c r="R445" s="1063">
        <f>Q445*('Ввод исходных данных'!$D$83-O445)</f>
        <v>0</v>
      </c>
      <c r="S445" s="1064">
        <v>13.5</v>
      </c>
      <c r="T445" s="1064"/>
      <c r="U445" s="1064">
        <f t="shared" si="73"/>
        <v>0</v>
      </c>
      <c r="V445" s="1064">
        <f>U445*('Ввод исходных данных'!$D$83-S445)</f>
        <v>0</v>
      </c>
      <c r="W445" s="1065">
        <v>4.9000000000000004</v>
      </c>
      <c r="X445" s="1065"/>
      <c r="Y445" s="1065">
        <f t="shared" si="74"/>
        <v>26.5</v>
      </c>
      <c r="Z445" s="1065">
        <f>Y445*('Ввод исходных данных'!$D$83-W445)</f>
        <v>400.15</v>
      </c>
      <c r="AA445" s="1066">
        <v>-7.3</v>
      </c>
      <c r="AB445" s="1066"/>
      <c r="AC445" s="1066">
        <f t="shared" si="75"/>
        <v>30</v>
      </c>
      <c r="AD445" s="1066">
        <f>AC445*('Ввод исходных данных'!$D$83-AA445)</f>
        <v>819</v>
      </c>
      <c r="AE445" s="1067">
        <v>-17.7</v>
      </c>
      <c r="AF445" s="1067"/>
      <c r="AG445" s="1067">
        <v>31</v>
      </c>
      <c r="AH445" s="1067">
        <f>AG445*('Ввод исходных данных'!$D$83-AE445)</f>
        <v>1168.7</v>
      </c>
      <c r="AI445" s="1068">
        <v>-20.2</v>
      </c>
      <c r="AJ445" s="1068"/>
      <c r="AK445" s="1068">
        <v>31</v>
      </c>
      <c r="AL445" s="1068">
        <f>AK445*('Ввод исходных данных'!$D$83-AI445)</f>
        <v>1246.2</v>
      </c>
      <c r="AM445" s="1069">
        <v>-16.100000000000001</v>
      </c>
      <c r="AN445" s="1069"/>
      <c r="AO445" s="1069">
        <v>28</v>
      </c>
      <c r="AP445" s="1069">
        <f>AO445*('Ввод исходных данных'!$D$83-AM445)</f>
        <v>1010.8000000000001</v>
      </c>
      <c r="AQ445" s="1064">
        <v>-6.8</v>
      </c>
      <c r="AR445" s="1064"/>
      <c r="AS445" s="1064">
        <f t="shared" si="76"/>
        <v>31</v>
      </c>
      <c r="AT445" s="1064">
        <f>AS445*('Ввод исходных данных'!$D$83-AQ445)</f>
        <v>830.80000000000007</v>
      </c>
      <c r="AU445" s="1070">
        <v>4.5</v>
      </c>
      <c r="AV445" s="1070"/>
      <c r="AW445" s="1070">
        <f t="shared" si="77"/>
        <v>26.5</v>
      </c>
      <c r="AX445" s="1070">
        <f>AW445*('Ввод исходных данных'!$D$83-AU445)</f>
        <v>410.75</v>
      </c>
      <c r="AY445" s="1071">
        <v>12.3</v>
      </c>
      <c r="AZ445" s="1071"/>
      <c r="BA445" s="1071">
        <f t="shared" si="78"/>
        <v>0</v>
      </c>
      <c r="BB445" s="1071">
        <f>BA445*('Ввод исходных данных'!$D$83-AY445)</f>
        <v>0</v>
      </c>
      <c r="BC445" s="1072">
        <v>18</v>
      </c>
      <c r="BD445" s="1072"/>
      <c r="BE445" s="1072">
        <f t="shared" si="70"/>
        <v>0</v>
      </c>
      <c r="BF445" s="1073">
        <f>BE445*('Ввод исходных данных'!$D$83-BC445)</f>
        <v>0</v>
      </c>
    </row>
    <row r="446" spans="2:58" ht="15.75" customHeight="1" x14ac:dyDescent="0.25">
      <c r="B446" s="1076" t="s">
        <v>121</v>
      </c>
      <c r="C446" s="1076" t="s">
        <v>126</v>
      </c>
      <c r="D446" s="1053" t="str">
        <f t="shared" si="79"/>
        <v>Хабаровский крайЧумикан</v>
      </c>
      <c r="E446" s="1054">
        <v>274</v>
      </c>
      <c r="F446" s="1055">
        <v>-8.8000000000000007</v>
      </c>
      <c r="G446" s="1055">
        <v>-32</v>
      </c>
      <c r="H446" s="1057">
        <v>10.3</v>
      </c>
      <c r="I446" s="1058">
        <f>E446*('Ввод исходных данных'!$D$83-F446)</f>
        <v>7891.2</v>
      </c>
      <c r="J446" s="1059" t="str">
        <f t="shared" si="69"/>
        <v>7000-8000</v>
      </c>
      <c r="K446" s="1060">
        <v>12</v>
      </c>
      <c r="L446" s="1060"/>
      <c r="M446" s="1061">
        <f t="shared" si="71"/>
        <v>0</v>
      </c>
      <c r="N446" s="1062">
        <f>M446*('Ввод исходных данных'!$D$83-K446)</f>
        <v>0</v>
      </c>
      <c r="O446" s="1063">
        <v>13.5</v>
      </c>
      <c r="P446" s="1063"/>
      <c r="Q446" s="1063">
        <f t="shared" si="72"/>
        <v>0.5</v>
      </c>
      <c r="R446" s="1063">
        <f>Q446*('Ввод исходных данных'!$D$83-O446)</f>
        <v>3.25</v>
      </c>
      <c r="S446" s="1064">
        <v>10</v>
      </c>
      <c r="T446" s="1064"/>
      <c r="U446" s="1064">
        <f t="shared" si="73"/>
        <v>30</v>
      </c>
      <c r="V446" s="1064">
        <f>U446*('Ввод исходных данных'!$D$83-S446)</f>
        <v>300</v>
      </c>
      <c r="W446" s="1065">
        <v>0.7</v>
      </c>
      <c r="X446" s="1065"/>
      <c r="Y446" s="1065">
        <f t="shared" si="74"/>
        <v>31</v>
      </c>
      <c r="Z446" s="1065">
        <f>Y446*('Ввод исходных данных'!$D$83-W446)</f>
        <v>598.30000000000007</v>
      </c>
      <c r="AA446" s="1066">
        <v>-12.9</v>
      </c>
      <c r="AB446" s="1066"/>
      <c r="AC446" s="1066">
        <f t="shared" si="75"/>
        <v>30</v>
      </c>
      <c r="AD446" s="1066">
        <f>AC446*('Ввод исходных данных'!$D$83-AA446)</f>
        <v>987</v>
      </c>
      <c r="AE446" s="1067">
        <v>-21.3</v>
      </c>
      <c r="AF446" s="1067"/>
      <c r="AG446" s="1067">
        <v>31</v>
      </c>
      <c r="AH446" s="1067">
        <f>AG446*('Ввод исходных данных'!$D$83-AE446)</f>
        <v>1280.3</v>
      </c>
      <c r="AI446" s="1068">
        <v>-23.7</v>
      </c>
      <c r="AJ446" s="1068"/>
      <c r="AK446" s="1068">
        <v>31</v>
      </c>
      <c r="AL446" s="1068">
        <f>AK446*('Ввод исходных данных'!$D$83-AI446)</f>
        <v>1354.7</v>
      </c>
      <c r="AM446" s="1069">
        <v>-18.899999999999999</v>
      </c>
      <c r="AN446" s="1069"/>
      <c r="AO446" s="1069">
        <v>28</v>
      </c>
      <c r="AP446" s="1069">
        <f>AO446*('Ввод исходных данных'!$D$83-AM446)</f>
        <v>1089.2</v>
      </c>
      <c r="AQ446" s="1064">
        <v>-11.6</v>
      </c>
      <c r="AR446" s="1064"/>
      <c r="AS446" s="1064">
        <f t="shared" si="76"/>
        <v>31</v>
      </c>
      <c r="AT446" s="1064">
        <f>AS446*('Ввод исходных данных'!$D$83-AQ446)</f>
        <v>979.6</v>
      </c>
      <c r="AU446" s="1070">
        <v>-2.7</v>
      </c>
      <c r="AV446" s="1070"/>
      <c r="AW446" s="1070">
        <f t="shared" si="77"/>
        <v>30</v>
      </c>
      <c r="AX446" s="1070">
        <f>AW446*('Ввод исходных данных'!$D$83-AU446)</f>
        <v>681</v>
      </c>
      <c r="AY446" s="1071">
        <v>1.9</v>
      </c>
      <c r="AZ446" s="1071"/>
      <c r="BA446" s="1071">
        <f t="shared" si="78"/>
        <v>31</v>
      </c>
      <c r="BB446" s="1071">
        <f>BA446*('Ввод исходных данных'!$D$83-AY446)</f>
        <v>561.1</v>
      </c>
      <c r="BC446" s="1072">
        <v>6.6</v>
      </c>
      <c r="BD446" s="1072"/>
      <c r="BE446" s="1072">
        <f t="shared" si="70"/>
        <v>0.5</v>
      </c>
      <c r="BF446" s="1073">
        <f>BE446*('Ввод исходных данных'!$D$83-BC446)</f>
        <v>6.7</v>
      </c>
    </row>
    <row r="447" spans="2:58" ht="15.75" customHeight="1" x14ac:dyDescent="0.25">
      <c r="B447" s="1052" t="s">
        <v>121</v>
      </c>
      <c r="C447" s="1052" t="s">
        <v>129</v>
      </c>
      <c r="D447" s="1053" t="str">
        <f t="shared" si="79"/>
        <v>Хабаровский крайЭнкэн</v>
      </c>
      <c r="E447" s="1054">
        <v>281</v>
      </c>
      <c r="F447" s="1055">
        <v>-7.7</v>
      </c>
      <c r="G447" s="1055">
        <v>-28</v>
      </c>
      <c r="H447" s="1057">
        <f>H445</f>
        <v>3.9</v>
      </c>
      <c r="I447" s="1058">
        <f>E447*('Ввод исходных данных'!$D$83-F447)</f>
        <v>7783.7</v>
      </c>
      <c r="J447" s="1059" t="str">
        <f t="shared" si="69"/>
        <v>7000-8000</v>
      </c>
      <c r="K447" s="1060">
        <v>11.5</v>
      </c>
      <c r="L447" s="1060"/>
      <c r="M447" s="1061">
        <f t="shared" si="71"/>
        <v>0</v>
      </c>
      <c r="N447" s="1062">
        <f>M447*('Ввод исходных данных'!$D$83-K447)</f>
        <v>0</v>
      </c>
      <c r="O447" s="1063">
        <v>13.3</v>
      </c>
      <c r="P447" s="1063"/>
      <c r="Q447" s="1063">
        <f t="shared" si="72"/>
        <v>4</v>
      </c>
      <c r="R447" s="1063">
        <f>Q447*('Ввод исходных данных'!$D$83-O447)</f>
        <v>26.799999999999997</v>
      </c>
      <c r="S447" s="1064">
        <v>8.9</v>
      </c>
      <c r="T447" s="1064"/>
      <c r="U447" s="1064">
        <f t="shared" si="73"/>
        <v>30</v>
      </c>
      <c r="V447" s="1064">
        <f>U447*('Ввод исходных данных'!$D$83-S447)</f>
        <v>333</v>
      </c>
      <c r="W447" s="1065">
        <v>-0.5</v>
      </c>
      <c r="X447" s="1065"/>
      <c r="Y447" s="1065">
        <f t="shared" si="74"/>
        <v>31</v>
      </c>
      <c r="Z447" s="1065">
        <f>Y447*('Ввод исходных данных'!$D$83-W447)</f>
        <v>635.5</v>
      </c>
      <c r="AA447" s="1066">
        <v>-11.4</v>
      </c>
      <c r="AB447" s="1066"/>
      <c r="AC447" s="1066">
        <f t="shared" si="75"/>
        <v>30</v>
      </c>
      <c r="AD447" s="1066">
        <f>AC447*('Ввод исходных данных'!$D$83-AA447)</f>
        <v>942</v>
      </c>
      <c r="AE447" s="1067">
        <v>-17.5</v>
      </c>
      <c r="AF447" s="1067"/>
      <c r="AG447" s="1067">
        <v>31</v>
      </c>
      <c r="AH447" s="1067">
        <f>AG447*('Ввод исходных данных'!$D$83-AE447)</f>
        <v>1162.5</v>
      </c>
      <c r="AI447" s="1068">
        <v>-20.2</v>
      </c>
      <c r="AJ447" s="1068"/>
      <c r="AK447" s="1068">
        <v>31</v>
      </c>
      <c r="AL447" s="1068">
        <f>AK447*('Ввод исходных данных'!$D$83-AI447)</f>
        <v>1246.2</v>
      </c>
      <c r="AM447" s="1069">
        <v>-17.3</v>
      </c>
      <c r="AN447" s="1069"/>
      <c r="AO447" s="1069">
        <v>28</v>
      </c>
      <c r="AP447" s="1069">
        <f>AO447*('Ввод исходных данных'!$D$83-AM447)</f>
        <v>1044.3999999999999</v>
      </c>
      <c r="AQ447" s="1064">
        <v>-11.3</v>
      </c>
      <c r="AR447" s="1064"/>
      <c r="AS447" s="1064">
        <f t="shared" si="76"/>
        <v>31</v>
      </c>
      <c r="AT447" s="1064">
        <f>AS447*('Ввод исходных данных'!$D$83-AQ447)</f>
        <v>970.30000000000007</v>
      </c>
      <c r="AU447" s="1070">
        <v>-4</v>
      </c>
      <c r="AV447" s="1070"/>
      <c r="AW447" s="1070">
        <f t="shared" si="77"/>
        <v>30</v>
      </c>
      <c r="AX447" s="1070">
        <f>AW447*('Ввод исходных данных'!$D$83-AU447)</f>
        <v>720</v>
      </c>
      <c r="AY447" s="1071">
        <v>1.4</v>
      </c>
      <c r="AZ447" s="1071"/>
      <c r="BA447" s="1071">
        <f t="shared" si="78"/>
        <v>31</v>
      </c>
      <c r="BB447" s="1071">
        <f>BA447*('Ввод исходных данных'!$D$83-AY447)</f>
        <v>576.6</v>
      </c>
      <c r="BC447" s="1072">
        <v>6.1</v>
      </c>
      <c r="BD447" s="1072"/>
      <c r="BE447" s="1072">
        <f t="shared" si="70"/>
        <v>4</v>
      </c>
      <c r="BF447" s="1073">
        <f>BE447*('Ввод исходных данных'!$D$83-BC447)</f>
        <v>55.6</v>
      </c>
    </row>
    <row r="448" spans="2:58" ht="15.75" customHeight="1" x14ac:dyDescent="0.25">
      <c r="B448" s="1076" t="s">
        <v>626</v>
      </c>
      <c r="C448" s="1076" t="s">
        <v>60</v>
      </c>
      <c r="D448" s="1053" t="str">
        <f t="shared" si="79"/>
        <v>Ханты-Мансийский автономный округ (Югра)Березово</v>
      </c>
      <c r="E448" s="1054">
        <v>266</v>
      </c>
      <c r="F448" s="1055">
        <v>-9.9</v>
      </c>
      <c r="G448" s="1055">
        <v>-42</v>
      </c>
      <c r="H448" s="1057">
        <v>3.9</v>
      </c>
      <c r="I448" s="1058">
        <f>E448*('Ввод исходных данных'!$D$83-F448)</f>
        <v>7953.4</v>
      </c>
      <c r="J448" s="1059" t="str">
        <f t="shared" si="69"/>
        <v>7000-8000</v>
      </c>
      <c r="K448" s="1060">
        <v>16.5</v>
      </c>
      <c r="L448" s="1060"/>
      <c r="M448" s="1061">
        <f t="shared" si="71"/>
        <v>0</v>
      </c>
      <c r="N448" s="1062">
        <f>M448*('Ввод исходных данных'!$D$83-K448)</f>
        <v>0</v>
      </c>
      <c r="O448" s="1063">
        <v>12.5</v>
      </c>
      <c r="P448" s="1063"/>
      <c r="Q448" s="1063">
        <f t="shared" si="72"/>
        <v>0</v>
      </c>
      <c r="R448" s="1063">
        <f>Q448*('Ввод исходных данных'!$D$83-O448)</f>
        <v>0</v>
      </c>
      <c r="S448" s="1064">
        <v>6.4</v>
      </c>
      <c r="T448" s="1064"/>
      <c r="U448" s="1064">
        <f t="shared" si="73"/>
        <v>27</v>
      </c>
      <c r="V448" s="1064">
        <f>U448*('Ввод исходных данных'!$D$83-S448)</f>
        <v>367.2</v>
      </c>
      <c r="W448" s="1065">
        <v>-2.2999999999999998</v>
      </c>
      <c r="X448" s="1065"/>
      <c r="Y448" s="1065">
        <f t="shared" si="74"/>
        <v>31</v>
      </c>
      <c r="Z448" s="1065">
        <f>Y448*('Ввод исходных данных'!$D$83-W448)</f>
        <v>691.30000000000007</v>
      </c>
      <c r="AA448" s="1066">
        <v>-13.1</v>
      </c>
      <c r="AB448" s="1066"/>
      <c r="AC448" s="1066">
        <f t="shared" si="75"/>
        <v>30</v>
      </c>
      <c r="AD448" s="1066">
        <f>AC448*('Ввод исходных данных'!$D$83-AA448)</f>
        <v>993</v>
      </c>
      <c r="AE448" s="1067">
        <v>-19</v>
      </c>
      <c r="AF448" s="1067"/>
      <c r="AG448" s="1067">
        <v>31</v>
      </c>
      <c r="AH448" s="1067">
        <f>AG448*('Ввод исходных данных'!$D$83-AE448)</f>
        <v>1209</v>
      </c>
      <c r="AI448" s="1068">
        <v>-22.1</v>
      </c>
      <c r="AJ448" s="1068"/>
      <c r="AK448" s="1068">
        <v>31</v>
      </c>
      <c r="AL448" s="1068">
        <f>AK448*('Ввод исходных данных'!$D$83-AI448)</f>
        <v>1305.1000000000001</v>
      </c>
      <c r="AM448" s="1069">
        <v>-20.3</v>
      </c>
      <c r="AN448" s="1069"/>
      <c r="AO448" s="1069">
        <v>28</v>
      </c>
      <c r="AP448" s="1069">
        <f>AO448*('Ввод исходных данных'!$D$83-AM448)</f>
        <v>1128.3999999999999</v>
      </c>
      <c r="AQ448" s="1064">
        <v>-10.7</v>
      </c>
      <c r="AR448" s="1064"/>
      <c r="AS448" s="1064">
        <f t="shared" si="76"/>
        <v>31</v>
      </c>
      <c r="AT448" s="1064">
        <f>AS448*('Ввод исходных данных'!$D$83-AQ448)</f>
        <v>951.69999999999993</v>
      </c>
      <c r="AU448" s="1070">
        <v>-4.3</v>
      </c>
      <c r="AV448" s="1070"/>
      <c r="AW448" s="1070">
        <f t="shared" si="77"/>
        <v>30</v>
      </c>
      <c r="AX448" s="1070">
        <f>AW448*('Ввод исходных данных'!$D$83-AU448)</f>
        <v>729</v>
      </c>
      <c r="AY448" s="1071">
        <v>3.6</v>
      </c>
      <c r="AZ448" s="1071"/>
      <c r="BA448" s="1071">
        <f t="shared" si="78"/>
        <v>27</v>
      </c>
      <c r="BB448" s="1071">
        <f>BA448*('Ввод исходных данных'!$D$83-AY448)</f>
        <v>442.79999999999995</v>
      </c>
      <c r="BC448" s="1072">
        <v>12</v>
      </c>
      <c r="BD448" s="1072"/>
      <c r="BE448" s="1072">
        <f t="shared" si="70"/>
        <v>0</v>
      </c>
      <c r="BF448" s="1073">
        <f>BE448*('Ввод исходных данных'!$D$83-BC448)</f>
        <v>0</v>
      </c>
    </row>
    <row r="449" spans="2:58" ht="15.75" customHeight="1" x14ac:dyDescent="0.25">
      <c r="B449" s="1052" t="s">
        <v>626</v>
      </c>
      <c r="C449" s="1052" t="s">
        <v>704</v>
      </c>
      <c r="D449" s="1053" t="str">
        <f t="shared" si="79"/>
        <v>Ханты-Мансийский автономный округ (Югра)Кондинское — Ханты Мансийский АО</v>
      </c>
      <c r="E449" s="1054">
        <v>238</v>
      </c>
      <c r="F449" s="1055">
        <v>-8.6</v>
      </c>
      <c r="G449" s="1055">
        <v>-40</v>
      </c>
      <c r="H449" s="1057">
        <v>4.7</v>
      </c>
      <c r="I449" s="1058">
        <f>E449*('Ввод исходных данных'!$D$83-F449)</f>
        <v>6806.8</v>
      </c>
      <c r="J449" s="1059" t="str">
        <f t="shared" si="69"/>
        <v>6000-7000</v>
      </c>
      <c r="K449" s="1060">
        <v>18.7</v>
      </c>
      <c r="L449" s="1060"/>
      <c r="M449" s="1061">
        <f t="shared" si="71"/>
        <v>0</v>
      </c>
      <c r="N449" s="1062">
        <f>M449*('Ввод исходных данных'!$D$83-K449)</f>
        <v>0</v>
      </c>
      <c r="O449" s="1063">
        <v>14.7</v>
      </c>
      <c r="P449" s="1063"/>
      <c r="Q449" s="1063">
        <f t="shared" si="72"/>
        <v>0</v>
      </c>
      <c r="R449" s="1063">
        <f>Q449*('Ввод исходных данных'!$D$83-O449)</f>
        <v>0</v>
      </c>
      <c r="S449" s="1064">
        <v>8.9</v>
      </c>
      <c r="T449" s="1064"/>
      <c r="U449" s="1064">
        <f t="shared" si="73"/>
        <v>13</v>
      </c>
      <c r="V449" s="1064">
        <f>U449*('Ввод исходных данных'!$D$83-S449)</f>
        <v>144.29999999999998</v>
      </c>
      <c r="W449" s="1065">
        <v>-0.6</v>
      </c>
      <c r="X449" s="1065"/>
      <c r="Y449" s="1065">
        <f t="shared" si="74"/>
        <v>31</v>
      </c>
      <c r="Z449" s="1065">
        <f>Y449*('Ввод исходных данных'!$D$83-W449)</f>
        <v>638.6</v>
      </c>
      <c r="AA449" s="1066">
        <v>-10.199999999999999</v>
      </c>
      <c r="AB449" s="1066"/>
      <c r="AC449" s="1066">
        <f t="shared" si="75"/>
        <v>30</v>
      </c>
      <c r="AD449" s="1066">
        <f>AC449*('Ввод исходных данных'!$D$83-AA449)</f>
        <v>906</v>
      </c>
      <c r="AE449" s="1067">
        <v>-16.3</v>
      </c>
      <c r="AF449" s="1067"/>
      <c r="AG449" s="1067">
        <v>31</v>
      </c>
      <c r="AH449" s="1067">
        <f>AG449*('Ввод исходных данных'!$D$83-AE449)</f>
        <v>1125.3</v>
      </c>
      <c r="AI449" s="1068">
        <v>-19.8</v>
      </c>
      <c r="AJ449" s="1068"/>
      <c r="AK449" s="1068">
        <v>31</v>
      </c>
      <c r="AL449" s="1068">
        <f>AK449*('Ввод исходных данных'!$D$83-AI449)</f>
        <v>1233.8</v>
      </c>
      <c r="AM449" s="1069">
        <v>-18.399999999999999</v>
      </c>
      <c r="AN449" s="1069"/>
      <c r="AO449" s="1069">
        <v>28</v>
      </c>
      <c r="AP449" s="1069">
        <f>AO449*('Ввод исходных данных'!$D$83-AM449)</f>
        <v>1075.2</v>
      </c>
      <c r="AQ449" s="1064">
        <v>-10.1</v>
      </c>
      <c r="AR449" s="1064"/>
      <c r="AS449" s="1064">
        <f t="shared" si="76"/>
        <v>31</v>
      </c>
      <c r="AT449" s="1064">
        <f>AS449*('Ввод исходных данных'!$D$83-AQ449)</f>
        <v>933.1</v>
      </c>
      <c r="AU449" s="1070">
        <v>0.1</v>
      </c>
      <c r="AV449" s="1070"/>
      <c r="AW449" s="1070">
        <f t="shared" si="77"/>
        <v>30</v>
      </c>
      <c r="AX449" s="1070">
        <f>AW449*('Ввод исходных данных'!$D$83-AU449)</f>
        <v>597</v>
      </c>
      <c r="AY449" s="1071">
        <v>8.4</v>
      </c>
      <c r="AZ449" s="1071"/>
      <c r="BA449" s="1071">
        <f t="shared" si="78"/>
        <v>13</v>
      </c>
      <c r="BB449" s="1071">
        <f>BA449*('Ввод исходных данных'!$D$83-AY449)</f>
        <v>150.79999999999998</v>
      </c>
      <c r="BC449" s="1072">
        <v>14.9</v>
      </c>
      <c r="BD449" s="1072"/>
      <c r="BE449" s="1072">
        <f t="shared" si="70"/>
        <v>0</v>
      </c>
      <c r="BF449" s="1073">
        <f>BE449*('Ввод исходных данных'!$D$83-BC449)</f>
        <v>0</v>
      </c>
    </row>
    <row r="450" spans="2:58" ht="15.75" customHeight="1" x14ac:dyDescent="0.25">
      <c r="B450" s="1076" t="s">
        <v>626</v>
      </c>
      <c r="C450" s="1076" t="s">
        <v>705</v>
      </c>
      <c r="D450" s="1053" t="str">
        <f t="shared" si="79"/>
        <v>Ханты-Мансийский автономный округ (Югра)Сургут — Ханты-Мансийский АО</v>
      </c>
      <c r="E450" s="1054">
        <v>257</v>
      </c>
      <c r="F450" s="1055">
        <v>-9.9</v>
      </c>
      <c r="G450" s="1055">
        <v>-43</v>
      </c>
      <c r="H450" s="1057">
        <v>5.3</v>
      </c>
      <c r="I450" s="1058">
        <f>E450*('Ввод исходных данных'!$D$83-F450)</f>
        <v>7684.2999999999993</v>
      </c>
      <c r="J450" s="1059" t="str">
        <f t="shared" si="69"/>
        <v>7000-8000</v>
      </c>
      <c r="K450" s="1060">
        <v>16.899999999999999</v>
      </c>
      <c r="L450" s="1060"/>
      <c r="M450" s="1061">
        <f t="shared" si="71"/>
        <v>0</v>
      </c>
      <c r="N450" s="1062">
        <f>M450*('Ввод исходных данных'!$D$83-K450)</f>
        <v>0</v>
      </c>
      <c r="O450" s="1063">
        <v>14</v>
      </c>
      <c r="P450" s="1063"/>
      <c r="Q450" s="1063">
        <f t="shared" si="72"/>
        <v>0</v>
      </c>
      <c r="R450" s="1063">
        <f>Q450*('Ввод исходных данных'!$D$83-O450)</f>
        <v>0</v>
      </c>
      <c r="S450" s="1064">
        <v>7.8</v>
      </c>
      <c r="T450" s="1064"/>
      <c r="U450" s="1064">
        <f t="shared" si="73"/>
        <v>22.5</v>
      </c>
      <c r="V450" s="1064">
        <f>U450*('Ввод исходных данных'!$D$83-S450)</f>
        <v>274.5</v>
      </c>
      <c r="W450" s="1065">
        <v>-1.4</v>
      </c>
      <c r="X450" s="1065"/>
      <c r="Y450" s="1065">
        <f t="shared" si="74"/>
        <v>31</v>
      </c>
      <c r="Z450" s="1065">
        <f>Y450*('Ввод исходных данных'!$D$83-W450)</f>
        <v>663.4</v>
      </c>
      <c r="AA450" s="1066">
        <v>-13.2</v>
      </c>
      <c r="AB450" s="1066"/>
      <c r="AC450" s="1066">
        <f t="shared" si="75"/>
        <v>30</v>
      </c>
      <c r="AD450" s="1066">
        <f>AC450*('Ввод исходных данных'!$D$83-AA450)</f>
        <v>996.00000000000011</v>
      </c>
      <c r="AE450" s="1067">
        <v>-20.3</v>
      </c>
      <c r="AF450" s="1067"/>
      <c r="AG450" s="1067">
        <v>31</v>
      </c>
      <c r="AH450" s="1067">
        <f>AG450*('Ввод исходных данных'!$D$83-AE450)</f>
        <v>1249.3</v>
      </c>
      <c r="AI450" s="1068">
        <v>-22</v>
      </c>
      <c r="AJ450" s="1068"/>
      <c r="AK450" s="1068">
        <v>31</v>
      </c>
      <c r="AL450" s="1068">
        <f>AK450*('Ввод исходных данных'!$D$83-AI450)</f>
        <v>1302</v>
      </c>
      <c r="AM450" s="1069">
        <v>-19.600000000000001</v>
      </c>
      <c r="AN450" s="1069"/>
      <c r="AO450" s="1069">
        <v>28</v>
      </c>
      <c r="AP450" s="1069">
        <f>AO450*('Ввод исходных данных'!$D$83-AM450)</f>
        <v>1108.8</v>
      </c>
      <c r="AQ450" s="1064">
        <v>-13.3</v>
      </c>
      <c r="AR450" s="1064"/>
      <c r="AS450" s="1064">
        <f t="shared" si="76"/>
        <v>31</v>
      </c>
      <c r="AT450" s="1064">
        <f>AS450*('Ввод исходных данных'!$D$83-AQ450)</f>
        <v>1032.3</v>
      </c>
      <c r="AU450" s="1070">
        <v>-3.5</v>
      </c>
      <c r="AV450" s="1070"/>
      <c r="AW450" s="1070">
        <f t="shared" si="77"/>
        <v>30</v>
      </c>
      <c r="AX450" s="1070">
        <f>AW450*('Ввод исходных данных'!$D$83-AU450)</f>
        <v>705</v>
      </c>
      <c r="AY450" s="1071">
        <v>4.0999999999999996</v>
      </c>
      <c r="AZ450" s="1071"/>
      <c r="BA450" s="1071">
        <f t="shared" si="78"/>
        <v>22.5</v>
      </c>
      <c r="BB450" s="1071">
        <f>BA450*('Ввод исходных данных'!$D$83-AY450)</f>
        <v>357.75</v>
      </c>
      <c r="BC450" s="1072">
        <v>13</v>
      </c>
      <c r="BD450" s="1072"/>
      <c r="BE450" s="1072">
        <f t="shared" si="70"/>
        <v>0</v>
      </c>
      <c r="BF450" s="1073">
        <f>BE450*('Ввод исходных данных'!$D$83-BC450)</f>
        <v>0</v>
      </c>
    </row>
    <row r="451" spans="2:58" ht="15.75" customHeight="1" x14ac:dyDescent="0.25">
      <c r="B451" s="1052" t="s">
        <v>626</v>
      </c>
      <c r="C451" s="1052" t="s">
        <v>706</v>
      </c>
      <c r="D451" s="1053" t="str">
        <f t="shared" si="79"/>
        <v>Ханты-Мансийский автономный округ (Югра)Ханты- Мансийск</v>
      </c>
      <c r="E451" s="1054">
        <v>247</v>
      </c>
      <c r="F451" s="1055">
        <v>-8.8000000000000007</v>
      </c>
      <c r="G451" s="1055">
        <v>-40</v>
      </c>
      <c r="H451" s="1057">
        <v>3.1</v>
      </c>
      <c r="I451" s="1058">
        <f>E451*('Ввод исходных данных'!$D$83-F451)</f>
        <v>7113.6</v>
      </c>
      <c r="J451" s="1059" t="str">
        <f t="shared" si="69"/>
        <v>7000-8000</v>
      </c>
      <c r="K451" s="1060">
        <v>18.100000000000001</v>
      </c>
      <c r="L451" s="1060"/>
      <c r="M451" s="1061">
        <f t="shared" si="71"/>
        <v>0</v>
      </c>
      <c r="N451" s="1062">
        <f>M451*('Ввод исходных данных'!$D$83-K451)</f>
        <v>0</v>
      </c>
      <c r="O451" s="1063">
        <v>14.1</v>
      </c>
      <c r="P451" s="1063"/>
      <c r="Q451" s="1063">
        <f t="shared" si="72"/>
        <v>0</v>
      </c>
      <c r="R451" s="1063">
        <f>Q451*('Ввод исходных данных'!$D$83-O451)</f>
        <v>0</v>
      </c>
      <c r="S451" s="1064">
        <v>7.9</v>
      </c>
      <c r="T451" s="1064"/>
      <c r="U451" s="1064">
        <f t="shared" si="73"/>
        <v>17.5</v>
      </c>
      <c r="V451" s="1064">
        <f>U451*('Ввод исходных данных'!$D$83-S451)</f>
        <v>211.75</v>
      </c>
      <c r="W451" s="1065">
        <v>-0.4</v>
      </c>
      <c r="X451" s="1065"/>
      <c r="Y451" s="1065">
        <f t="shared" si="74"/>
        <v>31</v>
      </c>
      <c r="Z451" s="1065">
        <f>Y451*('Ввод исходных данных'!$D$83-W451)</f>
        <v>632.4</v>
      </c>
      <c r="AA451" s="1066">
        <v>-10.4</v>
      </c>
      <c r="AB451" s="1066"/>
      <c r="AC451" s="1066">
        <f t="shared" si="75"/>
        <v>30</v>
      </c>
      <c r="AD451" s="1066">
        <f>AC451*('Ввод исходных данных'!$D$83-AA451)</f>
        <v>912</v>
      </c>
      <c r="AE451" s="1067">
        <v>-16.899999999999999</v>
      </c>
      <c r="AF451" s="1067"/>
      <c r="AG451" s="1067">
        <v>31</v>
      </c>
      <c r="AH451" s="1067">
        <f>AG451*('Ввод исходных данных'!$D$83-AE451)</f>
        <v>1143.8999999999999</v>
      </c>
      <c r="AI451" s="1068">
        <v>-19.8</v>
      </c>
      <c r="AJ451" s="1068"/>
      <c r="AK451" s="1068">
        <v>31</v>
      </c>
      <c r="AL451" s="1068">
        <f>AK451*('Ввод исходных данных'!$D$83-AI451)</f>
        <v>1233.8</v>
      </c>
      <c r="AM451" s="1069">
        <v>-18.3</v>
      </c>
      <c r="AN451" s="1069"/>
      <c r="AO451" s="1069">
        <v>28</v>
      </c>
      <c r="AP451" s="1069">
        <f>AO451*('Ввод исходных данных'!$D$83-AM451)</f>
        <v>1072.3999999999999</v>
      </c>
      <c r="AQ451" s="1064">
        <v>-8.5</v>
      </c>
      <c r="AR451" s="1064"/>
      <c r="AS451" s="1064">
        <f t="shared" si="76"/>
        <v>31</v>
      </c>
      <c r="AT451" s="1064">
        <f>AS451*('Ввод исходных данных'!$D$83-AQ451)</f>
        <v>883.5</v>
      </c>
      <c r="AU451" s="1070">
        <v>-1.2</v>
      </c>
      <c r="AV451" s="1070"/>
      <c r="AW451" s="1070">
        <f t="shared" si="77"/>
        <v>30</v>
      </c>
      <c r="AX451" s="1070">
        <f>AW451*('Ввод исходных данных'!$D$83-AU451)</f>
        <v>636</v>
      </c>
      <c r="AY451" s="1071">
        <v>6.9</v>
      </c>
      <c r="AZ451" s="1071"/>
      <c r="BA451" s="1071">
        <f t="shared" si="78"/>
        <v>17.5</v>
      </c>
      <c r="BB451" s="1071">
        <f>BA451*('Ввод исходных данных'!$D$83-AY451)</f>
        <v>229.25</v>
      </c>
      <c r="BC451" s="1072">
        <v>14.5</v>
      </c>
      <c r="BD451" s="1072"/>
      <c r="BE451" s="1072">
        <f t="shared" si="70"/>
        <v>0</v>
      </c>
      <c r="BF451" s="1073">
        <f>BE451*('Ввод исходных данных'!$D$83-BC451)</f>
        <v>0</v>
      </c>
    </row>
    <row r="452" spans="2:58" ht="15.75" customHeight="1" x14ac:dyDescent="0.25">
      <c r="B452" s="1076" t="s">
        <v>53</v>
      </c>
      <c r="C452" s="1076" t="s">
        <v>57</v>
      </c>
      <c r="D452" s="1053" t="str">
        <f t="shared" si="79"/>
        <v>Челябинская областьВерхнеуральск</v>
      </c>
      <c r="E452" s="1054">
        <v>221</v>
      </c>
      <c r="F452" s="1055">
        <v>-7.5</v>
      </c>
      <c r="G452" s="1055">
        <v>-34</v>
      </c>
      <c r="H452" s="1057">
        <f>H453</f>
        <v>4.5</v>
      </c>
      <c r="I452" s="1058">
        <f>E452*('Ввод исходных данных'!$D$83-F452)</f>
        <v>6077.5</v>
      </c>
      <c r="J452" s="1059" t="str">
        <f t="shared" si="69"/>
        <v>6000-7000</v>
      </c>
      <c r="K452" s="1060">
        <v>17.600000000000001</v>
      </c>
      <c r="L452" s="1060"/>
      <c r="M452" s="1061">
        <f t="shared" si="71"/>
        <v>0</v>
      </c>
      <c r="N452" s="1062">
        <f>M452*('Ввод исходных данных'!$D$83-K452)</f>
        <v>0</v>
      </c>
      <c r="O452" s="1063">
        <v>15.5</v>
      </c>
      <c r="P452" s="1063"/>
      <c r="Q452" s="1063">
        <f t="shared" si="72"/>
        <v>0</v>
      </c>
      <c r="R452" s="1063">
        <f>Q452*('Ввод исходных данных'!$D$83-O452)</f>
        <v>0</v>
      </c>
      <c r="S452" s="1064">
        <v>9.8000000000000007</v>
      </c>
      <c r="T452" s="1064"/>
      <c r="U452" s="1064">
        <f t="shared" si="73"/>
        <v>4.5</v>
      </c>
      <c r="V452" s="1064">
        <f>U452*('Ввод исходных данных'!$D$83-S452)</f>
        <v>45.9</v>
      </c>
      <c r="W452" s="1065">
        <v>1.5</v>
      </c>
      <c r="X452" s="1065"/>
      <c r="Y452" s="1065">
        <f t="shared" si="74"/>
        <v>31</v>
      </c>
      <c r="Z452" s="1065">
        <f>Y452*('Ввод исходных данных'!$D$83-W452)</f>
        <v>573.5</v>
      </c>
      <c r="AA452" s="1066">
        <v>-6.5</v>
      </c>
      <c r="AB452" s="1066"/>
      <c r="AC452" s="1066">
        <f t="shared" si="75"/>
        <v>30</v>
      </c>
      <c r="AD452" s="1066">
        <f>AC452*('Ввод исходных данных'!$D$83-AA452)</f>
        <v>795</v>
      </c>
      <c r="AE452" s="1067">
        <v>-14</v>
      </c>
      <c r="AF452" s="1067"/>
      <c r="AG452" s="1067">
        <v>31</v>
      </c>
      <c r="AH452" s="1067">
        <f>AG452*('Ввод исходных данных'!$D$83-AE452)</f>
        <v>1054</v>
      </c>
      <c r="AI452" s="1068">
        <v>-16.399999999999999</v>
      </c>
      <c r="AJ452" s="1068"/>
      <c r="AK452" s="1068">
        <v>31</v>
      </c>
      <c r="AL452" s="1068">
        <f>AK452*('Ввод исходных данных'!$D$83-AI452)</f>
        <v>1128.3999999999999</v>
      </c>
      <c r="AM452" s="1069">
        <v>-15.9</v>
      </c>
      <c r="AN452" s="1069"/>
      <c r="AO452" s="1069">
        <v>28</v>
      </c>
      <c r="AP452" s="1069">
        <f>AO452*('Ввод исходных данных'!$D$83-AM452)</f>
        <v>1005.1999999999999</v>
      </c>
      <c r="AQ452" s="1064">
        <v>9</v>
      </c>
      <c r="AR452" s="1064"/>
      <c r="AS452" s="1064">
        <f t="shared" si="76"/>
        <v>31</v>
      </c>
      <c r="AT452" s="1064">
        <f>AS452*('Ввод исходных данных'!$D$83-AQ452)</f>
        <v>341</v>
      </c>
      <c r="AU452" s="1070">
        <v>2.9</v>
      </c>
      <c r="AV452" s="1070"/>
      <c r="AW452" s="1070">
        <f t="shared" si="77"/>
        <v>30</v>
      </c>
      <c r="AX452" s="1070">
        <f>AW452*('Ввод исходных данных'!$D$83-AU452)</f>
        <v>513</v>
      </c>
      <c r="AY452" s="1071">
        <v>11.1</v>
      </c>
      <c r="AZ452" s="1071"/>
      <c r="BA452" s="1071">
        <f t="shared" si="78"/>
        <v>4.5</v>
      </c>
      <c r="BB452" s="1071">
        <f>BA452*('Ввод исходных данных'!$D$83-AY452)</f>
        <v>40.050000000000004</v>
      </c>
      <c r="BC452" s="1072">
        <v>15.9</v>
      </c>
      <c r="BD452" s="1072"/>
      <c r="BE452" s="1072">
        <f t="shared" si="70"/>
        <v>0</v>
      </c>
      <c r="BF452" s="1073">
        <f>BE452*('Ввод исходных данных'!$D$83-BC452)</f>
        <v>0</v>
      </c>
    </row>
    <row r="453" spans="2:58" ht="15.75" customHeight="1" x14ac:dyDescent="0.25">
      <c r="B453" s="1052" t="s">
        <v>53</v>
      </c>
      <c r="C453" s="1052" t="s">
        <v>56</v>
      </c>
      <c r="D453" s="1053" t="str">
        <f t="shared" si="79"/>
        <v>Челябинская областьНязепетровск</v>
      </c>
      <c r="E453" s="1054">
        <v>229</v>
      </c>
      <c r="F453" s="1055">
        <v>-6.8</v>
      </c>
      <c r="G453" s="1055">
        <v>-35</v>
      </c>
      <c r="H453" s="1057">
        <f>H454</f>
        <v>4.5</v>
      </c>
      <c r="I453" s="1058">
        <f>E453*('Ввод исходных данных'!$D$83-F453)</f>
        <v>6137.2</v>
      </c>
      <c r="J453" s="1059" t="str">
        <f t="shared" si="69"/>
        <v>6000-7000</v>
      </c>
      <c r="K453" s="1060">
        <v>16.600000000000001</v>
      </c>
      <c r="L453" s="1060"/>
      <c r="M453" s="1061">
        <f t="shared" si="71"/>
        <v>0</v>
      </c>
      <c r="N453" s="1062">
        <f>M453*('Ввод исходных данных'!$D$83-K453)</f>
        <v>0</v>
      </c>
      <c r="O453" s="1063">
        <v>14.2</v>
      </c>
      <c r="P453" s="1063"/>
      <c r="Q453" s="1063">
        <f t="shared" si="72"/>
        <v>0</v>
      </c>
      <c r="R453" s="1063">
        <f>Q453*('Ввод исходных данных'!$D$83-O453)</f>
        <v>0</v>
      </c>
      <c r="S453" s="1064">
        <v>8.6</v>
      </c>
      <c r="T453" s="1064"/>
      <c r="U453" s="1064">
        <f t="shared" si="73"/>
        <v>8.5</v>
      </c>
      <c r="V453" s="1064">
        <f>U453*('Ввод исходных данных'!$D$83-S453)</f>
        <v>96.9</v>
      </c>
      <c r="W453" s="1065">
        <v>1.2</v>
      </c>
      <c r="X453" s="1065"/>
      <c r="Y453" s="1065">
        <f t="shared" si="74"/>
        <v>31</v>
      </c>
      <c r="Z453" s="1065">
        <f>Y453*('Ввод исходных данных'!$D$83-W453)</f>
        <v>582.80000000000007</v>
      </c>
      <c r="AA453" s="1066">
        <v>-7</v>
      </c>
      <c r="AB453" s="1066"/>
      <c r="AC453" s="1066">
        <f t="shared" si="75"/>
        <v>30</v>
      </c>
      <c r="AD453" s="1066">
        <f>AC453*('Ввод исходных данных'!$D$83-AA453)</f>
        <v>810</v>
      </c>
      <c r="AE453" s="1067">
        <v>-14</v>
      </c>
      <c r="AF453" s="1067"/>
      <c r="AG453" s="1067">
        <v>31</v>
      </c>
      <c r="AH453" s="1067">
        <f>AG453*('Ввод исходных данных'!$D$83-AE453)</f>
        <v>1054</v>
      </c>
      <c r="AI453" s="1068">
        <v>-16.3</v>
      </c>
      <c r="AJ453" s="1068"/>
      <c r="AK453" s="1068">
        <v>31</v>
      </c>
      <c r="AL453" s="1068">
        <f>AK453*('Ввод исходных данных'!$D$83-AI453)</f>
        <v>1125.3</v>
      </c>
      <c r="AM453" s="1069">
        <v>-14.8</v>
      </c>
      <c r="AN453" s="1069"/>
      <c r="AO453" s="1069">
        <v>28</v>
      </c>
      <c r="AP453" s="1069">
        <f>AO453*('Ввод исходных данных'!$D$83-AM453)</f>
        <v>974.39999999999986</v>
      </c>
      <c r="AQ453" s="1064">
        <v>-7.6</v>
      </c>
      <c r="AR453" s="1064"/>
      <c r="AS453" s="1064">
        <f t="shared" si="76"/>
        <v>31</v>
      </c>
      <c r="AT453" s="1064">
        <f>AS453*('Ввод исходных данных'!$D$83-AQ453)</f>
        <v>855.6</v>
      </c>
      <c r="AU453" s="1070">
        <v>2.6</v>
      </c>
      <c r="AV453" s="1070"/>
      <c r="AW453" s="1070">
        <f t="shared" si="77"/>
        <v>30</v>
      </c>
      <c r="AX453" s="1070">
        <f>AW453*('Ввод исходных данных'!$D$83-AU453)</f>
        <v>522</v>
      </c>
      <c r="AY453" s="1071">
        <v>10</v>
      </c>
      <c r="AZ453" s="1071"/>
      <c r="BA453" s="1071">
        <f t="shared" si="78"/>
        <v>8.5</v>
      </c>
      <c r="BB453" s="1071">
        <f>BA453*('Ввод исходных данных'!$D$83-AY453)</f>
        <v>85</v>
      </c>
      <c r="BC453" s="1072">
        <v>14.6</v>
      </c>
      <c r="BD453" s="1072"/>
      <c r="BE453" s="1072">
        <f t="shared" si="70"/>
        <v>0</v>
      </c>
      <c r="BF453" s="1073">
        <f>BE453*('Ввод исходных данных'!$D$83-BC453)</f>
        <v>0</v>
      </c>
    </row>
    <row r="454" spans="2:58" ht="15.75" customHeight="1" x14ac:dyDescent="0.25">
      <c r="B454" s="1076" t="s">
        <v>53</v>
      </c>
      <c r="C454" s="1076" t="s">
        <v>54</v>
      </c>
      <c r="D454" s="1053" t="str">
        <f t="shared" si="79"/>
        <v>Челябинская областьЧелябинск</v>
      </c>
      <c r="E454" s="1054">
        <v>218</v>
      </c>
      <c r="F454" s="1055">
        <v>-6.5</v>
      </c>
      <c r="G454" s="1055">
        <v>-34</v>
      </c>
      <c r="H454" s="1057">
        <v>4.5</v>
      </c>
      <c r="I454" s="1058">
        <f>E454*('Ввод исходных данных'!$D$83-F454)</f>
        <v>5777</v>
      </c>
      <c r="J454" s="1059" t="str">
        <f t="shared" si="69"/>
        <v>5000-6000</v>
      </c>
      <c r="K454" s="1060">
        <v>18.399999999999999</v>
      </c>
      <c r="L454" s="1060"/>
      <c r="M454" s="1061">
        <f t="shared" si="71"/>
        <v>0</v>
      </c>
      <c r="N454" s="1062">
        <f>M454*('Ввод исходных данных'!$D$83-K454)</f>
        <v>0</v>
      </c>
      <c r="O454" s="1063">
        <v>16.2</v>
      </c>
      <c r="P454" s="1063"/>
      <c r="Q454" s="1063">
        <f t="shared" si="72"/>
        <v>0</v>
      </c>
      <c r="R454" s="1063">
        <f>Q454*('Ввод исходных данных'!$D$83-O454)</f>
        <v>0</v>
      </c>
      <c r="S454" s="1064">
        <v>10.7</v>
      </c>
      <c r="T454" s="1064"/>
      <c r="U454" s="1064">
        <f t="shared" si="73"/>
        <v>3</v>
      </c>
      <c r="V454" s="1064">
        <f>U454*('Ввод исходных данных'!$D$83-S454)</f>
        <v>27.900000000000002</v>
      </c>
      <c r="W454" s="1065">
        <v>2.4</v>
      </c>
      <c r="X454" s="1065"/>
      <c r="Y454" s="1065">
        <f t="shared" si="74"/>
        <v>31</v>
      </c>
      <c r="Z454" s="1065">
        <f>Y454*('Ввод исходных данных'!$D$83-W454)</f>
        <v>545.6</v>
      </c>
      <c r="AA454" s="1066">
        <v>-6.2</v>
      </c>
      <c r="AB454" s="1066"/>
      <c r="AC454" s="1066">
        <f t="shared" si="75"/>
        <v>30</v>
      </c>
      <c r="AD454" s="1066">
        <f>AC454*('Ввод исходных данных'!$D$83-AA454)</f>
        <v>786</v>
      </c>
      <c r="AE454" s="1067">
        <v>-12.9</v>
      </c>
      <c r="AF454" s="1067"/>
      <c r="AG454" s="1067">
        <v>31</v>
      </c>
      <c r="AH454" s="1067">
        <f>AG454*('Ввод исходных данных'!$D$83-AE454)</f>
        <v>1019.9</v>
      </c>
      <c r="AI454" s="1068">
        <v>-15.8</v>
      </c>
      <c r="AJ454" s="1068"/>
      <c r="AK454" s="1068">
        <v>31</v>
      </c>
      <c r="AL454" s="1068">
        <f>AK454*('Ввод исходных данных'!$D$83-AI454)</f>
        <v>1109.8</v>
      </c>
      <c r="AM454" s="1069">
        <v>-14.3</v>
      </c>
      <c r="AN454" s="1069"/>
      <c r="AO454" s="1069">
        <v>28</v>
      </c>
      <c r="AP454" s="1069">
        <f>AO454*('Ввод исходных данных'!$D$83-AM454)</f>
        <v>960.39999999999986</v>
      </c>
      <c r="AQ454" s="1064">
        <v>-7.4</v>
      </c>
      <c r="AR454" s="1064"/>
      <c r="AS454" s="1064">
        <f t="shared" si="76"/>
        <v>31</v>
      </c>
      <c r="AT454" s="1064">
        <f>AS454*('Ввод исходных данных'!$D$83-AQ454)</f>
        <v>849.4</v>
      </c>
      <c r="AU454" s="1070">
        <v>3.9</v>
      </c>
      <c r="AV454" s="1070"/>
      <c r="AW454" s="1070">
        <f t="shared" si="77"/>
        <v>30</v>
      </c>
      <c r="AX454" s="1070">
        <f>AW454*('Ввод исходных данных'!$D$83-AU454)</f>
        <v>483.00000000000006</v>
      </c>
      <c r="AY454" s="1071">
        <v>11.9</v>
      </c>
      <c r="AZ454" s="1071"/>
      <c r="BA454" s="1071">
        <f t="shared" si="78"/>
        <v>3</v>
      </c>
      <c r="BB454" s="1071">
        <f>BA454*('Ввод исходных данных'!$D$83-AY454)</f>
        <v>24.299999999999997</v>
      </c>
      <c r="BC454" s="1072">
        <v>16.8</v>
      </c>
      <c r="BD454" s="1072"/>
      <c r="BE454" s="1072">
        <f t="shared" si="70"/>
        <v>0</v>
      </c>
      <c r="BF454" s="1073">
        <f>BE454*('Ввод исходных данных'!$D$83-BC454)</f>
        <v>0</v>
      </c>
    </row>
    <row r="455" spans="2:58" ht="15.75" customHeight="1" x14ac:dyDescent="0.25">
      <c r="B455" s="1052" t="s">
        <v>627</v>
      </c>
      <c r="C455" s="1052" t="s">
        <v>328</v>
      </c>
      <c r="D455" s="1053" t="str">
        <f t="shared" si="79"/>
        <v>Чеченская РеспубликаГрозный</v>
      </c>
      <c r="E455" s="1054">
        <v>159</v>
      </c>
      <c r="F455" s="1055">
        <v>0.9</v>
      </c>
      <c r="G455" s="1055">
        <v>-17</v>
      </c>
      <c r="H455" s="1057">
        <v>3.8</v>
      </c>
      <c r="I455" s="1058">
        <f>E455*('Ввод исходных данных'!$D$83-F455)</f>
        <v>3036.9</v>
      </c>
      <c r="J455" s="1059" t="str">
        <f t="shared" si="69"/>
        <v>3000-4000</v>
      </c>
      <c r="K455" s="1060">
        <v>24</v>
      </c>
      <c r="L455" s="1060"/>
      <c r="M455" s="1061">
        <f t="shared" si="71"/>
        <v>0</v>
      </c>
      <c r="N455" s="1062">
        <f>M455*('Ввод исходных данных'!$D$83-K455)</f>
        <v>0</v>
      </c>
      <c r="O455" s="1063">
        <v>22.9</v>
      </c>
      <c r="P455" s="1063"/>
      <c r="Q455" s="1063">
        <f t="shared" si="72"/>
        <v>0</v>
      </c>
      <c r="R455" s="1063">
        <f>Q455*('Ввод исходных данных'!$D$83-O455)</f>
        <v>0</v>
      </c>
      <c r="S455" s="1064">
        <v>18</v>
      </c>
      <c r="T455" s="1064"/>
      <c r="U455" s="1064">
        <f t="shared" si="73"/>
        <v>0</v>
      </c>
      <c r="V455" s="1064">
        <f>U455*('Ввод исходных данных'!$D$83-S455)</f>
        <v>0</v>
      </c>
      <c r="W455" s="1065">
        <v>10.8</v>
      </c>
      <c r="X455" s="1065"/>
      <c r="Y455" s="1065">
        <f t="shared" si="74"/>
        <v>4</v>
      </c>
      <c r="Z455" s="1065">
        <f>Y455*('Ввод исходных данных'!$D$83-W455)</f>
        <v>36.799999999999997</v>
      </c>
      <c r="AA455" s="1066">
        <v>4.7</v>
      </c>
      <c r="AB455" s="1066"/>
      <c r="AC455" s="1066">
        <f t="shared" si="75"/>
        <v>30</v>
      </c>
      <c r="AD455" s="1066">
        <f>AC455*('Ввод исходных данных'!$D$83-AA455)</f>
        <v>459</v>
      </c>
      <c r="AE455" s="1067">
        <v>-0.3</v>
      </c>
      <c r="AF455" s="1067"/>
      <c r="AG455" s="1067">
        <v>31</v>
      </c>
      <c r="AH455" s="1067">
        <f>AG455*('Ввод исходных данных'!$D$83-AE455)</f>
        <v>629.30000000000007</v>
      </c>
      <c r="AI455" s="1068">
        <v>-2.2000000000000002</v>
      </c>
      <c r="AJ455" s="1068"/>
      <c r="AK455" s="1068">
        <v>31</v>
      </c>
      <c r="AL455" s="1068">
        <f>AK455*('Ввод исходных данных'!$D$83-AI455)</f>
        <v>688.19999999999993</v>
      </c>
      <c r="AM455" s="1069">
        <v>-1.9</v>
      </c>
      <c r="AN455" s="1069"/>
      <c r="AO455" s="1069">
        <v>28</v>
      </c>
      <c r="AP455" s="1069">
        <f>AO455*('Ввод исходных данных'!$D$83-AM455)</f>
        <v>613.19999999999993</v>
      </c>
      <c r="AQ455" s="1064">
        <v>3.5</v>
      </c>
      <c r="AR455" s="1064"/>
      <c r="AS455" s="1064">
        <f t="shared" si="76"/>
        <v>31</v>
      </c>
      <c r="AT455" s="1064">
        <f>AS455*('Ввод исходных данных'!$D$83-AQ455)</f>
        <v>511.5</v>
      </c>
      <c r="AU455" s="1070">
        <v>10.9</v>
      </c>
      <c r="AV455" s="1070"/>
      <c r="AW455" s="1070">
        <f t="shared" si="77"/>
        <v>4</v>
      </c>
      <c r="AX455" s="1070">
        <f>AW455*('Ввод исходных данных'!$D$83-AU455)</f>
        <v>36.4</v>
      </c>
      <c r="AY455" s="1071">
        <v>16.5</v>
      </c>
      <c r="AZ455" s="1071"/>
      <c r="BA455" s="1071">
        <f t="shared" si="78"/>
        <v>0</v>
      </c>
      <c r="BB455" s="1071">
        <f>BA455*('Ввод исходных данных'!$D$83-AY455)</f>
        <v>0</v>
      </c>
      <c r="BC455" s="1072">
        <v>21</v>
      </c>
      <c r="BD455" s="1072"/>
      <c r="BE455" s="1072">
        <f t="shared" si="70"/>
        <v>0</v>
      </c>
      <c r="BF455" s="1073">
        <f>BE455*('Ввод исходных данных'!$D$83-BC455)</f>
        <v>0</v>
      </c>
    </row>
    <row r="456" spans="2:58" ht="15.75" customHeight="1" x14ac:dyDescent="0.25">
      <c r="B456" s="1076" t="s">
        <v>628</v>
      </c>
      <c r="C456" s="1076" t="s">
        <v>707</v>
      </c>
      <c r="D456" s="1053" t="str">
        <f t="shared" si="79"/>
        <v>Чувашская Республика Порецкое</v>
      </c>
      <c r="E456" s="1054">
        <v>207</v>
      </c>
      <c r="F456" s="1055">
        <v>-4.5</v>
      </c>
      <c r="G456" s="1055">
        <v>-30</v>
      </c>
      <c r="H456" s="1057">
        <v>5.6</v>
      </c>
      <c r="I456" s="1058">
        <f>E456*('Ввод исходных данных'!$D$83-F456)</f>
        <v>5071.5</v>
      </c>
      <c r="J456" s="1059" t="str">
        <f t="shared" si="69"/>
        <v>5000-6000</v>
      </c>
      <c r="K456" s="1060">
        <v>18.899999999999999</v>
      </c>
      <c r="L456" s="1060"/>
      <c r="M456" s="1061">
        <f t="shared" si="71"/>
        <v>0</v>
      </c>
      <c r="N456" s="1062">
        <f>M456*('Ввод исходных данных'!$D$83-K456)</f>
        <v>0</v>
      </c>
      <c r="O456" s="1063">
        <v>16.899999999999999</v>
      </c>
      <c r="P456" s="1063"/>
      <c r="Q456" s="1063">
        <f t="shared" si="72"/>
        <v>0</v>
      </c>
      <c r="R456" s="1063">
        <f>Q456*('Ввод исходных данных'!$D$83-O456)</f>
        <v>0</v>
      </c>
      <c r="S456" s="1064">
        <v>11.2</v>
      </c>
      <c r="T456" s="1064"/>
      <c r="U456" s="1064">
        <f t="shared" si="73"/>
        <v>0</v>
      </c>
      <c r="V456" s="1064">
        <f>U456*('Ввод исходных данных'!$D$83-S456)</f>
        <v>0</v>
      </c>
      <c r="W456" s="1065">
        <v>4.0999999999999996</v>
      </c>
      <c r="X456" s="1065"/>
      <c r="Y456" s="1065">
        <f t="shared" si="74"/>
        <v>28</v>
      </c>
      <c r="Z456" s="1065">
        <f>Y456*('Ввод исходных данных'!$D$83-W456)</f>
        <v>445.2</v>
      </c>
      <c r="AA456" s="1066">
        <v>-3</v>
      </c>
      <c r="AB456" s="1066"/>
      <c r="AC456" s="1066">
        <f t="shared" si="75"/>
        <v>30</v>
      </c>
      <c r="AD456" s="1066">
        <f>AC456*('Ввод исходных данных'!$D$83-AA456)</f>
        <v>690</v>
      </c>
      <c r="AE456" s="1067">
        <v>-8.5</v>
      </c>
      <c r="AF456" s="1067"/>
      <c r="AG456" s="1067">
        <v>31</v>
      </c>
      <c r="AH456" s="1067">
        <f>AG456*('Ввод исходных данных'!$D$83-AE456)</f>
        <v>883.5</v>
      </c>
      <c r="AI456" s="1068">
        <v>-10.8</v>
      </c>
      <c r="AJ456" s="1068"/>
      <c r="AK456" s="1068">
        <v>31</v>
      </c>
      <c r="AL456" s="1068">
        <f>AK456*('Ввод исходных данных'!$D$83-AI456)</f>
        <v>954.80000000000007</v>
      </c>
      <c r="AM456" s="1069">
        <v>-10.5</v>
      </c>
      <c r="AN456" s="1069"/>
      <c r="AO456" s="1069">
        <v>28</v>
      </c>
      <c r="AP456" s="1069">
        <f>AO456*('Ввод исходных данных'!$D$83-AM456)</f>
        <v>854</v>
      </c>
      <c r="AQ456" s="1064">
        <v>-4.3</v>
      </c>
      <c r="AR456" s="1064"/>
      <c r="AS456" s="1064">
        <f t="shared" si="76"/>
        <v>31</v>
      </c>
      <c r="AT456" s="1064">
        <f>AS456*('Ввод исходных данных'!$D$83-AQ456)</f>
        <v>753.30000000000007</v>
      </c>
      <c r="AU456" s="1070">
        <v>5.7</v>
      </c>
      <c r="AV456" s="1070"/>
      <c r="AW456" s="1070">
        <f t="shared" si="77"/>
        <v>28</v>
      </c>
      <c r="AX456" s="1070">
        <f>AW456*('Ввод исходных данных'!$D$83-AU456)</f>
        <v>400.40000000000003</v>
      </c>
      <c r="AY456" s="1071">
        <v>13.2</v>
      </c>
      <c r="AZ456" s="1071"/>
      <c r="BA456" s="1071">
        <f t="shared" si="78"/>
        <v>0</v>
      </c>
      <c r="BB456" s="1071">
        <f>BA456*('Ввод исходных данных'!$D$83-AY456)</f>
        <v>0</v>
      </c>
      <c r="BC456" s="1072">
        <v>17</v>
      </c>
      <c r="BD456" s="1072"/>
      <c r="BE456" s="1072">
        <f t="shared" si="70"/>
        <v>0</v>
      </c>
      <c r="BF456" s="1073">
        <f>BE456*('Ввод исходных данных'!$D$83-BC456)</f>
        <v>0</v>
      </c>
    </row>
    <row r="457" spans="2:58" ht="15.75" customHeight="1" x14ac:dyDescent="0.25">
      <c r="B457" s="1052" t="s">
        <v>628</v>
      </c>
      <c r="C457" s="1052" t="s">
        <v>66</v>
      </c>
      <c r="D457" s="1053" t="str">
        <f t="shared" si="79"/>
        <v>Чувашская Республика Чебоксары</v>
      </c>
      <c r="E457" s="1054">
        <v>217</v>
      </c>
      <c r="F457" s="1055">
        <v>-4.9000000000000004</v>
      </c>
      <c r="G457" s="1055">
        <v>-32</v>
      </c>
      <c r="H457" s="1057">
        <f>H456</f>
        <v>5.6</v>
      </c>
      <c r="I457" s="1058">
        <f>E457*('Ввод исходных данных'!$D$83-F457)</f>
        <v>5403.2999999999993</v>
      </c>
      <c r="J457" s="1059" t="str">
        <f t="shared" ref="J457:J475" si="81">CONCATENATE(ROUNDDOWN(I457/1000,0)*1000,"-",ROUNDUP(I457/1000,0)*1000)</f>
        <v>5000-6000</v>
      </c>
      <c r="K457" s="1060">
        <v>18.600000000000001</v>
      </c>
      <c r="L457" s="1060"/>
      <c r="M457" s="1061">
        <f t="shared" si="71"/>
        <v>0</v>
      </c>
      <c r="N457" s="1062">
        <f>M457*('Ввод исходных данных'!$D$83-K457)</f>
        <v>0</v>
      </c>
      <c r="O457" s="1063">
        <v>16.899999999999999</v>
      </c>
      <c r="P457" s="1063"/>
      <c r="Q457" s="1063">
        <f t="shared" si="72"/>
        <v>0</v>
      </c>
      <c r="R457" s="1063">
        <f>Q457*('Ввод исходных данных'!$D$83-O457)</f>
        <v>0</v>
      </c>
      <c r="S457" s="1064">
        <v>10.8</v>
      </c>
      <c r="T457" s="1064"/>
      <c r="U457" s="1064">
        <f t="shared" si="73"/>
        <v>2.5</v>
      </c>
      <c r="V457" s="1064">
        <f>U457*('Ввод исходных данных'!$D$83-S457)</f>
        <v>23</v>
      </c>
      <c r="W457" s="1065">
        <v>3.3</v>
      </c>
      <c r="X457" s="1065"/>
      <c r="Y457" s="1065">
        <f t="shared" si="74"/>
        <v>31</v>
      </c>
      <c r="Z457" s="1065">
        <f>Y457*('Ввод исходных данных'!$D$83-W457)</f>
        <v>517.69999999999993</v>
      </c>
      <c r="AA457" s="1066">
        <v>-3.7</v>
      </c>
      <c r="AB457" s="1066"/>
      <c r="AC457" s="1066">
        <f t="shared" si="75"/>
        <v>30</v>
      </c>
      <c r="AD457" s="1066">
        <f>AC457*('Ввод исходных данных'!$D$83-AA457)</f>
        <v>711</v>
      </c>
      <c r="AE457" s="1067">
        <v>-10</v>
      </c>
      <c r="AF457" s="1067"/>
      <c r="AG457" s="1067">
        <v>31</v>
      </c>
      <c r="AH457" s="1067">
        <f>AG457*('Ввод исходных данных'!$D$83-AE457)</f>
        <v>930</v>
      </c>
      <c r="AI457" s="1068">
        <v>-13</v>
      </c>
      <c r="AJ457" s="1068"/>
      <c r="AK457" s="1068">
        <v>31</v>
      </c>
      <c r="AL457" s="1068">
        <f>AK457*('Ввод исходных данных'!$D$83-AI457)</f>
        <v>1023</v>
      </c>
      <c r="AM457" s="1069">
        <v>-12.4</v>
      </c>
      <c r="AN457" s="1069"/>
      <c r="AO457" s="1069">
        <v>28</v>
      </c>
      <c r="AP457" s="1069">
        <f>AO457*('Ввод исходных данных'!$D$83-AM457)</f>
        <v>907.19999999999993</v>
      </c>
      <c r="AQ457" s="1064">
        <v>-6</v>
      </c>
      <c r="AR457" s="1064"/>
      <c r="AS457" s="1064">
        <f t="shared" si="76"/>
        <v>31</v>
      </c>
      <c r="AT457" s="1064">
        <f>AS457*('Ввод исходных данных'!$D$83-AQ457)</f>
        <v>806</v>
      </c>
      <c r="AU457" s="1070">
        <v>3.6</v>
      </c>
      <c r="AV457" s="1070"/>
      <c r="AW457" s="1070">
        <f t="shared" si="77"/>
        <v>30</v>
      </c>
      <c r="AX457" s="1070">
        <f>AW457*('Ввод исходных данных'!$D$83-AU457)</f>
        <v>491.99999999999994</v>
      </c>
      <c r="AY457" s="1071">
        <v>12</v>
      </c>
      <c r="AZ457" s="1071"/>
      <c r="BA457" s="1071">
        <f t="shared" si="78"/>
        <v>2.5</v>
      </c>
      <c r="BB457" s="1071">
        <f>BA457*('Ввод исходных данных'!$D$83-AY457)</f>
        <v>20</v>
      </c>
      <c r="BC457" s="1072">
        <v>16.5</v>
      </c>
      <c r="BD457" s="1072"/>
      <c r="BE457" s="1072">
        <f t="shared" si="70"/>
        <v>0</v>
      </c>
      <c r="BF457" s="1073">
        <f>BE457*('Ввод исходных данных'!$D$83-BC457)</f>
        <v>0</v>
      </c>
    </row>
    <row r="458" spans="2:58" ht="15.75" customHeight="1" x14ac:dyDescent="0.25">
      <c r="B458" s="1076" t="s">
        <v>58</v>
      </c>
      <c r="C458" s="1076" t="s">
        <v>59</v>
      </c>
      <c r="D458" s="1053" t="str">
        <f t="shared" si="79"/>
        <v>Чукотский автономный округАнадырь</v>
      </c>
      <c r="E458" s="1054">
        <v>299</v>
      </c>
      <c r="F458" s="1055">
        <v>-11.3</v>
      </c>
      <c r="G458" s="1055">
        <v>-38</v>
      </c>
      <c r="H458" s="1057">
        <v>6.3</v>
      </c>
      <c r="I458" s="1058">
        <f>E458*('Ввод исходных данных'!$D$83-F458)</f>
        <v>9358.7000000000007</v>
      </c>
      <c r="J458" s="1059" t="str">
        <f t="shared" si="81"/>
        <v>9000-10000</v>
      </c>
      <c r="K458" s="1060">
        <v>11.2</v>
      </c>
      <c r="L458" s="1060"/>
      <c r="M458" s="1061">
        <f t="shared" si="71"/>
        <v>0</v>
      </c>
      <c r="N458" s="1062">
        <f>M458*('Ввод исходных данных'!$D$83-K458)</f>
        <v>0</v>
      </c>
      <c r="O458" s="1063">
        <v>10</v>
      </c>
      <c r="P458" s="1063"/>
      <c r="Q458" s="1063">
        <f t="shared" si="72"/>
        <v>13</v>
      </c>
      <c r="R458" s="1063">
        <f>Q458*('Ввод исходных данных'!$D$83-O458)</f>
        <v>130</v>
      </c>
      <c r="S458" s="1064">
        <v>4.5</v>
      </c>
      <c r="T458" s="1064"/>
      <c r="U458" s="1064">
        <f t="shared" si="73"/>
        <v>30</v>
      </c>
      <c r="V458" s="1064">
        <f>U458*('Ввод исходных данных'!$D$83-S458)</f>
        <v>465</v>
      </c>
      <c r="W458" s="1065">
        <v>-5.3</v>
      </c>
      <c r="X458" s="1065"/>
      <c r="Y458" s="1065">
        <f t="shared" si="74"/>
        <v>31</v>
      </c>
      <c r="Z458" s="1065">
        <f>Y458*('Ввод исходных данных'!$D$83-W458)</f>
        <v>784.30000000000007</v>
      </c>
      <c r="AA458" s="1066">
        <v>-14.1</v>
      </c>
      <c r="AB458" s="1066"/>
      <c r="AC458" s="1066">
        <f t="shared" si="75"/>
        <v>30</v>
      </c>
      <c r="AD458" s="1066">
        <f>AC458*('Ввод исходных данных'!$D$83-AA458)</f>
        <v>1023</v>
      </c>
      <c r="AE458" s="1067">
        <v>-20.100000000000001</v>
      </c>
      <c r="AF458" s="1067"/>
      <c r="AG458" s="1067">
        <v>31</v>
      </c>
      <c r="AH458" s="1067">
        <f>AG458*('Ввод исходных данных'!$D$83-AE458)</f>
        <v>1243.1000000000001</v>
      </c>
      <c r="AI458" s="1068">
        <v>-21.1</v>
      </c>
      <c r="AJ458" s="1068"/>
      <c r="AK458" s="1068">
        <v>31</v>
      </c>
      <c r="AL458" s="1068">
        <f>AK458*('Ввод исходных данных'!$D$83-AI458)</f>
        <v>1274.1000000000001</v>
      </c>
      <c r="AM458" s="1069">
        <v>-22.2</v>
      </c>
      <c r="AN458" s="1069"/>
      <c r="AO458" s="1069">
        <v>28</v>
      </c>
      <c r="AP458" s="1069">
        <f>AO458*('Ввод исходных данных'!$D$83-AM458)</f>
        <v>1181.6000000000001</v>
      </c>
      <c r="AQ458" s="1064">
        <v>-19.600000000000001</v>
      </c>
      <c r="AR458" s="1064"/>
      <c r="AS458" s="1064">
        <f t="shared" si="76"/>
        <v>31</v>
      </c>
      <c r="AT458" s="1064">
        <f>AS458*('Ввод исходных данных'!$D$83-AQ458)</f>
        <v>1227.6000000000001</v>
      </c>
      <c r="AU458" s="1070">
        <v>-13.4</v>
      </c>
      <c r="AV458" s="1070"/>
      <c r="AW458" s="1070">
        <f t="shared" si="77"/>
        <v>30</v>
      </c>
      <c r="AX458" s="1070">
        <f>AW458*('Ввод исходных данных'!$D$83-AU458)</f>
        <v>1002</v>
      </c>
      <c r="AY458" s="1071">
        <v>-2.1</v>
      </c>
      <c r="AZ458" s="1071"/>
      <c r="BA458" s="1071">
        <f t="shared" si="78"/>
        <v>31</v>
      </c>
      <c r="BB458" s="1071">
        <f>BA458*('Ввод исходных данных'!$D$83-AY458)</f>
        <v>685.1</v>
      </c>
      <c r="BC458" s="1072">
        <v>5.9</v>
      </c>
      <c r="BD458" s="1072"/>
      <c r="BE458" s="1072">
        <f t="shared" ref="BE458:BE476" si="82">IF((E458-273)&gt;0,IF((E458-273)/2&gt;30,30,(E458-273)/2),0)</f>
        <v>13</v>
      </c>
      <c r="BF458" s="1073">
        <f>BE458*('Ввод исходных данных'!$D$83-BC458)</f>
        <v>183.29999999999998</v>
      </c>
    </row>
    <row r="459" spans="2:58" ht="15.75" customHeight="1" x14ac:dyDescent="0.25">
      <c r="B459" s="1052" t="s">
        <v>58</v>
      </c>
      <c r="C459" s="1052" t="s">
        <v>60</v>
      </c>
      <c r="D459" s="1053" t="str">
        <f t="shared" si="79"/>
        <v>Чукотский автономный округБерезово</v>
      </c>
      <c r="E459" s="1054">
        <v>296</v>
      </c>
      <c r="F459" s="1055">
        <v>-13.6</v>
      </c>
      <c r="G459" s="1055">
        <v>-50</v>
      </c>
      <c r="H459" s="1057">
        <f>H460</f>
        <v>4</v>
      </c>
      <c r="I459" s="1058">
        <f>E459*('Ввод исходных данных'!$D$83-F459)</f>
        <v>9945.6</v>
      </c>
      <c r="J459" s="1059" t="str">
        <f t="shared" si="81"/>
        <v>9000-10000</v>
      </c>
      <c r="K459" s="1060">
        <v>12.1</v>
      </c>
      <c r="L459" s="1060"/>
      <c r="M459" s="1061">
        <f t="shared" ref="M459:M522" si="83">MAX(0,E459-Q459-U459-Y459-AC459-AG459-AK459-AO459-AS459-AW459-BA459-BE459)</f>
        <v>0</v>
      </c>
      <c r="N459" s="1062">
        <f>M459*('Ввод исходных данных'!$D$83-K459)</f>
        <v>0</v>
      </c>
      <c r="O459" s="1063">
        <v>9.5</v>
      </c>
      <c r="P459" s="1063"/>
      <c r="Q459" s="1063">
        <f t="shared" ref="Q459:Q522" si="84">IF((E459-273)&gt;0,IF((E459-273)/2&gt;31,31,(E459-273)/2),0)</f>
        <v>11.5</v>
      </c>
      <c r="R459" s="1063">
        <f>Q459*('Ввод исходных данных'!$D$83-O459)</f>
        <v>120.75</v>
      </c>
      <c r="S459" s="1064">
        <v>3.1</v>
      </c>
      <c r="T459" s="1064"/>
      <c r="U459" s="1064">
        <f t="shared" ref="U459:U522" si="85">IF((E459-212)&gt;0,IF((E459-212)/2&gt;30,30,(E459-212)/2),0)</f>
        <v>30</v>
      </c>
      <c r="V459" s="1064">
        <f>U459*('Ввод исходных данных'!$D$83-S459)</f>
        <v>506.99999999999994</v>
      </c>
      <c r="W459" s="1065">
        <v>-8.6999999999999993</v>
      </c>
      <c r="X459" s="1065"/>
      <c r="Y459" s="1065">
        <f t="shared" ref="Y459:Y522" si="86">IF((E459-151)&gt;0,IF((E459-151)/2&gt;31,31,(E459-151)/2),0)</f>
        <v>31</v>
      </c>
      <c r="Z459" s="1065">
        <f>Y459*('Ввод исходных данных'!$D$83-W459)</f>
        <v>889.69999999999993</v>
      </c>
      <c r="AA459" s="1066">
        <v>-18.7</v>
      </c>
      <c r="AB459" s="1066"/>
      <c r="AC459" s="1066">
        <f t="shared" ref="AC459:AC522" si="87">IF((E459-90)/2&gt;30,30,(E459-90)/2)</f>
        <v>30</v>
      </c>
      <c r="AD459" s="1066">
        <f>AC459*('Ввод исходных данных'!$D$83-AA459)</f>
        <v>1161</v>
      </c>
      <c r="AE459" s="1067">
        <v>-25.3</v>
      </c>
      <c r="AF459" s="1067"/>
      <c r="AG459" s="1067">
        <v>31</v>
      </c>
      <c r="AH459" s="1067">
        <f>AG459*('Ввод исходных данных'!$D$83-AE459)</f>
        <v>1404.3</v>
      </c>
      <c r="AI459" s="1068">
        <v>-22.7</v>
      </c>
      <c r="AJ459" s="1068"/>
      <c r="AK459" s="1068">
        <v>31</v>
      </c>
      <c r="AL459" s="1068">
        <f>AK459*('Ввод исходных данных'!$D$83-AI459)</f>
        <v>1323.7</v>
      </c>
      <c r="AM459" s="1069">
        <v>-26.2</v>
      </c>
      <c r="AN459" s="1069"/>
      <c r="AO459" s="1069">
        <v>28</v>
      </c>
      <c r="AP459" s="1069">
        <f>AO459*('Ввод исходных данных'!$D$83-AM459)</f>
        <v>1293.6000000000001</v>
      </c>
      <c r="AQ459" s="1064">
        <v>-23.4</v>
      </c>
      <c r="AR459" s="1064"/>
      <c r="AS459" s="1064">
        <f t="shared" ref="AS459:AS522" si="88">IF((E459-90)/2&gt;31,31,(E459-90)/2)</f>
        <v>31</v>
      </c>
      <c r="AT459" s="1064">
        <f>AS459*('Ввод исходных данных'!$D$83-AQ459)</f>
        <v>1345.3999999999999</v>
      </c>
      <c r="AU459" s="1070">
        <v>-14.4</v>
      </c>
      <c r="AV459" s="1070"/>
      <c r="AW459" s="1070">
        <f t="shared" ref="AW459:AW522" si="89">IF((E459-151)&gt;0,IF((E459-151)/2&gt;30,30,(E459-151)/2),0)</f>
        <v>30</v>
      </c>
      <c r="AX459" s="1070">
        <f>AW459*('Ввод исходных данных'!$D$83-AU459)</f>
        <v>1032</v>
      </c>
      <c r="AY459" s="1071">
        <v>-2</v>
      </c>
      <c r="AZ459" s="1071"/>
      <c r="BA459" s="1071">
        <f t="shared" ref="BA459:BA522" si="90">IF((E459-212)&gt;0,IF((E459-212)/2&gt;31,31,(E459-212)/2),0)</f>
        <v>31</v>
      </c>
      <c r="BB459" s="1071">
        <f>BA459*('Ввод исходных данных'!$D$83-AY459)</f>
        <v>682</v>
      </c>
      <c r="BC459" s="1072">
        <v>8.6</v>
      </c>
      <c r="BD459" s="1072"/>
      <c r="BE459" s="1072">
        <f t="shared" si="82"/>
        <v>11.5</v>
      </c>
      <c r="BF459" s="1073">
        <f>BE459*('Ввод исходных данных'!$D$83-BC459)</f>
        <v>131.1</v>
      </c>
    </row>
    <row r="460" spans="2:58" ht="15.75" customHeight="1" x14ac:dyDescent="0.25">
      <c r="B460" s="1076" t="s">
        <v>58</v>
      </c>
      <c r="C460" s="1076" t="s">
        <v>62</v>
      </c>
      <c r="D460" s="1053" t="str">
        <f t="shared" si="79"/>
        <v>Чукотский автономный округМарково</v>
      </c>
      <c r="E460" s="1054">
        <v>274</v>
      </c>
      <c r="F460" s="1055">
        <v>-15.3</v>
      </c>
      <c r="G460" s="1055">
        <v>-47</v>
      </c>
      <c r="H460" s="1057">
        <v>4</v>
      </c>
      <c r="I460" s="1058">
        <f>E460*('Ввод исходных данных'!$D$83-F460)</f>
        <v>9672.1999999999989</v>
      </c>
      <c r="J460" s="1059" t="str">
        <f t="shared" si="81"/>
        <v>9000-10000</v>
      </c>
      <c r="K460" s="1060">
        <v>18</v>
      </c>
      <c r="L460" s="1060"/>
      <c r="M460" s="1061">
        <f t="shared" si="83"/>
        <v>0</v>
      </c>
      <c r="N460" s="1062">
        <f>M460*('Ввод исходных данных'!$D$83-K460)</f>
        <v>0</v>
      </c>
      <c r="O460" s="1063">
        <v>14.7</v>
      </c>
      <c r="P460" s="1063"/>
      <c r="Q460" s="1063">
        <f t="shared" si="84"/>
        <v>0.5</v>
      </c>
      <c r="R460" s="1063">
        <f>Q460*('Ввод исходных данных'!$D$83-O460)</f>
        <v>2.6500000000000004</v>
      </c>
      <c r="S460" s="1064">
        <v>7.1</v>
      </c>
      <c r="T460" s="1064"/>
      <c r="U460" s="1064">
        <f t="shared" si="85"/>
        <v>30</v>
      </c>
      <c r="V460" s="1064">
        <f>U460*('Ввод исходных данных'!$D$83-S460)</f>
        <v>387</v>
      </c>
      <c r="W460" s="1065">
        <v>-7.9</v>
      </c>
      <c r="X460" s="1065"/>
      <c r="Y460" s="1065">
        <f t="shared" si="86"/>
        <v>31</v>
      </c>
      <c r="Z460" s="1065">
        <f>Y460*('Ввод исходных данных'!$D$83-W460)</f>
        <v>864.9</v>
      </c>
      <c r="AA460" s="1066">
        <v>-19</v>
      </c>
      <c r="AB460" s="1066"/>
      <c r="AC460" s="1066">
        <f t="shared" si="87"/>
        <v>30</v>
      </c>
      <c r="AD460" s="1066">
        <f>AC460*('Ввод исходных данных'!$D$83-AA460)</f>
        <v>1170</v>
      </c>
      <c r="AE460" s="1067">
        <v>-25.4</v>
      </c>
      <c r="AF460" s="1067"/>
      <c r="AG460" s="1067">
        <v>31</v>
      </c>
      <c r="AH460" s="1067">
        <f>AG460*('Ввод исходных данных'!$D$83-AE460)</f>
        <v>1407.3999999999999</v>
      </c>
      <c r="AI460" s="1068">
        <v>-25.9</v>
      </c>
      <c r="AJ460" s="1068"/>
      <c r="AK460" s="1068">
        <v>31</v>
      </c>
      <c r="AL460" s="1068">
        <f>AK460*('Ввод исходных данных'!$D$83-AI460)</f>
        <v>1422.8999999999999</v>
      </c>
      <c r="AM460" s="1069">
        <v>-25.4</v>
      </c>
      <c r="AN460" s="1069"/>
      <c r="AO460" s="1069">
        <v>28</v>
      </c>
      <c r="AP460" s="1069">
        <f>AO460*('Ввод исходных данных'!$D$83-AM460)</f>
        <v>1271.2</v>
      </c>
      <c r="AQ460" s="1064">
        <v>-21.5</v>
      </c>
      <c r="AR460" s="1064"/>
      <c r="AS460" s="1064">
        <f t="shared" si="88"/>
        <v>31</v>
      </c>
      <c r="AT460" s="1064">
        <f>AS460*('Ввод исходных данных'!$D$83-AQ460)</f>
        <v>1286.5</v>
      </c>
      <c r="AU460" s="1070">
        <v>-14.1</v>
      </c>
      <c r="AV460" s="1070"/>
      <c r="AW460" s="1070">
        <f t="shared" si="89"/>
        <v>30</v>
      </c>
      <c r="AX460" s="1070">
        <f>AW460*('Ввод исходных данных'!$D$83-AU460)</f>
        <v>1023</v>
      </c>
      <c r="AY460" s="1071">
        <v>7.1</v>
      </c>
      <c r="AZ460" s="1071"/>
      <c r="BA460" s="1071">
        <f t="shared" si="90"/>
        <v>31</v>
      </c>
      <c r="BB460" s="1071">
        <f>BA460*('Ввод исходных данных'!$D$83-AY460)</f>
        <v>399.90000000000003</v>
      </c>
      <c r="BC460" s="1072">
        <v>15.2</v>
      </c>
      <c r="BD460" s="1072"/>
      <c r="BE460" s="1072">
        <f t="shared" si="82"/>
        <v>0.5</v>
      </c>
      <c r="BF460" s="1073">
        <f>BE460*('Ввод исходных данных'!$D$83-BC460)</f>
        <v>2.4000000000000004</v>
      </c>
    </row>
    <row r="461" spans="2:58" ht="15.75" customHeight="1" x14ac:dyDescent="0.25">
      <c r="B461" s="1052" t="s">
        <v>58</v>
      </c>
      <c r="C461" s="1052" t="s">
        <v>63</v>
      </c>
      <c r="D461" s="1053" t="str">
        <f t="shared" ref="D461:D475" si="91">CONCATENATE(B461,C461)</f>
        <v>Чукотский автономный округОмолон</v>
      </c>
      <c r="E461" s="1054">
        <v>283</v>
      </c>
      <c r="F461" s="1055">
        <v>-19.8</v>
      </c>
      <c r="G461" s="1055">
        <v>-47</v>
      </c>
      <c r="H461" s="1057">
        <v>4.2</v>
      </c>
      <c r="I461" s="1058">
        <f>E461*('Ввод исходных данных'!$D$83-F461)</f>
        <v>11263.4</v>
      </c>
      <c r="J461" s="1059" t="str">
        <f t="shared" si="81"/>
        <v>11000-12000</v>
      </c>
      <c r="K461" s="1060">
        <v>13.2</v>
      </c>
      <c r="L461" s="1060"/>
      <c r="M461" s="1061">
        <f t="shared" si="83"/>
        <v>0</v>
      </c>
      <c r="N461" s="1062">
        <f>M461*('Ввод исходных данных'!$D$83-K461)</f>
        <v>0</v>
      </c>
      <c r="O461" s="1063">
        <v>9.9</v>
      </c>
      <c r="P461" s="1063"/>
      <c r="Q461" s="1063">
        <f t="shared" si="84"/>
        <v>5</v>
      </c>
      <c r="R461" s="1063">
        <f>Q461*('Ввод исходных данных'!$D$83-O461)</f>
        <v>50.5</v>
      </c>
      <c r="S461" s="1064">
        <v>2.5</v>
      </c>
      <c r="T461" s="1064"/>
      <c r="U461" s="1064">
        <f t="shared" si="85"/>
        <v>30</v>
      </c>
      <c r="V461" s="1064">
        <f>U461*('Ввод исходных данных'!$D$83-S461)</f>
        <v>525</v>
      </c>
      <c r="W461" s="1065">
        <v>-12.1</v>
      </c>
      <c r="X461" s="1065"/>
      <c r="Y461" s="1065">
        <f t="shared" si="86"/>
        <v>31</v>
      </c>
      <c r="Z461" s="1065">
        <f>Y461*('Ввод исходных данных'!$D$83-W461)</f>
        <v>995.1</v>
      </c>
      <c r="AA461" s="1066">
        <v>-28.8</v>
      </c>
      <c r="AB461" s="1066"/>
      <c r="AC461" s="1066">
        <f t="shared" si="87"/>
        <v>30</v>
      </c>
      <c r="AD461" s="1066">
        <f>AC461*('Ввод исходных данных'!$D$83-AA461)</f>
        <v>1464</v>
      </c>
      <c r="AE461" s="1067">
        <v>-36.200000000000003</v>
      </c>
      <c r="AF461" s="1067"/>
      <c r="AG461" s="1067">
        <v>31</v>
      </c>
      <c r="AH461" s="1067">
        <f>AG461*('Ввод исходных данных'!$D$83-AE461)</f>
        <v>1742.2</v>
      </c>
      <c r="AI461" s="1068">
        <v>-36.4</v>
      </c>
      <c r="AJ461" s="1068"/>
      <c r="AK461" s="1068">
        <v>31</v>
      </c>
      <c r="AL461" s="1068">
        <f>AK461*('Ввод исходных данных'!$D$83-AI461)</f>
        <v>1748.3999999999999</v>
      </c>
      <c r="AM461" s="1069">
        <v>-35.6</v>
      </c>
      <c r="AN461" s="1069"/>
      <c r="AO461" s="1069">
        <v>28</v>
      </c>
      <c r="AP461" s="1069">
        <f>AO461*('Ввод исходных данных'!$D$83-AM461)</f>
        <v>1556.8</v>
      </c>
      <c r="AQ461" s="1064">
        <v>-28.2</v>
      </c>
      <c r="AR461" s="1064"/>
      <c r="AS461" s="1064">
        <f t="shared" si="88"/>
        <v>31</v>
      </c>
      <c r="AT461" s="1064">
        <f>AS461*('Ввод исходных данных'!$D$83-AQ461)</f>
        <v>1494.2</v>
      </c>
      <c r="AU461" s="1070">
        <v>-14.6</v>
      </c>
      <c r="AV461" s="1070"/>
      <c r="AW461" s="1070">
        <f t="shared" si="89"/>
        <v>30</v>
      </c>
      <c r="AX461" s="1070">
        <f>AW461*('Ввод исходных данных'!$D$83-AU461)</f>
        <v>1038</v>
      </c>
      <c r="AY461" s="1071">
        <v>1.1000000000000001</v>
      </c>
      <c r="AZ461" s="1071"/>
      <c r="BA461" s="1071">
        <f t="shared" si="90"/>
        <v>31</v>
      </c>
      <c r="BB461" s="1071">
        <f>BA461*('Ввод исходных данных'!$D$83-AY461)</f>
        <v>585.9</v>
      </c>
      <c r="BC461" s="1072">
        <v>11.6</v>
      </c>
      <c r="BD461" s="1072"/>
      <c r="BE461" s="1072">
        <f t="shared" si="82"/>
        <v>5</v>
      </c>
      <c r="BF461" s="1073">
        <f>BE461*('Ввод исходных данных'!$D$83-BC461)</f>
        <v>42</v>
      </c>
    </row>
    <row r="462" spans="2:58" ht="15.75" customHeight="1" x14ac:dyDescent="0.25">
      <c r="B462" s="1076" t="s">
        <v>58</v>
      </c>
      <c r="C462" s="1076" t="s">
        <v>64</v>
      </c>
      <c r="D462" s="1053" t="str">
        <f t="shared" si="91"/>
        <v>Чукотский автономный округОстровное</v>
      </c>
      <c r="E462" s="1054">
        <v>278</v>
      </c>
      <c r="F462" s="1055">
        <v>-19</v>
      </c>
      <c r="G462" s="1055">
        <v>-51</v>
      </c>
      <c r="H462" s="1057">
        <v>4.5</v>
      </c>
      <c r="I462" s="1058">
        <f>E462*('Ввод исходных данных'!$D$83-F462)</f>
        <v>10842</v>
      </c>
      <c r="J462" s="1059" t="str">
        <f t="shared" si="81"/>
        <v>10000-11000</v>
      </c>
      <c r="K462" s="1060">
        <v>13.8</v>
      </c>
      <c r="L462" s="1060"/>
      <c r="M462" s="1061">
        <f t="shared" si="83"/>
        <v>0</v>
      </c>
      <c r="N462" s="1062">
        <f>M462*('Ввод исходных данных'!$D$83-K462)</f>
        <v>0</v>
      </c>
      <c r="O462" s="1063">
        <v>9.8000000000000007</v>
      </c>
      <c r="P462" s="1063"/>
      <c r="Q462" s="1063">
        <f t="shared" si="84"/>
        <v>2.5</v>
      </c>
      <c r="R462" s="1063">
        <f>Q462*('Ввод исходных данных'!$D$83-O462)</f>
        <v>25.5</v>
      </c>
      <c r="S462" s="1064">
        <v>2.7</v>
      </c>
      <c r="T462" s="1064"/>
      <c r="U462" s="1064">
        <f t="shared" si="85"/>
        <v>30</v>
      </c>
      <c r="V462" s="1064">
        <f>U462*('Ввод исходных данных'!$D$83-S462)</f>
        <v>519</v>
      </c>
      <c r="W462" s="1065">
        <v>-11.3</v>
      </c>
      <c r="X462" s="1065"/>
      <c r="Y462" s="1065">
        <f t="shared" si="86"/>
        <v>31</v>
      </c>
      <c r="Z462" s="1065">
        <f>Y462*('Ввод исходных данных'!$D$83-W462)</f>
        <v>970.30000000000007</v>
      </c>
      <c r="AA462" s="1066">
        <v>-25.8</v>
      </c>
      <c r="AB462" s="1066"/>
      <c r="AC462" s="1066">
        <f t="shared" si="87"/>
        <v>30</v>
      </c>
      <c r="AD462" s="1066">
        <f>AC462*('Ввод исходных данных'!$D$83-AA462)</f>
        <v>1374</v>
      </c>
      <c r="AE462" s="1067">
        <v>-33.299999999999997</v>
      </c>
      <c r="AF462" s="1067"/>
      <c r="AG462" s="1067">
        <v>31</v>
      </c>
      <c r="AH462" s="1067">
        <f>AG462*('Ввод исходных данных'!$D$83-AE462)</f>
        <v>1652.3</v>
      </c>
      <c r="AI462" s="1068">
        <v>-34.4</v>
      </c>
      <c r="AJ462" s="1068"/>
      <c r="AK462" s="1068">
        <v>31</v>
      </c>
      <c r="AL462" s="1068">
        <f>AK462*('Ввод исходных данных'!$D$83-AI462)</f>
        <v>1686.3999999999999</v>
      </c>
      <c r="AM462" s="1069">
        <v>-32.700000000000003</v>
      </c>
      <c r="AN462" s="1069"/>
      <c r="AO462" s="1069">
        <v>28</v>
      </c>
      <c r="AP462" s="1069">
        <f>AO462*('Ввод исходных данных'!$D$83-AM462)</f>
        <v>1475.6000000000001</v>
      </c>
      <c r="AQ462" s="1064">
        <v>-24.8</v>
      </c>
      <c r="AR462" s="1064"/>
      <c r="AS462" s="1064">
        <f t="shared" si="88"/>
        <v>31</v>
      </c>
      <c r="AT462" s="1064">
        <f>AS462*('Ввод исходных данных'!$D$83-AQ462)</f>
        <v>1388.8</v>
      </c>
      <c r="AU462" s="1070">
        <v>-13.5</v>
      </c>
      <c r="AV462" s="1070"/>
      <c r="AW462" s="1070">
        <f t="shared" si="89"/>
        <v>30</v>
      </c>
      <c r="AX462" s="1070">
        <f>AW462*('Ввод исходных данных'!$D$83-AU462)</f>
        <v>1005</v>
      </c>
      <c r="AY462" s="1071">
        <v>1.7</v>
      </c>
      <c r="AZ462" s="1071"/>
      <c r="BA462" s="1071">
        <f t="shared" si="90"/>
        <v>31</v>
      </c>
      <c r="BB462" s="1071">
        <f>BA462*('Ввод исходных данных'!$D$83-AY462)</f>
        <v>567.30000000000007</v>
      </c>
      <c r="BC462" s="1072">
        <v>11.7</v>
      </c>
      <c r="BD462" s="1072"/>
      <c r="BE462" s="1072">
        <f t="shared" si="82"/>
        <v>2.5</v>
      </c>
      <c r="BF462" s="1073">
        <f>BE462*('Ввод исходных данных'!$D$83-BC462)</f>
        <v>20.75</v>
      </c>
    </row>
    <row r="463" spans="2:58" ht="15.75" customHeight="1" x14ac:dyDescent="0.25">
      <c r="B463" s="1052" t="s">
        <v>58</v>
      </c>
      <c r="C463" s="1052" t="s">
        <v>65</v>
      </c>
      <c r="D463" s="1053" t="str">
        <f t="shared" si="91"/>
        <v>Чукотский автономный округУсть-Олой</v>
      </c>
      <c r="E463" s="1054">
        <v>278</v>
      </c>
      <c r="F463" s="1055">
        <v>-19.600000000000001</v>
      </c>
      <c r="G463" s="1055">
        <v>-51</v>
      </c>
      <c r="H463" s="1057">
        <v>1.7</v>
      </c>
      <c r="I463" s="1058">
        <f>E463*('Ввод исходных данных'!$D$83-F463)</f>
        <v>11008.800000000001</v>
      </c>
      <c r="J463" s="1059" t="str">
        <f t="shared" si="81"/>
        <v>11000-12000</v>
      </c>
      <c r="K463" s="1060">
        <v>13.7</v>
      </c>
      <c r="L463" s="1060"/>
      <c r="M463" s="1061">
        <f t="shared" si="83"/>
        <v>0</v>
      </c>
      <c r="N463" s="1062">
        <f>M463*('Ввод исходных данных'!$D$83-K463)</f>
        <v>0</v>
      </c>
      <c r="O463" s="1063">
        <v>9.8000000000000007</v>
      </c>
      <c r="P463" s="1063"/>
      <c r="Q463" s="1063">
        <f t="shared" si="84"/>
        <v>2.5</v>
      </c>
      <c r="R463" s="1063">
        <f>Q463*('Ввод исходных данных'!$D$83-O463)</f>
        <v>25.5</v>
      </c>
      <c r="S463" s="1064">
        <v>2.8</v>
      </c>
      <c r="T463" s="1064"/>
      <c r="U463" s="1064">
        <f t="shared" si="85"/>
        <v>30</v>
      </c>
      <c r="V463" s="1064">
        <f>U463*('Ввод исходных данных'!$D$83-S463)</f>
        <v>516</v>
      </c>
      <c r="W463" s="1065">
        <v>-11</v>
      </c>
      <c r="X463" s="1065"/>
      <c r="Y463" s="1065">
        <f t="shared" si="86"/>
        <v>31</v>
      </c>
      <c r="Z463" s="1065">
        <f>Y463*('Ввод исходных данных'!$D$83-W463)</f>
        <v>961</v>
      </c>
      <c r="AA463" s="1066">
        <v>-26.9</v>
      </c>
      <c r="AB463" s="1066"/>
      <c r="AC463" s="1066">
        <f t="shared" si="87"/>
        <v>30</v>
      </c>
      <c r="AD463" s="1066">
        <f>AC463*('Ввод исходных данных'!$D$83-AA463)</f>
        <v>1407</v>
      </c>
      <c r="AE463" s="1067">
        <v>-34.9</v>
      </c>
      <c r="AF463" s="1067"/>
      <c r="AG463" s="1067">
        <v>31</v>
      </c>
      <c r="AH463" s="1067">
        <f>AG463*('Ввод исходных данных'!$D$83-AE463)</f>
        <v>1701.8999999999999</v>
      </c>
      <c r="AI463" s="1068">
        <v>-36.200000000000003</v>
      </c>
      <c r="AJ463" s="1068"/>
      <c r="AK463" s="1068">
        <v>31</v>
      </c>
      <c r="AL463" s="1068">
        <f>AK463*('Ввод исходных данных'!$D$83-AI463)</f>
        <v>1742.2</v>
      </c>
      <c r="AM463" s="1069">
        <v>-33.9</v>
      </c>
      <c r="AN463" s="1069"/>
      <c r="AO463" s="1069">
        <v>28</v>
      </c>
      <c r="AP463" s="1069">
        <f>AO463*('Ввод исходных данных'!$D$83-AM463)</f>
        <v>1509.2</v>
      </c>
      <c r="AQ463" s="1064">
        <v>-25.6</v>
      </c>
      <c r="AR463" s="1064"/>
      <c r="AS463" s="1064">
        <f t="shared" si="88"/>
        <v>31</v>
      </c>
      <c r="AT463" s="1064">
        <f>AS463*('Ввод исходных данных'!$D$83-AQ463)</f>
        <v>1413.6000000000001</v>
      </c>
      <c r="AU463" s="1070">
        <v>-13.2</v>
      </c>
      <c r="AV463" s="1070"/>
      <c r="AW463" s="1070">
        <f t="shared" si="89"/>
        <v>30</v>
      </c>
      <c r="AX463" s="1070">
        <f>AW463*('Ввод исходных данных'!$D$83-AU463)</f>
        <v>996.00000000000011</v>
      </c>
      <c r="AY463" s="1071">
        <v>2.2000000000000002</v>
      </c>
      <c r="AZ463" s="1071"/>
      <c r="BA463" s="1071">
        <f t="shared" si="90"/>
        <v>31</v>
      </c>
      <c r="BB463" s="1071">
        <f>BA463*('Ввод исходных данных'!$D$83-AY463)</f>
        <v>551.80000000000007</v>
      </c>
      <c r="BC463" s="1072">
        <v>11.8</v>
      </c>
      <c r="BD463" s="1072"/>
      <c r="BE463" s="1072">
        <f t="shared" si="82"/>
        <v>2.5</v>
      </c>
      <c r="BF463" s="1073">
        <f>BE463*('Ввод исходных данных'!$D$83-BC463)</f>
        <v>20.5</v>
      </c>
    </row>
    <row r="464" spans="2:58" ht="15.75" customHeight="1" x14ac:dyDescent="0.25">
      <c r="B464" s="1076" t="s">
        <v>58</v>
      </c>
      <c r="C464" s="1076" t="s">
        <v>61</v>
      </c>
      <c r="D464" s="1053" t="str">
        <f t="shared" si="91"/>
        <v>Чукотский автономный округЭньмувеем</v>
      </c>
      <c r="E464" s="1054">
        <v>283</v>
      </c>
      <c r="F464" s="1055">
        <v>-15.3</v>
      </c>
      <c r="G464" s="1055">
        <v>-48</v>
      </c>
      <c r="H464" s="1057">
        <v>4.5999999999999996</v>
      </c>
      <c r="I464" s="1058">
        <f>E464*('Ввод исходных данных'!$D$83-F464)</f>
        <v>9989.9</v>
      </c>
      <c r="J464" s="1059" t="str">
        <f t="shared" si="81"/>
        <v>9000-10000</v>
      </c>
      <c r="K464" s="1060">
        <v>13.4</v>
      </c>
      <c r="L464" s="1060"/>
      <c r="M464" s="1061">
        <f t="shared" si="83"/>
        <v>0</v>
      </c>
      <c r="N464" s="1062">
        <f>M464*('Ввод исходных данных'!$D$83-K464)</f>
        <v>0</v>
      </c>
      <c r="O464" s="1063">
        <v>9.9</v>
      </c>
      <c r="P464" s="1063"/>
      <c r="Q464" s="1063">
        <f t="shared" si="84"/>
        <v>5</v>
      </c>
      <c r="R464" s="1063">
        <f>Q464*('Ввод исходных данных'!$D$83-O464)</f>
        <v>50.5</v>
      </c>
      <c r="S464" s="1064">
        <v>2.8</v>
      </c>
      <c r="T464" s="1064"/>
      <c r="U464" s="1064">
        <f t="shared" si="85"/>
        <v>30</v>
      </c>
      <c r="V464" s="1064">
        <f>U464*('Ввод исходных данных'!$D$83-S464)</f>
        <v>516</v>
      </c>
      <c r="W464" s="1065">
        <v>-9.3000000000000007</v>
      </c>
      <c r="X464" s="1065"/>
      <c r="Y464" s="1065">
        <f t="shared" si="86"/>
        <v>31</v>
      </c>
      <c r="Z464" s="1065">
        <f>Y464*('Ввод исходных данных'!$D$83-W464)</f>
        <v>908.30000000000007</v>
      </c>
      <c r="AA464" s="1066">
        <v>-19.600000000000001</v>
      </c>
      <c r="AB464" s="1066"/>
      <c r="AC464" s="1066">
        <f t="shared" si="87"/>
        <v>30</v>
      </c>
      <c r="AD464" s="1066">
        <f>AC464*('Ввод исходных данных'!$D$83-AA464)</f>
        <v>1188</v>
      </c>
      <c r="AE464" s="1067">
        <v>-25.3</v>
      </c>
      <c r="AF464" s="1067"/>
      <c r="AG464" s="1067">
        <v>31</v>
      </c>
      <c r="AH464" s="1067">
        <f>AG464*('Ввод исходных данных'!$D$83-AE464)</f>
        <v>1404.3</v>
      </c>
      <c r="AI464" s="1068">
        <v>-26.1</v>
      </c>
      <c r="AJ464" s="1068"/>
      <c r="AK464" s="1068">
        <v>31</v>
      </c>
      <c r="AL464" s="1068">
        <f>AK464*('Ввод исходных данных'!$D$83-AI464)</f>
        <v>1429.1000000000001</v>
      </c>
      <c r="AM464" s="1069">
        <v>-25.9</v>
      </c>
      <c r="AN464" s="1069"/>
      <c r="AO464" s="1069">
        <v>28</v>
      </c>
      <c r="AP464" s="1069">
        <f>AO464*('Ввод исходных данных'!$D$83-AM464)</f>
        <v>1285.2</v>
      </c>
      <c r="AQ464" s="1064">
        <v>-22.7</v>
      </c>
      <c r="AR464" s="1064"/>
      <c r="AS464" s="1064">
        <f t="shared" si="88"/>
        <v>31</v>
      </c>
      <c r="AT464" s="1064">
        <f>AS464*('Ввод исходных данных'!$D$83-AQ464)</f>
        <v>1323.7</v>
      </c>
      <c r="AU464" s="1070">
        <v>-15.6</v>
      </c>
      <c r="AV464" s="1070"/>
      <c r="AW464" s="1070">
        <f t="shared" si="89"/>
        <v>30</v>
      </c>
      <c r="AX464" s="1070">
        <f>AW464*('Ввод исходных данных'!$D$83-AU464)</f>
        <v>1068</v>
      </c>
      <c r="AY464" s="1071">
        <v>-0.9</v>
      </c>
      <c r="AZ464" s="1071"/>
      <c r="BA464" s="1071">
        <f t="shared" si="90"/>
        <v>31</v>
      </c>
      <c r="BB464" s="1071">
        <f>BA464*('Ввод исходных данных'!$D$83-AY464)</f>
        <v>647.9</v>
      </c>
      <c r="BC464" s="1072">
        <v>10.4</v>
      </c>
      <c r="BD464" s="1072"/>
      <c r="BE464" s="1072">
        <f t="shared" si="82"/>
        <v>5</v>
      </c>
      <c r="BF464" s="1073">
        <f>BE464*('Ввод исходных данных'!$D$83-BC464)</f>
        <v>48</v>
      </c>
    </row>
    <row r="465" spans="2:58" ht="15.75" customHeight="1" x14ac:dyDescent="0.25">
      <c r="B465" s="1052" t="s">
        <v>629</v>
      </c>
      <c r="C465" s="1052" t="s">
        <v>424</v>
      </c>
      <c r="D465" s="1053" t="str">
        <f t="shared" si="91"/>
        <v>Ямало-Ненецкий автономный округНадым</v>
      </c>
      <c r="E465" s="1054">
        <v>278</v>
      </c>
      <c r="F465" s="1055">
        <v>-11.5</v>
      </c>
      <c r="G465" s="1055">
        <v>-45</v>
      </c>
      <c r="H465" s="1057">
        <v>4.5</v>
      </c>
      <c r="I465" s="1058">
        <f>E465*('Ввод исходных данных'!$D$83-F465)</f>
        <v>8757</v>
      </c>
      <c r="J465" s="1059" t="str">
        <f t="shared" si="81"/>
        <v>8000-9000</v>
      </c>
      <c r="K465" s="1060">
        <v>15.7</v>
      </c>
      <c r="L465" s="1060"/>
      <c r="M465" s="1061">
        <f t="shared" si="83"/>
        <v>0</v>
      </c>
      <c r="N465" s="1062">
        <f>M465*('Ввод исходных данных'!$D$83-K465)</f>
        <v>0</v>
      </c>
      <c r="O465" s="1063">
        <v>12</v>
      </c>
      <c r="P465" s="1063"/>
      <c r="Q465" s="1063">
        <f t="shared" si="84"/>
        <v>2.5</v>
      </c>
      <c r="R465" s="1063">
        <f>Q465*('Ввод исходных данных'!$D$83-O465)</f>
        <v>20</v>
      </c>
      <c r="S465" s="1064">
        <v>5.7</v>
      </c>
      <c r="T465" s="1064"/>
      <c r="U465" s="1064">
        <f t="shared" si="85"/>
        <v>30</v>
      </c>
      <c r="V465" s="1064">
        <f>U465*('Ввод исходных данных'!$D$83-S465)</f>
        <v>429</v>
      </c>
      <c r="W465" s="1065">
        <v>-4.2</v>
      </c>
      <c r="X465" s="1065"/>
      <c r="Y465" s="1065">
        <f t="shared" si="86"/>
        <v>31</v>
      </c>
      <c r="Z465" s="1065">
        <f>Y465*('Ввод исходных данных'!$D$83-W465)</f>
        <v>750.19999999999993</v>
      </c>
      <c r="AA465" s="1066">
        <v>-15.2</v>
      </c>
      <c r="AB465" s="1066"/>
      <c r="AC465" s="1066">
        <f t="shared" si="87"/>
        <v>30</v>
      </c>
      <c r="AD465" s="1066">
        <f>AC465*('Ввод исходных данных'!$D$83-AA465)</f>
        <v>1056</v>
      </c>
      <c r="AE465" s="1067">
        <v>-20.9</v>
      </c>
      <c r="AF465" s="1067"/>
      <c r="AG465" s="1067">
        <v>31</v>
      </c>
      <c r="AH465" s="1067">
        <f>AG465*('Ввод исходных данных'!$D$83-AE465)</f>
        <v>1267.8999999999999</v>
      </c>
      <c r="AI465" s="1068">
        <v>-23.7</v>
      </c>
      <c r="AJ465" s="1068"/>
      <c r="AK465" s="1068">
        <v>31</v>
      </c>
      <c r="AL465" s="1068">
        <f>AK465*('Ввод исходных данных'!$D$83-AI465)</f>
        <v>1354.7</v>
      </c>
      <c r="AM465" s="1069">
        <v>-22.9</v>
      </c>
      <c r="AN465" s="1069"/>
      <c r="AO465" s="1069">
        <v>28</v>
      </c>
      <c r="AP465" s="1069">
        <f>AO465*('Ввод исходных данных'!$D$83-AM465)</f>
        <v>1201.2</v>
      </c>
      <c r="AQ465" s="1064">
        <v>-14.4</v>
      </c>
      <c r="AR465" s="1064"/>
      <c r="AS465" s="1064">
        <f t="shared" si="88"/>
        <v>31</v>
      </c>
      <c r="AT465" s="1064">
        <f>AS465*('Ввод исходных данных'!$D$83-AQ465)</f>
        <v>1066.3999999999999</v>
      </c>
      <c r="AU465" s="1070">
        <v>-8.1999999999999993</v>
      </c>
      <c r="AV465" s="1070"/>
      <c r="AW465" s="1070">
        <f t="shared" si="89"/>
        <v>30</v>
      </c>
      <c r="AX465" s="1070">
        <f>AW465*('Ввод исходных данных'!$D$83-AU465)</f>
        <v>846</v>
      </c>
      <c r="AY465" s="1071">
        <v>0</v>
      </c>
      <c r="AZ465" s="1071"/>
      <c r="BA465" s="1071">
        <f t="shared" si="90"/>
        <v>31</v>
      </c>
      <c r="BB465" s="1071">
        <f>BA465*('Ввод исходных данных'!$D$83-AY465)</f>
        <v>620</v>
      </c>
      <c r="BC465" s="1072">
        <v>9.9</v>
      </c>
      <c r="BD465" s="1072"/>
      <c r="BE465" s="1072">
        <f t="shared" si="82"/>
        <v>2.5</v>
      </c>
      <c r="BF465" s="1073">
        <f>BE465*('Ввод исходных данных'!$D$83-BC465)</f>
        <v>25.25</v>
      </c>
    </row>
    <row r="466" spans="2:58" ht="15.75" customHeight="1" x14ac:dyDescent="0.25">
      <c r="B466" s="1076" t="s">
        <v>629</v>
      </c>
      <c r="C466" s="1076" t="s">
        <v>425</v>
      </c>
      <c r="D466" s="1053" t="str">
        <f t="shared" si="91"/>
        <v>Ямало-Ненецкий автономный округСалехард</v>
      </c>
      <c r="E466" s="1054">
        <v>285</v>
      </c>
      <c r="F466" s="1055">
        <v>-11.5</v>
      </c>
      <c r="G466" s="1055">
        <v>-43</v>
      </c>
      <c r="H466" s="1057">
        <v>4.5999999999999996</v>
      </c>
      <c r="I466" s="1058">
        <f>E466*('Ввод исходных данных'!$D$83-F466)</f>
        <v>8977.5</v>
      </c>
      <c r="J466" s="1059" t="str">
        <f t="shared" si="81"/>
        <v>8000-9000</v>
      </c>
      <c r="K466" s="1060">
        <v>14.4</v>
      </c>
      <c r="L466" s="1060"/>
      <c r="M466" s="1061">
        <f t="shared" si="83"/>
        <v>0</v>
      </c>
      <c r="N466" s="1062">
        <f>M466*('Ввод исходных данных'!$D$83-K466)</f>
        <v>0</v>
      </c>
      <c r="O466" s="1063">
        <v>11.1</v>
      </c>
      <c r="P466" s="1063"/>
      <c r="Q466" s="1063">
        <f t="shared" si="84"/>
        <v>6</v>
      </c>
      <c r="R466" s="1063">
        <f>Q466*('Ввод исходных данных'!$D$83-O466)</f>
        <v>53.400000000000006</v>
      </c>
      <c r="S466" s="1064">
        <v>5.3</v>
      </c>
      <c r="T466" s="1064"/>
      <c r="U466" s="1064">
        <f t="shared" si="85"/>
        <v>30</v>
      </c>
      <c r="V466" s="1064">
        <f>U466*('Ввод исходных данных'!$D$83-S466)</f>
        <v>441</v>
      </c>
      <c r="W466" s="1065">
        <v>-4.0999999999999996</v>
      </c>
      <c r="X466" s="1065"/>
      <c r="Y466" s="1065">
        <f t="shared" si="86"/>
        <v>31</v>
      </c>
      <c r="Z466" s="1065">
        <f>Y466*('Ввод исходных данных'!$D$83-W466)</f>
        <v>747.1</v>
      </c>
      <c r="AA466" s="1066">
        <v>-15.2</v>
      </c>
      <c r="AB466" s="1066"/>
      <c r="AC466" s="1066">
        <f t="shared" si="87"/>
        <v>30</v>
      </c>
      <c r="AD466" s="1066">
        <f>AC466*('Ввод исходных данных'!$D$83-AA466)</f>
        <v>1056</v>
      </c>
      <c r="AE466" s="1067">
        <v>-20.6</v>
      </c>
      <c r="AF466" s="1067"/>
      <c r="AG466" s="1067">
        <v>31</v>
      </c>
      <c r="AH466" s="1067">
        <f>AG466*('Ввод исходных данных'!$D$83-AE466)</f>
        <v>1258.6000000000001</v>
      </c>
      <c r="AI466" s="1068">
        <v>-24.2</v>
      </c>
      <c r="AJ466" s="1068"/>
      <c r="AK466" s="1068">
        <v>31</v>
      </c>
      <c r="AL466" s="1068">
        <f>AK466*('Ввод исходных данных'!$D$83-AI466)</f>
        <v>1370.2</v>
      </c>
      <c r="AM466" s="1069">
        <v>-23.5</v>
      </c>
      <c r="AN466" s="1069"/>
      <c r="AO466" s="1069">
        <v>28</v>
      </c>
      <c r="AP466" s="1069">
        <f>AO466*('Ввод исходных данных'!$D$83-AM466)</f>
        <v>1218</v>
      </c>
      <c r="AQ466" s="1064">
        <v>-15.4</v>
      </c>
      <c r="AR466" s="1064"/>
      <c r="AS466" s="1064">
        <f t="shared" si="88"/>
        <v>31</v>
      </c>
      <c r="AT466" s="1064">
        <f>AS466*('Ввод исходных данных'!$D$83-AQ466)</f>
        <v>1097.3999999999999</v>
      </c>
      <c r="AU466" s="1070">
        <v>-9.1999999999999993</v>
      </c>
      <c r="AV466" s="1070"/>
      <c r="AW466" s="1070">
        <f t="shared" si="89"/>
        <v>30</v>
      </c>
      <c r="AX466" s="1070">
        <f>AW466*('Ввод исходных данных'!$D$83-AU466)</f>
        <v>876</v>
      </c>
      <c r="AY466" s="1071">
        <v>-1.1000000000000001</v>
      </c>
      <c r="AZ466" s="1071"/>
      <c r="BA466" s="1071">
        <f t="shared" si="90"/>
        <v>31</v>
      </c>
      <c r="BB466" s="1071">
        <f>BA466*('Ввод исходных данных'!$D$83-AY466)</f>
        <v>654.1</v>
      </c>
      <c r="BC466" s="1072">
        <v>8.6</v>
      </c>
      <c r="BD466" s="1072"/>
      <c r="BE466" s="1072">
        <f t="shared" si="82"/>
        <v>6</v>
      </c>
      <c r="BF466" s="1073">
        <f>BE466*('Ввод исходных данных'!$D$83-BC466)</f>
        <v>68.400000000000006</v>
      </c>
    </row>
    <row r="467" spans="2:58" ht="15.75" customHeight="1" x14ac:dyDescent="0.25">
      <c r="B467" s="1052" t="s">
        <v>629</v>
      </c>
      <c r="C467" s="1052" t="s">
        <v>708</v>
      </c>
      <c r="D467" s="1053" t="str">
        <f t="shared" si="91"/>
        <v xml:space="preserve">Ямало-Ненецкий автономный округТарко-Сале </v>
      </c>
      <c r="E467" s="1054">
        <v>274</v>
      </c>
      <c r="F467" s="1055">
        <v>-12.6</v>
      </c>
      <c r="G467" s="1055">
        <v>-47</v>
      </c>
      <c r="H467" s="1057">
        <v>3.7</v>
      </c>
      <c r="I467" s="1058">
        <f>E467*('Ввод исходных данных'!$D$83-F467)</f>
        <v>8932.4</v>
      </c>
      <c r="J467" s="1059" t="str">
        <f t="shared" si="81"/>
        <v>8000-9000</v>
      </c>
      <c r="K467" s="1060">
        <v>16.399999999999999</v>
      </c>
      <c r="L467" s="1060"/>
      <c r="M467" s="1061">
        <f t="shared" si="83"/>
        <v>0</v>
      </c>
      <c r="N467" s="1062">
        <f>M467*('Ввод исходных данных'!$D$83-K467)</f>
        <v>0</v>
      </c>
      <c r="O467" s="1063">
        <v>12.5</v>
      </c>
      <c r="P467" s="1063"/>
      <c r="Q467" s="1063">
        <f t="shared" si="84"/>
        <v>0.5</v>
      </c>
      <c r="R467" s="1063">
        <f>Q467*('Ввод исходных данных'!$D$83-O467)</f>
        <v>3.75</v>
      </c>
      <c r="S467" s="1064">
        <v>5.7</v>
      </c>
      <c r="T467" s="1064"/>
      <c r="U467" s="1064">
        <f t="shared" si="85"/>
        <v>30</v>
      </c>
      <c r="V467" s="1064">
        <f>U467*('Ввод исходных данных'!$D$83-S467)</f>
        <v>429</v>
      </c>
      <c r="W467" s="1065">
        <v>-4.7</v>
      </c>
      <c r="X467" s="1065"/>
      <c r="Y467" s="1065">
        <f t="shared" si="86"/>
        <v>31</v>
      </c>
      <c r="Z467" s="1065">
        <f>Y467*('Ввод исходных данных'!$D$83-W467)</f>
        <v>765.69999999999993</v>
      </c>
      <c r="AA467" s="1066">
        <v>-16.100000000000001</v>
      </c>
      <c r="AB467" s="1066"/>
      <c r="AC467" s="1066">
        <f t="shared" si="87"/>
        <v>30</v>
      </c>
      <c r="AD467" s="1066">
        <f>AC467*('Ввод исходных данных'!$D$83-AA467)</f>
        <v>1083</v>
      </c>
      <c r="AE467" s="1067">
        <v>-22.2</v>
      </c>
      <c r="AF467" s="1067"/>
      <c r="AG467" s="1067">
        <v>31</v>
      </c>
      <c r="AH467" s="1067">
        <f>AG467*('Ввод исходных данных'!$D$83-AE467)</f>
        <v>1308.2</v>
      </c>
      <c r="AI467" s="1068">
        <v>-25.2</v>
      </c>
      <c r="AJ467" s="1068"/>
      <c r="AK467" s="1068">
        <v>31</v>
      </c>
      <c r="AL467" s="1068">
        <f>AK467*('Ввод исходных данных'!$D$83-AI467)</f>
        <v>1401.2</v>
      </c>
      <c r="AM467" s="1069">
        <v>-24.3</v>
      </c>
      <c r="AN467" s="1069"/>
      <c r="AO467" s="1069">
        <v>28</v>
      </c>
      <c r="AP467" s="1069">
        <f>AO467*('Ввод исходных данных'!$D$83-AM467)</f>
        <v>1240.3999999999999</v>
      </c>
      <c r="AQ467" s="1064">
        <v>-15.3</v>
      </c>
      <c r="AR467" s="1064"/>
      <c r="AS467" s="1064">
        <f t="shared" si="88"/>
        <v>31</v>
      </c>
      <c r="AT467" s="1064">
        <f>AS467*('Ввод исходных данных'!$D$83-AQ467)</f>
        <v>1094.3</v>
      </c>
      <c r="AU467" s="1070">
        <v>-8.6</v>
      </c>
      <c r="AV467" s="1070"/>
      <c r="AW467" s="1070">
        <f t="shared" si="89"/>
        <v>30</v>
      </c>
      <c r="AX467" s="1070">
        <f>AW467*('Ввод исходных данных'!$D$83-AU467)</f>
        <v>858</v>
      </c>
      <c r="AY467" s="1071">
        <v>-0.3</v>
      </c>
      <c r="AZ467" s="1071"/>
      <c r="BA467" s="1071">
        <f t="shared" si="90"/>
        <v>31</v>
      </c>
      <c r="BB467" s="1071">
        <f>BA467*('Ввод исходных данных'!$D$83-AY467)</f>
        <v>629.30000000000007</v>
      </c>
      <c r="BC467" s="1072">
        <v>10.7</v>
      </c>
      <c r="BD467" s="1072"/>
      <c r="BE467" s="1072">
        <f t="shared" si="82"/>
        <v>0.5</v>
      </c>
      <c r="BF467" s="1073">
        <f>BE467*('Ввод исходных данных'!$D$83-BC467)</f>
        <v>4.6500000000000004</v>
      </c>
    </row>
    <row r="468" spans="2:58" ht="15.75" customHeight="1" x14ac:dyDescent="0.25">
      <c r="B468" s="1076" t="s">
        <v>629</v>
      </c>
      <c r="C468" s="1076" t="s">
        <v>426</v>
      </c>
      <c r="D468" s="1053" t="str">
        <f t="shared" si="91"/>
        <v>Ямало-Ненецкий автономный округУренгой</v>
      </c>
      <c r="E468" s="1054">
        <v>286</v>
      </c>
      <c r="F468" s="1055">
        <v>-13.1</v>
      </c>
      <c r="G468" s="1055">
        <v>-46</v>
      </c>
      <c r="H468" s="1057">
        <f>H467</f>
        <v>3.7</v>
      </c>
      <c r="I468" s="1058">
        <f>E468*('Ввод исходных данных'!$D$83-F468)</f>
        <v>9466.6</v>
      </c>
      <c r="J468" s="1059" t="str">
        <f t="shared" si="81"/>
        <v>9000-10000</v>
      </c>
      <c r="K468" s="1060">
        <v>15.4</v>
      </c>
      <c r="L468" s="1060"/>
      <c r="M468" s="1061">
        <f t="shared" si="83"/>
        <v>0</v>
      </c>
      <c r="N468" s="1062">
        <f>M468*('Ввод исходных данных'!$D$83-K468)</f>
        <v>0</v>
      </c>
      <c r="O468" s="1063">
        <v>11.3</v>
      </c>
      <c r="P468" s="1063"/>
      <c r="Q468" s="1063">
        <f t="shared" si="84"/>
        <v>6.5</v>
      </c>
      <c r="R468" s="1063">
        <f>Q468*('Ввод исходных данных'!$D$83-O468)</f>
        <v>56.55</v>
      </c>
      <c r="S468" s="1064">
        <v>5.2</v>
      </c>
      <c r="T468" s="1064"/>
      <c r="U468" s="1064">
        <f t="shared" si="85"/>
        <v>30</v>
      </c>
      <c r="V468" s="1064">
        <f>U468*('Ввод исходных данных'!$D$83-S468)</f>
        <v>444</v>
      </c>
      <c r="W468" s="1065">
        <v>-6.3</v>
      </c>
      <c r="X468" s="1065"/>
      <c r="Y468" s="1065">
        <f t="shared" si="86"/>
        <v>31</v>
      </c>
      <c r="Z468" s="1065">
        <f>Y468*('Ввод исходных данных'!$D$83-W468)</f>
        <v>815.30000000000007</v>
      </c>
      <c r="AA468" s="1066">
        <v>-18.2</v>
      </c>
      <c r="AB468" s="1066"/>
      <c r="AC468" s="1066">
        <f t="shared" si="87"/>
        <v>30</v>
      </c>
      <c r="AD468" s="1066">
        <f>AC468*('Ввод исходных данных'!$D$83-AA468)</f>
        <v>1146</v>
      </c>
      <c r="AE468" s="1067">
        <v>-24</v>
      </c>
      <c r="AF468" s="1067"/>
      <c r="AG468" s="1067">
        <v>31</v>
      </c>
      <c r="AH468" s="1067">
        <f>AG468*('Ввод исходных данных'!$D$83-AE468)</f>
        <v>1364</v>
      </c>
      <c r="AI468" s="1068">
        <v>-26.4</v>
      </c>
      <c r="AJ468" s="1068"/>
      <c r="AK468" s="1068">
        <v>31</v>
      </c>
      <c r="AL468" s="1068">
        <f>AK468*('Ввод исходных данных'!$D$83-AI468)</f>
        <v>1438.3999999999999</v>
      </c>
      <c r="AM468" s="1069">
        <v>-26.4</v>
      </c>
      <c r="AN468" s="1069"/>
      <c r="AO468" s="1069">
        <v>28</v>
      </c>
      <c r="AP468" s="1069">
        <f>AO468*('Ввод исходных данных'!$D$83-AM468)</f>
        <v>1299.2</v>
      </c>
      <c r="AQ468" s="1064">
        <v>-19.2</v>
      </c>
      <c r="AR468" s="1064"/>
      <c r="AS468" s="1064">
        <f t="shared" si="88"/>
        <v>31</v>
      </c>
      <c r="AT468" s="1064">
        <f>AS468*('Ввод исходных данных'!$D$83-AQ468)</f>
        <v>1215.2</v>
      </c>
      <c r="AU468" s="1070">
        <v>-10.3</v>
      </c>
      <c r="AV468" s="1070"/>
      <c r="AW468" s="1070">
        <f t="shared" si="89"/>
        <v>30</v>
      </c>
      <c r="AX468" s="1070">
        <f>AW468*('Ввод исходных данных'!$D$83-AU468)</f>
        <v>909</v>
      </c>
      <c r="AY468" s="1071">
        <v>-2.6</v>
      </c>
      <c r="AZ468" s="1071"/>
      <c r="BA468" s="1071">
        <f t="shared" si="90"/>
        <v>31</v>
      </c>
      <c r="BB468" s="1071">
        <f>BA468*('Ввод исходных данных'!$D$83-AY468)</f>
        <v>700.6</v>
      </c>
      <c r="BC468" s="1072">
        <v>8.4</v>
      </c>
      <c r="BD468" s="1072"/>
      <c r="BE468" s="1072">
        <f t="shared" si="82"/>
        <v>6.5</v>
      </c>
      <c r="BF468" s="1073">
        <f>BE468*('Ввод исходных данных'!$D$83-BC468)</f>
        <v>75.399999999999991</v>
      </c>
    </row>
    <row r="469" spans="2:58" ht="15.75" customHeight="1" x14ac:dyDescent="0.25">
      <c r="B469" s="1052" t="s">
        <v>427</v>
      </c>
      <c r="C469" s="1052" t="s">
        <v>428</v>
      </c>
      <c r="D469" s="1053" t="str">
        <f t="shared" si="91"/>
        <v>Ярославская областьЯрославль</v>
      </c>
      <c r="E469" s="1054">
        <v>221</v>
      </c>
      <c r="F469" s="1055">
        <v>-4</v>
      </c>
      <c r="G469" s="1055">
        <v>-31</v>
      </c>
      <c r="H469" s="1057">
        <v>5.5</v>
      </c>
      <c r="I469" s="1058">
        <f>E469*('Ввод исходных данных'!$D$83-F469)</f>
        <v>5304</v>
      </c>
      <c r="J469" s="1059" t="str">
        <f t="shared" si="81"/>
        <v>5000-6000</v>
      </c>
      <c r="K469" s="1060">
        <v>17.600000000000001</v>
      </c>
      <c r="L469" s="1060"/>
      <c r="M469" s="1061">
        <f t="shared" si="83"/>
        <v>0</v>
      </c>
      <c r="N469" s="1062">
        <f>M469*('Ввод исходных данных'!$D$83-K469)</f>
        <v>0</v>
      </c>
      <c r="O469" s="1063">
        <v>16</v>
      </c>
      <c r="P469" s="1063"/>
      <c r="Q469" s="1063">
        <f t="shared" si="84"/>
        <v>0</v>
      </c>
      <c r="R469" s="1063">
        <f>Q469*('Ввод исходных данных'!$D$83-O469)</f>
        <v>0</v>
      </c>
      <c r="S469" s="1064">
        <v>10</v>
      </c>
      <c r="T469" s="1064"/>
      <c r="U469" s="1064">
        <f t="shared" si="85"/>
        <v>4.5</v>
      </c>
      <c r="V469" s="1064">
        <f>U469*('Ввод исходных данных'!$D$83-S469)</f>
        <v>45</v>
      </c>
      <c r="W469" s="1065">
        <v>3.4</v>
      </c>
      <c r="X469" s="1065"/>
      <c r="Y469" s="1065">
        <f t="shared" si="86"/>
        <v>31</v>
      </c>
      <c r="Z469" s="1065">
        <f>Y469*('Ввод исходных данных'!$D$83-W469)</f>
        <v>514.6</v>
      </c>
      <c r="AA469" s="1066">
        <v>-2.7</v>
      </c>
      <c r="AB469" s="1066"/>
      <c r="AC469" s="1066">
        <f t="shared" si="87"/>
        <v>30</v>
      </c>
      <c r="AD469" s="1066">
        <f>AC469*('Ввод исходных данных'!$D$83-AA469)</f>
        <v>681</v>
      </c>
      <c r="AE469" s="1067">
        <v>-8.1</v>
      </c>
      <c r="AF469" s="1067"/>
      <c r="AG469" s="1067">
        <v>31</v>
      </c>
      <c r="AH469" s="1067">
        <f>AG469*('Ввод исходных данных'!$D$83-AE469)</f>
        <v>871.1</v>
      </c>
      <c r="AI469" s="1068">
        <v>-11.9</v>
      </c>
      <c r="AJ469" s="1068"/>
      <c r="AK469" s="1068">
        <v>31</v>
      </c>
      <c r="AL469" s="1068">
        <f>AK469*('Ввод исходных данных'!$D$83-AI469)</f>
        <v>988.9</v>
      </c>
      <c r="AM469" s="1069">
        <v>-10.7</v>
      </c>
      <c r="AN469" s="1069"/>
      <c r="AO469" s="1069">
        <v>28</v>
      </c>
      <c r="AP469" s="1069">
        <f>AO469*('Ввод исходных данных'!$D$83-AM469)</f>
        <v>859.6</v>
      </c>
      <c r="AQ469" s="1064">
        <v>-5.0999999999999996</v>
      </c>
      <c r="AR469" s="1064"/>
      <c r="AS469" s="1064">
        <f t="shared" si="88"/>
        <v>31</v>
      </c>
      <c r="AT469" s="1064">
        <f>AS469*('Ввод исходных данных'!$D$83-AQ469)</f>
        <v>778.1</v>
      </c>
      <c r="AU469" s="1070">
        <v>3.7</v>
      </c>
      <c r="AV469" s="1070"/>
      <c r="AW469" s="1070">
        <f t="shared" si="89"/>
        <v>30</v>
      </c>
      <c r="AX469" s="1070">
        <f>AW469*('Ввод исходных данных'!$D$83-AU469)</f>
        <v>489</v>
      </c>
      <c r="AY469" s="1071">
        <v>10.9</v>
      </c>
      <c r="AZ469" s="1071"/>
      <c r="BA469" s="1071">
        <f t="shared" si="90"/>
        <v>4.5</v>
      </c>
      <c r="BB469" s="1071">
        <f>BA469*('Ввод исходных данных'!$D$83-AY469)</f>
        <v>40.949999999999996</v>
      </c>
      <c r="BC469" s="1072">
        <v>15.7</v>
      </c>
      <c r="BD469" s="1072"/>
      <c r="BE469" s="1072">
        <f t="shared" si="82"/>
        <v>0</v>
      </c>
      <c r="BF469" s="1073">
        <f>BE469*('Ввод исходных данных'!$D$83-BC469)</f>
        <v>0</v>
      </c>
    </row>
    <row r="470" spans="2:58" ht="15.75" customHeight="1" x14ac:dyDescent="0.25">
      <c r="B470" s="1076" t="s">
        <v>630</v>
      </c>
      <c r="C470" s="1076" t="s">
        <v>709</v>
      </c>
      <c r="D470" s="1053" t="str">
        <f t="shared" si="91"/>
        <v>Республика КрымАй-Петри</v>
      </c>
      <c r="E470" s="1054">
        <v>209</v>
      </c>
      <c r="F470" s="1055">
        <v>0.7</v>
      </c>
      <c r="G470" s="1055">
        <v>-18</v>
      </c>
      <c r="H470" s="1057">
        <v>7.4</v>
      </c>
      <c r="I470" s="1058">
        <f>E470*('Ввод исходных данных'!$D$83-F470)</f>
        <v>4033.7000000000003</v>
      </c>
      <c r="J470" s="1059" t="str">
        <f t="shared" si="81"/>
        <v>4000-5000</v>
      </c>
      <c r="K470" s="1060"/>
      <c r="L470" s="1060"/>
      <c r="M470" s="1061">
        <f t="shared" si="83"/>
        <v>0</v>
      </c>
      <c r="N470" s="1062">
        <f>M470*('Ввод исходных данных'!$D$83-K470)</f>
        <v>0</v>
      </c>
      <c r="O470" s="1063"/>
      <c r="P470" s="1063"/>
      <c r="Q470" s="1063">
        <f t="shared" si="84"/>
        <v>0</v>
      </c>
      <c r="R470" s="1063">
        <f>Q470*('Ввод исходных данных'!$D$83-O470)</f>
        <v>0</v>
      </c>
      <c r="S470" s="1064"/>
      <c r="T470" s="1064"/>
      <c r="U470" s="1064">
        <f t="shared" si="85"/>
        <v>0</v>
      </c>
      <c r="V470" s="1064">
        <f>U470*('Ввод исходных данных'!$D$83-S470)</f>
        <v>0</v>
      </c>
      <c r="W470" s="1065">
        <v>6.5</v>
      </c>
      <c r="X470" s="1065"/>
      <c r="Y470" s="1065">
        <f t="shared" si="86"/>
        <v>29</v>
      </c>
      <c r="Z470" s="1065">
        <f>Y470*('Ввод исходных данных'!$D$83-W470)</f>
        <v>391.5</v>
      </c>
      <c r="AA470" s="1066">
        <v>2.6</v>
      </c>
      <c r="AB470" s="1066"/>
      <c r="AC470" s="1066">
        <f t="shared" si="87"/>
        <v>30</v>
      </c>
      <c r="AD470" s="1066">
        <f>AC470*('Ввод исходных данных'!$D$83-AA470)</f>
        <v>522</v>
      </c>
      <c r="AE470" s="1067">
        <v>-1.5</v>
      </c>
      <c r="AF470" s="1067"/>
      <c r="AG470" s="1067">
        <v>31</v>
      </c>
      <c r="AH470" s="1067">
        <f>AG470*('Ввод исходных данных'!$D$83-AE470)</f>
        <v>666.5</v>
      </c>
      <c r="AI470" s="1068">
        <v>-3.6</v>
      </c>
      <c r="AJ470" s="1068"/>
      <c r="AK470" s="1068">
        <v>31</v>
      </c>
      <c r="AL470" s="1068">
        <f>AK470*('Ввод исходных данных'!$D$83-AI470)</f>
        <v>731.6</v>
      </c>
      <c r="AM470" s="1069">
        <v>-3.1</v>
      </c>
      <c r="AN470" s="1069"/>
      <c r="AO470" s="1069">
        <v>28</v>
      </c>
      <c r="AP470" s="1069">
        <f>AO470*('Ввод исходных данных'!$D$83-AM470)</f>
        <v>646.80000000000007</v>
      </c>
      <c r="AQ470" s="1064">
        <v>-0.6</v>
      </c>
      <c r="AR470" s="1064"/>
      <c r="AS470" s="1064">
        <f t="shared" si="88"/>
        <v>31</v>
      </c>
      <c r="AT470" s="1064">
        <f>AS470*('Ввод исходных данных'!$D$83-AQ470)</f>
        <v>638.6</v>
      </c>
      <c r="AU470" s="1070">
        <v>4.9000000000000004</v>
      </c>
      <c r="AV470" s="1070"/>
      <c r="AW470" s="1070">
        <f t="shared" si="89"/>
        <v>29</v>
      </c>
      <c r="AX470" s="1070">
        <f>AW470*('Ввод исходных данных'!$D$83-AU470)</f>
        <v>437.9</v>
      </c>
      <c r="AY470" s="1071"/>
      <c r="AZ470" s="1071"/>
      <c r="BA470" s="1071">
        <f t="shared" si="90"/>
        <v>0</v>
      </c>
      <c r="BB470" s="1071">
        <f>BA470*('Ввод исходных данных'!$D$83-AY470)</f>
        <v>0</v>
      </c>
      <c r="BC470" s="1072"/>
      <c r="BD470" s="1072"/>
      <c r="BE470" s="1072">
        <f t="shared" si="82"/>
        <v>0</v>
      </c>
      <c r="BF470" s="1073">
        <f>BE470*('Ввод исходных данных'!$D$83-BC470)</f>
        <v>0</v>
      </c>
    </row>
    <row r="471" spans="2:58" ht="15.75" customHeight="1" x14ac:dyDescent="0.25">
      <c r="B471" s="1052" t="s">
        <v>630</v>
      </c>
      <c r="C471" s="1052" t="s">
        <v>710</v>
      </c>
      <c r="D471" s="1053" t="str">
        <f t="shared" si="91"/>
        <v>Республика КрымКлепинино</v>
      </c>
      <c r="E471" s="1054">
        <v>156</v>
      </c>
      <c r="F471" s="1055">
        <v>2</v>
      </c>
      <c r="G471" s="1055">
        <v>-21</v>
      </c>
      <c r="H471" s="1057">
        <v>7.4</v>
      </c>
      <c r="I471" s="1058">
        <f>E471*('Ввод исходных данных'!$D$83-F471)</f>
        <v>2808</v>
      </c>
      <c r="J471" s="1059" t="str">
        <f t="shared" si="81"/>
        <v>2000-3000</v>
      </c>
      <c r="K471" s="1060"/>
      <c r="L471" s="1060"/>
      <c r="M471" s="1061">
        <f t="shared" si="83"/>
        <v>0</v>
      </c>
      <c r="N471" s="1062">
        <f>M471*('Ввод исходных данных'!$D$83-K471)</f>
        <v>0</v>
      </c>
      <c r="O471" s="1063"/>
      <c r="P471" s="1063"/>
      <c r="Q471" s="1063">
        <f t="shared" si="84"/>
        <v>0</v>
      </c>
      <c r="R471" s="1063">
        <f>Q471*('Ввод исходных данных'!$D$83-O471)</f>
        <v>0</v>
      </c>
      <c r="S471" s="1064"/>
      <c r="T471" s="1064"/>
      <c r="U471" s="1064">
        <f t="shared" si="85"/>
        <v>0</v>
      </c>
      <c r="V471" s="1064">
        <f>U471*('Ввод исходных данных'!$D$83-S471)</f>
        <v>0</v>
      </c>
      <c r="W471" s="1065">
        <v>10.4</v>
      </c>
      <c r="X471" s="1065"/>
      <c r="Y471" s="1065">
        <f t="shared" si="86"/>
        <v>2.5</v>
      </c>
      <c r="Z471" s="1065">
        <f>Y471*('Ввод исходных данных'!$D$83-W471)</f>
        <v>24</v>
      </c>
      <c r="AA471" s="1066">
        <v>5.9</v>
      </c>
      <c r="AB471" s="1066"/>
      <c r="AC471" s="1066">
        <f t="shared" si="87"/>
        <v>30</v>
      </c>
      <c r="AD471" s="1066">
        <f>AC471*('Ввод исходных данных'!$D$83-AA471)</f>
        <v>423</v>
      </c>
      <c r="AE471" s="1067">
        <v>1.9</v>
      </c>
      <c r="AF471" s="1067"/>
      <c r="AG471" s="1067">
        <v>31</v>
      </c>
      <c r="AH471" s="1067">
        <f>AG471*('Ввод исходных данных'!$D$83-AE471)</f>
        <v>561.1</v>
      </c>
      <c r="AI471" s="1068">
        <v>-1.5</v>
      </c>
      <c r="AJ471" s="1068"/>
      <c r="AK471" s="1068">
        <v>31</v>
      </c>
      <c r="AL471" s="1068">
        <f>AK471*('Ввод исходных данных'!$D$83-AI471)</f>
        <v>666.5</v>
      </c>
      <c r="AM471" s="1069">
        <v>-0.5</v>
      </c>
      <c r="AN471" s="1069"/>
      <c r="AO471" s="1069">
        <v>28</v>
      </c>
      <c r="AP471" s="1069">
        <f>AO471*('Ввод исходных данных'!$D$83-AM471)</f>
        <v>574</v>
      </c>
      <c r="AQ471" s="1064">
        <v>3.1</v>
      </c>
      <c r="AR471" s="1064"/>
      <c r="AS471" s="1064">
        <f t="shared" si="88"/>
        <v>31</v>
      </c>
      <c r="AT471" s="1064">
        <f>AS471*('Ввод исходных данных'!$D$83-AQ471)</f>
        <v>523.9</v>
      </c>
      <c r="AU471" s="1070">
        <v>10.4</v>
      </c>
      <c r="AV471" s="1070"/>
      <c r="AW471" s="1070">
        <f t="shared" si="89"/>
        <v>2.5</v>
      </c>
      <c r="AX471" s="1070">
        <f>AW471*('Ввод исходных данных'!$D$83-AU471)</f>
        <v>24</v>
      </c>
      <c r="AY471" s="1071"/>
      <c r="AZ471" s="1071"/>
      <c r="BA471" s="1071">
        <f t="shared" si="90"/>
        <v>0</v>
      </c>
      <c r="BB471" s="1071">
        <f>BA471*('Ввод исходных данных'!$D$83-AY471)</f>
        <v>0</v>
      </c>
      <c r="BC471" s="1072"/>
      <c r="BD471" s="1072"/>
      <c r="BE471" s="1072">
        <f t="shared" si="82"/>
        <v>0</v>
      </c>
      <c r="BF471" s="1073">
        <f>BE471*('Ввод исходных данных'!$D$83-BC471)</f>
        <v>0</v>
      </c>
    </row>
    <row r="472" spans="2:58" ht="15.75" customHeight="1" x14ac:dyDescent="0.25">
      <c r="B472" s="1076" t="s">
        <v>630</v>
      </c>
      <c r="C472" s="1076" t="s">
        <v>711</v>
      </c>
      <c r="D472" s="1053" t="str">
        <f t="shared" si="91"/>
        <v>Республика КрымСимферополь</v>
      </c>
      <c r="E472" s="1054">
        <v>153</v>
      </c>
      <c r="F472" s="1055">
        <v>2.6</v>
      </c>
      <c r="G472" s="1055">
        <v>-15</v>
      </c>
      <c r="H472" s="1057">
        <v>7.4</v>
      </c>
      <c r="I472" s="1058">
        <f>E472*('Ввод исходных данных'!$D$83-F472)</f>
        <v>2662.2</v>
      </c>
      <c r="J472" s="1059" t="str">
        <f t="shared" si="81"/>
        <v>2000-3000</v>
      </c>
      <c r="K472" s="1060"/>
      <c r="L472" s="1060"/>
      <c r="M472" s="1061">
        <f t="shared" si="83"/>
        <v>0</v>
      </c>
      <c r="N472" s="1062">
        <f>M472*('Ввод исходных данных'!$D$83-K472)</f>
        <v>0</v>
      </c>
      <c r="O472" s="1063"/>
      <c r="P472" s="1063"/>
      <c r="Q472" s="1063">
        <f t="shared" si="84"/>
        <v>0</v>
      </c>
      <c r="R472" s="1063">
        <f>Q472*('Ввод исходных данных'!$D$83-O472)</f>
        <v>0</v>
      </c>
      <c r="S472" s="1064"/>
      <c r="T472" s="1064"/>
      <c r="U472" s="1064">
        <f t="shared" si="85"/>
        <v>0</v>
      </c>
      <c r="V472" s="1064">
        <f>U472*('Ввод исходных данных'!$D$83-S472)</f>
        <v>0</v>
      </c>
      <c r="W472" s="1065">
        <v>10.7</v>
      </c>
      <c r="X472" s="1065"/>
      <c r="Y472" s="1065">
        <f t="shared" si="86"/>
        <v>1</v>
      </c>
      <c r="Z472" s="1065">
        <f>Y472*('Ввод исходных данных'!$D$83-W472)</f>
        <v>9.3000000000000007</v>
      </c>
      <c r="AA472" s="1066">
        <v>6.3</v>
      </c>
      <c r="AB472" s="1066"/>
      <c r="AC472" s="1066">
        <f t="shared" si="87"/>
        <v>30</v>
      </c>
      <c r="AD472" s="1066">
        <f>AC472*('Ввод исходных данных'!$D$83-AA472)</f>
        <v>411</v>
      </c>
      <c r="AE472" s="1067">
        <v>2.4</v>
      </c>
      <c r="AF472" s="1067"/>
      <c r="AG472" s="1067">
        <v>31</v>
      </c>
      <c r="AH472" s="1067">
        <f>AG472*('Ввод исходных данных'!$D$83-AE472)</f>
        <v>545.6</v>
      </c>
      <c r="AI472" s="1068">
        <v>-0.5</v>
      </c>
      <c r="AJ472" s="1068"/>
      <c r="AK472" s="1068">
        <v>31</v>
      </c>
      <c r="AL472" s="1068">
        <f>AK472*('Ввод исходных данных'!$D$83-AI472)</f>
        <v>635.5</v>
      </c>
      <c r="AM472" s="1069">
        <v>0.4</v>
      </c>
      <c r="AN472" s="1069"/>
      <c r="AO472" s="1069">
        <v>28</v>
      </c>
      <c r="AP472" s="1069">
        <f>AO472*('Ввод исходных данных'!$D$83-AM472)</f>
        <v>548.80000000000007</v>
      </c>
      <c r="AQ472" s="1064">
        <v>3.6</v>
      </c>
      <c r="AR472" s="1064"/>
      <c r="AS472" s="1064">
        <f t="shared" si="88"/>
        <v>31</v>
      </c>
      <c r="AT472" s="1064">
        <f>AS472*('Ввод исходных данных'!$D$83-AQ472)</f>
        <v>508.4</v>
      </c>
      <c r="AU472" s="1070">
        <v>10.199999999999999</v>
      </c>
      <c r="AV472" s="1070"/>
      <c r="AW472" s="1070">
        <f t="shared" si="89"/>
        <v>1</v>
      </c>
      <c r="AX472" s="1070">
        <f>AW472*('Ввод исходных данных'!$D$83-AU472)</f>
        <v>9.8000000000000007</v>
      </c>
      <c r="AY472" s="1071"/>
      <c r="AZ472" s="1071"/>
      <c r="BA472" s="1071">
        <f t="shared" si="90"/>
        <v>0</v>
      </c>
      <c r="BB472" s="1071">
        <f>BA472*('Ввод исходных данных'!$D$83-AY472)</f>
        <v>0</v>
      </c>
      <c r="BC472" s="1072"/>
      <c r="BD472" s="1072"/>
      <c r="BE472" s="1072">
        <f t="shared" si="82"/>
        <v>0</v>
      </c>
      <c r="BF472" s="1073">
        <f>BE472*('Ввод исходных данных'!$D$83-BC472)</f>
        <v>0</v>
      </c>
    </row>
    <row r="473" spans="2:58" ht="15.75" customHeight="1" x14ac:dyDescent="0.25">
      <c r="B473" s="1052" t="s">
        <v>630</v>
      </c>
      <c r="C473" s="1052" t="s">
        <v>712</v>
      </c>
      <c r="D473" s="1053" t="str">
        <f t="shared" si="91"/>
        <v>Республика КрымФеодосия</v>
      </c>
      <c r="E473" s="1054">
        <v>140</v>
      </c>
      <c r="F473" s="1055">
        <v>3.4</v>
      </c>
      <c r="G473" s="1055">
        <v>-15</v>
      </c>
      <c r="H473" s="1057">
        <v>7.4</v>
      </c>
      <c r="I473" s="1058">
        <f>E473*('Ввод исходных данных'!$D$83-F473)</f>
        <v>2324</v>
      </c>
      <c r="J473" s="1059" t="str">
        <f t="shared" si="81"/>
        <v>2000-3000</v>
      </c>
      <c r="K473" s="1060"/>
      <c r="L473" s="1060"/>
      <c r="M473" s="1061">
        <f t="shared" si="83"/>
        <v>0</v>
      </c>
      <c r="N473" s="1062">
        <f>M473*('Ввод исходных данных'!$D$83-K473)</f>
        <v>0</v>
      </c>
      <c r="O473" s="1063"/>
      <c r="P473" s="1063"/>
      <c r="Q473" s="1063">
        <f t="shared" si="84"/>
        <v>0</v>
      </c>
      <c r="R473" s="1063">
        <f>Q473*('Ввод исходных данных'!$D$83-O473)</f>
        <v>0</v>
      </c>
      <c r="S473" s="1064"/>
      <c r="T473" s="1064"/>
      <c r="U473" s="1064">
        <f t="shared" si="85"/>
        <v>0</v>
      </c>
      <c r="V473" s="1064">
        <f>U473*('Ввод исходных данных'!$D$83-S473)</f>
        <v>0</v>
      </c>
      <c r="W473" s="1065">
        <v>12.4</v>
      </c>
      <c r="X473" s="1065"/>
      <c r="Y473" s="1065">
        <f t="shared" si="86"/>
        <v>0</v>
      </c>
      <c r="Z473" s="1065">
        <f>Y473*('Ввод исходных данных'!$D$83-W473)</f>
        <v>0</v>
      </c>
      <c r="AA473" s="1066">
        <v>7.8</v>
      </c>
      <c r="AB473" s="1066"/>
      <c r="AC473" s="1066">
        <f t="shared" si="87"/>
        <v>25</v>
      </c>
      <c r="AD473" s="1066">
        <f>AC473*('Ввод исходных данных'!$D$83-AA473)</f>
        <v>305</v>
      </c>
      <c r="AE473" s="1067">
        <v>4.0999999999999996</v>
      </c>
      <c r="AF473" s="1067"/>
      <c r="AG473" s="1067">
        <v>31</v>
      </c>
      <c r="AH473" s="1067">
        <f>AG473*('Ввод исходных данных'!$D$83-AE473)</f>
        <v>492.90000000000003</v>
      </c>
      <c r="AI473" s="1068">
        <v>0.8</v>
      </c>
      <c r="AJ473" s="1068"/>
      <c r="AK473" s="1068">
        <v>31</v>
      </c>
      <c r="AL473" s="1068">
        <f>AK473*('Ввод исходных данных'!$D$83-AI473)</f>
        <v>595.19999999999993</v>
      </c>
      <c r="AM473" s="1069">
        <v>1.4</v>
      </c>
      <c r="AN473" s="1069"/>
      <c r="AO473" s="1069">
        <v>28</v>
      </c>
      <c r="AP473" s="1069">
        <f>AO473*('Ввод исходных данных'!$D$83-AM473)</f>
        <v>520.80000000000007</v>
      </c>
      <c r="AQ473" s="1064">
        <v>4.4000000000000004</v>
      </c>
      <c r="AR473" s="1064"/>
      <c r="AS473" s="1064">
        <f t="shared" si="88"/>
        <v>25</v>
      </c>
      <c r="AT473" s="1064">
        <f>AS473*('Ввод исходных данных'!$D$83-AQ473)</f>
        <v>390</v>
      </c>
      <c r="AU473" s="1070">
        <v>10.6</v>
      </c>
      <c r="AV473" s="1070"/>
      <c r="AW473" s="1070">
        <f t="shared" si="89"/>
        <v>0</v>
      </c>
      <c r="AX473" s="1070">
        <f>AW473*('Ввод исходных данных'!$D$83-AU473)</f>
        <v>0</v>
      </c>
      <c r="AY473" s="1071"/>
      <c r="AZ473" s="1071"/>
      <c r="BA473" s="1071">
        <f t="shared" si="90"/>
        <v>0</v>
      </c>
      <c r="BB473" s="1071">
        <f>BA473*('Ввод исходных данных'!$D$83-AY473)</f>
        <v>0</v>
      </c>
      <c r="BC473" s="1072"/>
      <c r="BD473" s="1072"/>
      <c r="BE473" s="1072">
        <f t="shared" si="82"/>
        <v>0</v>
      </c>
      <c r="BF473" s="1073">
        <f>BE473*('Ввод исходных данных'!$D$83-BC473)</f>
        <v>0</v>
      </c>
    </row>
    <row r="474" spans="2:58" ht="15.75" customHeight="1" x14ac:dyDescent="0.25">
      <c r="B474" s="1076" t="s">
        <v>630</v>
      </c>
      <c r="C474" s="1076" t="s">
        <v>713</v>
      </c>
      <c r="D474" s="1053" t="str">
        <f t="shared" si="91"/>
        <v>Республика КрымЯлта</v>
      </c>
      <c r="E474" s="1054">
        <v>119</v>
      </c>
      <c r="F474" s="1055">
        <v>5.0999999999999996</v>
      </c>
      <c r="G474" s="1055">
        <v>-6</v>
      </c>
      <c r="H474" s="1057">
        <v>7.4</v>
      </c>
      <c r="I474" s="1058">
        <f>E474*('Ввод исходных данных'!$D$83-F474)</f>
        <v>1773.1000000000001</v>
      </c>
      <c r="J474" s="1059" t="str">
        <f t="shared" si="81"/>
        <v>1000-2000</v>
      </c>
      <c r="K474" s="1060"/>
      <c r="L474" s="1060"/>
      <c r="M474" s="1061">
        <f t="shared" si="83"/>
        <v>0</v>
      </c>
      <c r="N474" s="1062">
        <f>M474*('Ввод исходных данных'!$D$83-K474)</f>
        <v>0</v>
      </c>
      <c r="O474" s="1063"/>
      <c r="P474" s="1063"/>
      <c r="Q474" s="1063">
        <f t="shared" si="84"/>
        <v>0</v>
      </c>
      <c r="R474" s="1063">
        <f>Q474*('Ввод исходных данных'!$D$83-O474)</f>
        <v>0</v>
      </c>
      <c r="S474" s="1064"/>
      <c r="T474" s="1064"/>
      <c r="U474" s="1064">
        <f t="shared" si="85"/>
        <v>0</v>
      </c>
      <c r="V474" s="1064">
        <f>U474*('Ввод исходных данных'!$D$83-S474)</f>
        <v>0</v>
      </c>
      <c r="W474" s="1065">
        <v>13.6</v>
      </c>
      <c r="X474" s="1065"/>
      <c r="Y474" s="1065">
        <f t="shared" si="86"/>
        <v>0</v>
      </c>
      <c r="Z474" s="1065">
        <f>Y474*('Ввод исходных данных'!$D$83-W474)</f>
        <v>0</v>
      </c>
      <c r="AA474" s="1066">
        <v>9.5</v>
      </c>
      <c r="AB474" s="1066"/>
      <c r="AC474" s="1066">
        <f t="shared" si="87"/>
        <v>14.5</v>
      </c>
      <c r="AD474" s="1066">
        <f>AC474*('Ввод исходных данных'!$D$83-AA474)</f>
        <v>152.25</v>
      </c>
      <c r="AE474" s="1067">
        <v>6.3</v>
      </c>
      <c r="AF474" s="1067"/>
      <c r="AG474" s="1067">
        <v>31</v>
      </c>
      <c r="AH474" s="1067">
        <f>AG474*('Ввод исходных данных'!$D$83-AE474)</f>
        <v>424.7</v>
      </c>
      <c r="AI474" s="1068">
        <v>3.9</v>
      </c>
      <c r="AJ474" s="1068"/>
      <c r="AK474" s="1068">
        <v>31</v>
      </c>
      <c r="AL474" s="1068">
        <f>AK474*('Ввод исходных данных'!$D$83-AI474)</f>
        <v>499.1</v>
      </c>
      <c r="AM474" s="1069">
        <v>4.2</v>
      </c>
      <c r="AN474" s="1069"/>
      <c r="AO474" s="1069">
        <v>28</v>
      </c>
      <c r="AP474" s="1069">
        <f>AO474*('Ввод исходных данных'!$D$83-AM474)</f>
        <v>442.40000000000003</v>
      </c>
      <c r="AQ474" s="1064">
        <v>6</v>
      </c>
      <c r="AR474" s="1064"/>
      <c r="AS474" s="1064">
        <f t="shared" si="88"/>
        <v>14.5</v>
      </c>
      <c r="AT474" s="1064">
        <f>AS474*('Ввод исходных данных'!$D$83-AQ474)</f>
        <v>203</v>
      </c>
      <c r="AU474" s="1070">
        <v>10.8</v>
      </c>
      <c r="AV474" s="1070"/>
      <c r="AW474" s="1070">
        <f t="shared" si="89"/>
        <v>0</v>
      </c>
      <c r="AX474" s="1070">
        <f>AW474*('Ввод исходных данных'!$D$83-AU474)</f>
        <v>0</v>
      </c>
      <c r="AY474" s="1071"/>
      <c r="AZ474" s="1071"/>
      <c r="BA474" s="1071">
        <f t="shared" si="90"/>
        <v>0</v>
      </c>
      <c r="BB474" s="1071">
        <f>BA474*('Ввод исходных данных'!$D$83-AY474)</f>
        <v>0</v>
      </c>
      <c r="BC474" s="1072"/>
      <c r="BD474" s="1072"/>
      <c r="BE474" s="1072">
        <f t="shared" si="82"/>
        <v>0</v>
      </c>
      <c r="BF474" s="1073">
        <f>BE474*('Ввод исходных данных'!$D$83-BC474)</f>
        <v>0</v>
      </c>
    </row>
    <row r="475" spans="2:58" ht="15.75" customHeight="1" x14ac:dyDescent="0.25">
      <c r="B475" s="1052" t="s">
        <v>631</v>
      </c>
      <c r="C475" s="1052" t="s">
        <v>631</v>
      </c>
      <c r="D475" s="1053" t="str">
        <f t="shared" si="91"/>
        <v>Севастополь г.Севастополь г.</v>
      </c>
      <c r="E475" s="1054">
        <f>E472</f>
        <v>153</v>
      </c>
      <c r="F475" s="1054">
        <f>F472</f>
        <v>2.6</v>
      </c>
      <c r="G475" s="1054">
        <f>G472</f>
        <v>-15</v>
      </c>
      <c r="H475" s="1054">
        <v>7.4</v>
      </c>
      <c r="I475" s="1058">
        <f>E475*('Ввод исходных данных'!$D$83-F475)</f>
        <v>2662.2</v>
      </c>
      <c r="J475" s="1059" t="str">
        <f t="shared" si="81"/>
        <v>2000-3000</v>
      </c>
      <c r="K475" s="1060"/>
      <c r="L475" s="1060"/>
      <c r="M475" s="1061">
        <f t="shared" si="83"/>
        <v>0</v>
      </c>
      <c r="N475" s="1062">
        <f>M475*('Ввод исходных данных'!$D$83-K475)</f>
        <v>0</v>
      </c>
      <c r="O475" s="1063"/>
      <c r="P475" s="1063"/>
      <c r="Q475" s="1063">
        <f t="shared" si="84"/>
        <v>0</v>
      </c>
      <c r="R475" s="1063">
        <f>Q475*('Ввод исходных данных'!$D$83-O475)</f>
        <v>0</v>
      </c>
      <c r="S475" s="1064"/>
      <c r="T475" s="1064"/>
      <c r="U475" s="1064">
        <f t="shared" si="85"/>
        <v>0</v>
      </c>
      <c r="V475" s="1064">
        <f>U475*('Ввод исходных данных'!$D$83-S475)</f>
        <v>0</v>
      </c>
      <c r="W475" s="1065">
        <f>W472</f>
        <v>10.7</v>
      </c>
      <c r="X475" s="1065"/>
      <c r="Y475" s="1065">
        <f t="shared" si="86"/>
        <v>1</v>
      </c>
      <c r="Z475" s="1065">
        <f>Y475*('Ввод исходных данных'!$D$83-W475)</f>
        <v>9.3000000000000007</v>
      </c>
      <c r="AA475" s="1066">
        <f>AA472</f>
        <v>6.3</v>
      </c>
      <c r="AB475" s="1066"/>
      <c r="AC475" s="1066">
        <f t="shared" si="87"/>
        <v>30</v>
      </c>
      <c r="AD475" s="1066">
        <f>AC475*('Ввод исходных данных'!$D$83-AA475)</f>
        <v>411</v>
      </c>
      <c r="AE475" s="1067">
        <f>AE472</f>
        <v>2.4</v>
      </c>
      <c r="AF475" s="1067"/>
      <c r="AG475" s="1067">
        <v>31</v>
      </c>
      <c r="AH475" s="1067">
        <f>AG475*('Ввод исходных данных'!$D$83-AE475)</f>
        <v>545.6</v>
      </c>
      <c r="AI475" s="1068">
        <f>AI472</f>
        <v>-0.5</v>
      </c>
      <c r="AJ475" s="1068"/>
      <c r="AK475" s="1068">
        <v>31</v>
      </c>
      <c r="AL475" s="1068">
        <f>AK475*('Ввод исходных данных'!$D$83-AI475)</f>
        <v>635.5</v>
      </c>
      <c r="AM475" s="1069">
        <f>AM472</f>
        <v>0.4</v>
      </c>
      <c r="AN475" s="1069"/>
      <c r="AO475" s="1069">
        <v>28</v>
      </c>
      <c r="AP475" s="1069">
        <f>AO475*('Ввод исходных данных'!$D$83-AM475)</f>
        <v>548.80000000000007</v>
      </c>
      <c r="AQ475" s="1064">
        <f>AQ472</f>
        <v>3.6</v>
      </c>
      <c r="AR475" s="1064"/>
      <c r="AS475" s="1064">
        <f t="shared" si="88"/>
        <v>31</v>
      </c>
      <c r="AT475" s="1064">
        <f>AS475*('Ввод исходных данных'!$D$83-AQ475)</f>
        <v>508.4</v>
      </c>
      <c r="AU475" s="1070">
        <f>AU472</f>
        <v>10.199999999999999</v>
      </c>
      <c r="AV475" s="1070"/>
      <c r="AW475" s="1070">
        <f t="shared" si="89"/>
        <v>1</v>
      </c>
      <c r="AX475" s="1070">
        <f>AW475*('Ввод исходных данных'!$D$83-AU475)</f>
        <v>9.8000000000000007</v>
      </c>
      <c r="AY475" s="1071"/>
      <c r="AZ475" s="1071"/>
      <c r="BA475" s="1071">
        <f t="shared" si="90"/>
        <v>0</v>
      </c>
      <c r="BB475" s="1071">
        <f>BA475*('Ввод исходных данных'!$D$83-AY475)</f>
        <v>0</v>
      </c>
      <c r="BC475" s="1072"/>
      <c r="BD475" s="1072"/>
      <c r="BE475" s="1072">
        <f t="shared" si="82"/>
        <v>0</v>
      </c>
      <c r="BF475" s="1073">
        <f>BE475*('Ввод исходных данных'!$D$83-BC475)</f>
        <v>0</v>
      </c>
    </row>
    <row r="476" spans="2:58" ht="15.75" customHeight="1" x14ac:dyDescent="0.25">
      <c r="B476" s="1076"/>
      <c r="C476" s="1076"/>
      <c r="D476" s="1053"/>
      <c r="E476" s="1054"/>
      <c r="F476" s="1055"/>
      <c r="G476" s="1055"/>
      <c r="H476" s="1057"/>
      <c r="I476" s="1058"/>
      <c r="J476" s="1059"/>
      <c r="K476" s="1060"/>
      <c r="L476" s="1060"/>
      <c r="M476" s="1061">
        <f t="shared" si="83"/>
        <v>0</v>
      </c>
      <c r="N476" s="1062">
        <f>M476*('Ввод исходных данных'!$D$83-K476)</f>
        <v>0</v>
      </c>
      <c r="O476" s="1063"/>
      <c r="P476" s="1063"/>
      <c r="Q476" s="1063">
        <f t="shared" si="84"/>
        <v>0</v>
      </c>
      <c r="R476" s="1063">
        <f>Q476*('Ввод исходных данных'!$D$83-O476)</f>
        <v>0</v>
      </c>
      <c r="S476" s="1064"/>
      <c r="T476" s="1064"/>
      <c r="U476" s="1064">
        <f t="shared" si="85"/>
        <v>0</v>
      </c>
      <c r="V476" s="1064">
        <f>U476*('Ввод исходных данных'!$D$83-S476)</f>
        <v>0</v>
      </c>
      <c r="W476" s="1065"/>
      <c r="X476" s="1065"/>
      <c r="Y476" s="1065">
        <f t="shared" si="86"/>
        <v>0</v>
      </c>
      <c r="Z476" s="1065">
        <f>Y476*('Ввод исходных данных'!$D$83-W476)</f>
        <v>0</v>
      </c>
      <c r="AA476" s="1066"/>
      <c r="AB476" s="1066"/>
      <c r="AC476" s="1066">
        <f t="shared" si="87"/>
        <v>-45</v>
      </c>
      <c r="AD476" s="1066">
        <f>AC476*('Ввод исходных данных'!$D$83-AA476)</f>
        <v>-900</v>
      </c>
      <c r="AE476" s="1067"/>
      <c r="AF476" s="1067"/>
      <c r="AG476" s="1067">
        <v>31</v>
      </c>
      <c r="AH476" s="1067">
        <f>AG476*('Ввод исходных данных'!$D$83-AE476)</f>
        <v>620</v>
      </c>
      <c r="AI476" s="1068"/>
      <c r="AJ476" s="1068"/>
      <c r="AK476" s="1068">
        <v>31</v>
      </c>
      <c r="AL476" s="1068">
        <f>AK476*('Ввод исходных данных'!$D$83-AI476)</f>
        <v>620</v>
      </c>
      <c r="AM476" s="1069"/>
      <c r="AN476" s="1069"/>
      <c r="AO476" s="1069">
        <v>28</v>
      </c>
      <c r="AP476" s="1069">
        <f>AO476*('Ввод исходных данных'!$D$83-AM476)</f>
        <v>560</v>
      </c>
      <c r="AQ476" s="1064"/>
      <c r="AR476" s="1064"/>
      <c r="AS476" s="1064">
        <f t="shared" si="88"/>
        <v>-45</v>
      </c>
      <c r="AT476" s="1064">
        <f>AS476*('Ввод исходных данных'!$D$83-AQ476)</f>
        <v>-900</v>
      </c>
      <c r="AU476" s="1070"/>
      <c r="AV476" s="1070"/>
      <c r="AW476" s="1070">
        <f t="shared" si="89"/>
        <v>0</v>
      </c>
      <c r="AX476" s="1070">
        <f>AW476*('Ввод исходных данных'!$D$83-AU476)</f>
        <v>0</v>
      </c>
      <c r="AY476" s="1071"/>
      <c r="AZ476" s="1071"/>
      <c r="BA476" s="1071">
        <f t="shared" si="90"/>
        <v>0</v>
      </c>
      <c r="BB476" s="1071">
        <f>BA476*('Ввод исходных данных'!$D$83-AY476)</f>
        <v>0</v>
      </c>
      <c r="BC476" s="1072"/>
      <c r="BD476" s="1072"/>
      <c r="BE476" s="1072">
        <f t="shared" si="82"/>
        <v>0</v>
      </c>
      <c r="BF476" s="1073">
        <f>BE476*('Ввод исходных данных'!$D$83-BC476)</f>
        <v>0</v>
      </c>
    </row>
    <row r="477" spans="2:58" ht="15.75" customHeight="1" x14ac:dyDescent="0.25">
      <c r="B477" s="1052"/>
      <c r="C477" s="1052"/>
      <c r="D477" s="1053"/>
      <c r="E477" s="1054"/>
      <c r="F477" s="1055"/>
      <c r="G477" s="1055"/>
      <c r="H477" s="1057"/>
      <c r="I477" s="1058"/>
      <c r="J477" s="1059"/>
      <c r="K477" s="1060"/>
      <c r="L477" s="1060"/>
      <c r="M477" s="1061">
        <f t="shared" si="83"/>
        <v>0</v>
      </c>
      <c r="N477" s="1060">
        <f t="shared" ref="N477:N522" si="92">M477*(20-K477)</f>
        <v>0</v>
      </c>
      <c r="O477" s="1063"/>
      <c r="P477" s="1063"/>
      <c r="Q477" s="1063">
        <f t="shared" si="84"/>
        <v>0</v>
      </c>
      <c r="R477" s="1063">
        <f t="shared" ref="R477:R522" si="93">Q477*(20-O477)</f>
        <v>0</v>
      </c>
      <c r="S477" s="1064"/>
      <c r="T477" s="1064"/>
      <c r="U477" s="1064">
        <f t="shared" si="85"/>
        <v>0</v>
      </c>
      <c r="V477" s="1064">
        <f t="shared" ref="V477:V522" si="94">U477*(20-S477)</f>
        <v>0</v>
      </c>
      <c r="W477" s="1065"/>
      <c r="X477" s="1065"/>
      <c r="Y477" s="1065">
        <f t="shared" si="86"/>
        <v>0</v>
      </c>
      <c r="Z477" s="1065">
        <f t="shared" ref="Z477:Z522" si="95">Y477*(20-W477)</f>
        <v>0</v>
      </c>
      <c r="AA477" s="1066"/>
      <c r="AB477" s="1066"/>
      <c r="AC477" s="1066">
        <f t="shared" si="87"/>
        <v>-45</v>
      </c>
      <c r="AD477" s="1066">
        <f t="shared" ref="AD477:AD522" si="96">AC477*(20-AA477)</f>
        <v>-900</v>
      </c>
      <c r="AE477" s="1067"/>
      <c r="AF477" s="1067"/>
      <c r="AG477" s="1067">
        <v>31</v>
      </c>
      <c r="AH477" s="1067">
        <f t="shared" ref="AH477:AH521" si="97">AG477*(20-AE477)</f>
        <v>620</v>
      </c>
      <c r="AI477" s="1068"/>
      <c r="AJ477" s="1068"/>
      <c r="AK477" s="1068">
        <v>31</v>
      </c>
      <c r="AL477" s="1068">
        <f t="shared" ref="AL477:AL521" si="98">AK477*(20-AI477)</f>
        <v>620</v>
      </c>
      <c r="AM477" s="1069"/>
      <c r="AN477" s="1069"/>
      <c r="AO477" s="1069">
        <v>28</v>
      </c>
      <c r="AP477" s="1069">
        <f t="shared" ref="AP477:AP521" si="99">AO477*(20-AM477)</f>
        <v>560</v>
      </c>
      <c r="AQ477" s="1064"/>
      <c r="AR477" s="1064"/>
      <c r="AS477" s="1064">
        <f t="shared" si="88"/>
        <v>-45</v>
      </c>
      <c r="AT477" s="1064">
        <f t="shared" ref="AT477:AT522" si="100">AS477*(20-AQ477)</f>
        <v>-900</v>
      </c>
      <c r="AU477" s="1070"/>
      <c r="AV477" s="1070"/>
      <c r="AW477" s="1070">
        <f t="shared" si="89"/>
        <v>0</v>
      </c>
      <c r="AX477" s="1070">
        <f t="shared" ref="AX477:AX522" si="101">AW477*(20-AU477)</f>
        <v>0</v>
      </c>
      <c r="AY477" s="1071"/>
      <c r="AZ477" s="1071"/>
      <c r="BA477" s="1071">
        <f t="shared" si="90"/>
        <v>0</v>
      </c>
      <c r="BB477" s="1071">
        <f t="shared" ref="BB477:BB522" si="102">BA477*(20-AY477)</f>
        <v>0</v>
      </c>
      <c r="BC477" s="1072"/>
      <c r="BD477" s="1072"/>
      <c r="BE477" s="1072"/>
      <c r="BF477" s="1072"/>
    </row>
    <row r="478" spans="2:58" ht="15.75" customHeight="1" x14ac:dyDescent="0.25">
      <c r="B478" s="1076"/>
      <c r="C478" s="1076"/>
      <c r="D478" s="1053"/>
      <c r="E478" s="1054"/>
      <c r="F478" s="1055"/>
      <c r="G478" s="1055"/>
      <c r="H478" s="1057"/>
      <c r="I478" s="1058"/>
      <c r="J478" s="1059"/>
      <c r="K478" s="1060"/>
      <c r="L478" s="1060"/>
      <c r="M478" s="1061">
        <f t="shared" si="83"/>
        <v>0</v>
      </c>
      <c r="N478" s="1060">
        <f t="shared" si="92"/>
        <v>0</v>
      </c>
      <c r="O478" s="1063"/>
      <c r="P478" s="1063"/>
      <c r="Q478" s="1063">
        <f t="shared" si="84"/>
        <v>0</v>
      </c>
      <c r="R478" s="1063">
        <f t="shared" si="93"/>
        <v>0</v>
      </c>
      <c r="S478" s="1064"/>
      <c r="T478" s="1064"/>
      <c r="U478" s="1064">
        <f t="shared" si="85"/>
        <v>0</v>
      </c>
      <c r="V478" s="1064">
        <f t="shared" si="94"/>
        <v>0</v>
      </c>
      <c r="W478" s="1065"/>
      <c r="X478" s="1065"/>
      <c r="Y478" s="1065">
        <f t="shared" si="86"/>
        <v>0</v>
      </c>
      <c r="Z478" s="1065">
        <f t="shared" si="95"/>
        <v>0</v>
      </c>
      <c r="AA478" s="1066"/>
      <c r="AB478" s="1066"/>
      <c r="AC478" s="1066">
        <f t="shared" si="87"/>
        <v>-45</v>
      </c>
      <c r="AD478" s="1066">
        <f t="shared" si="96"/>
        <v>-900</v>
      </c>
      <c r="AE478" s="1067"/>
      <c r="AF478" s="1067"/>
      <c r="AG478" s="1067">
        <v>31</v>
      </c>
      <c r="AH478" s="1067">
        <f t="shared" si="97"/>
        <v>620</v>
      </c>
      <c r="AI478" s="1068"/>
      <c r="AJ478" s="1068"/>
      <c r="AK478" s="1068">
        <v>31</v>
      </c>
      <c r="AL478" s="1068">
        <f t="shared" si="98"/>
        <v>620</v>
      </c>
      <c r="AM478" s="1069"/>
      <c r="AN478" s="1069"/>
      <c r="AO478" s="1069">
        <v>28</v>
      </c>
      <c r="AP478" s="1069">
        <f t="shared" si="99"/>
        <v>560</v>
      </c>
      <c r="AQ478" s="1064"/>
      <c r="AR478" s="1064"/>
      <c r="AS478" s="1064">
        <f t="shared" si="88"/>
        <v>-45</v>
      </c>
      <c r="AT478" s="1064">
        <f t="shared" si="100"/>
        <v>-900</v>
      </c>
      <c r="AU478" s="1070"/>
      <c r="AV478" s="1070"/>
      <c r="AW478" s="1070">
        <f t="shared" si="89"/>
        <v>0</v>
      </c>
      <c r="AX478" s="1070">
        <f t="shared" si="101"/>
        <v>0</v>
      </c>
      <c r="AY478" s="1071"/>
      <c r="AZ478" s="1071"/>
      <c r="BA478" s="1071">
        <f t="shared" si="90"/>
        <v>0</v>
      </c>
      <c r="BB478" s="1071">
        <f t="shared" si="102"/>
        <v>0</v>
      </c>
      <c r="BC478" s="1072"/>
      <c r="BD478" s="1072"/>
      <c r="BE478" s="1072"/>
      <c r="BF478" s="1072"/>
    </row>
    <row r="479" spans="2:58" ht="15.75" customHeight="1" x14ac:dyDescent="0.25">
      <c r="B479" s="1052"/>
      <c r="C479" s="1052"/>
      <c r="D479" s="1053"/>
      <c r="E479" s="1054"/>
      <c r="F479" s="1055"/>
      <c r="G479" s="1055"/>
      <c r="H479" s="1057"/>
      <c r="I479" s="1058"/>
      <c r="J479" s="1059"/>
      <c r="K479" s="1060"/>
      <c r="L479" s="1060"/>
      <c r="M479" s="1061">
        <f t="shared" si="83"/>
        <v>0</v>
      </c>
      <c r="N479" s="1060">
        <f t="shared" si="92"/>
        <v>0</v>
      </c>
      <c r="O479" s="1063"/>
      <c r="P479" s="1063"/>
      <c r="Q479" s="1063">
        <f t="shared" si="84"/>
        <v>0</v>
      </c>
      <c r="R479" s="1063">
        <f t="shared" si="93"/>
        <v>0</v>
      </c>
      <c r="S479" s="1064"/>
      <c r="T479" s="1064"/>
      <c r="U479" s="1064">
        <f t="shared" si="85"/>
        <v>0</v>
      </c>
      <c r="V479" s="1064">
        <f t="shared" si="94"/>
        <v>0</v>
      </c>
      <c r="W479" s="1065"/>
      <c r="X479" s="1065"/>
      <c r="Y479" s="1065">
        <f t="shared" si="86"/>
        <v>0</v>
      </c>
      <c r="Z479" s="1065">
        <f t="shared" si="95"/>
        <v>0</v>
      </c>
      <c r="AA479" s="1066"/>
      <c r="AB479" s="1066"/>
      <c r="AC479" s="1066">
        <f t="shared" si="87"/>
        <v>-45</v>
      </c>
      <c r="AD479" s="1066">
        <f t="shared" si="96"/>
        <v>-900</v>
      </c>
      <c r="AE479" s="1067"/>
      <c r="AF479" s="1067"/>
      <c r="AG479" s="1067">
        <v>31</v>
      </c>
      <c r="AH479" s="1067">
        <f t="shared" si="97"/>
        <v>620</v>
      </c>
      <c r="AI479" s="1068"/>
      <c r="AJ479" s="1068"/>
      <c r="AK479" s="1068">
        <v>31</v>
      </c>
      <c r="AL479" s="1068">
        <f t="shared" si="98"/>
        <v>620</v>
      </c>
      <c r="AM479" s="1069"/>
      <c r="AN479" s="1069"/>
      <c r="AO479" s="1069">
        <v>28</v>
      </c>
      <c r="AP479" s="1069">
        <f t="shared" si="99"/>
        <v>560</v>
      </c>
      <c r="AQ479" s="1064"/>
      <c r="AR479" s="1064"/>
      <c r="AS479" s="1064">
        <f t="shared" si="88"/>
        <v>-45</v>
      </c>
      <c r="AT479" s="1064">
        <f t="shared" si="100"/>
        <v>-900</v>
      </c>
      <c r="AU479" s="1070"/>
      <c r="AV479" s="1070"/>
      <c r="AW479" s="1070">
        <f t="shared" si="89"/>
        <v>0</v>
      </c>
      <c r="AX479" s="1070">
        <f t="shared" si="101"/>
        <v>0</v>
      </c>
      <c r="AY479" s="1071"/>
      <c r="AZ479" s="1071"/>
      <c r="BA479" s="1071">
        <f t="shared" si="90"/>
        <v>0</v>
      </c>
      <c r="BB479" s="1071">
        <f t="shared" si="102"/>
        <v>0</v>
      </c>
      <c r="BC479" s="1072"/>
      <c r="BD479" s="1072"/>
      <c r="BE479" s="1072"/>
      <c r="BF479" s="1072"/>
    </row>
    <row r="480" spans="2:58" ht="15.75" customHeight="1" x14ac:dyDescent="0.25">
      <c r="B480" s="1076"/>
      <c r="C480" s="1076"/>
      <c r="D480" s="1053"/>
      <c r="E480" s="1054"/>
      <c r="F480" s="1055"/>
      <c r="G480" s="1055"/>
      <c r="H480" s="1057"/>
      <c r="I480" s="1058"/>
      <c r="J480" s="1059"/>
      <c r="K480" s="1060"/>
      <c r="L480" s="1060"/>
      <c r="M480" s="1061">
        <f t="shared" si="83"/>
        <v>0</v>
      </c>
      <c r="N480" s="1060">
        <f t="shared" si="92"/>
        <v>0</v>
      </c>
      <c r="O480" s="1063"/>
      <c r="P480" s="1063"/>
      <c r="Q480" s="1063">
        <f t="shared" si="84"/>
        <v>0</v>
      </c>
      <c r="R480" s="1063">
        <f t="shared" si="93"/>
        <v>0</v>
      </c>
      <c r="S480" s="1064"/>
      <c r="T480" s="1064"/>
      <c r="U480" s="1064">
        <f t="shared" si="85"/>
        <v>0</v>
      </c>
      <c r="V480" s="1064">
        <f t="shared" si="94"/>
        <v>0</v>
      </c>
      <c r="W480" s="1065"/>
      <c r="X480" s="1065"/>
      <c r="Y480" s="1065">
        <f t="shared" si="86"/>
        <v>0</v>
      </c>
      <c r="Z480" s="1065">
        <f t="shared" si="95"/>
        <v>0</v>
      </c>
      <c r="AA480" s="1066"/>
      <c r="AB480" s="1066"/>
      <c r="AC480" s="1066">
        <f t="shared" si="87"/>
        <v>-45</v>
      </c>
      <c r="AD480" s="1066">
        <f t="shared" si="96"/>
        <v>-900</v>
      </c>
      <c r="AE480" s="1067"/>
      <c r="AF480" s="1067"/>
      <c r="AG480" s="1067">
        <v>31</v>
      </c>
      <c r="AH480" s="1067">
        <f t="shared" si="97"/>
        <v>620</v>
      </c>
      <c r="AI480" s="1068"/>
      <c r="AJ480" s="1068"/>
      <c r="AK480" s="1068">
        <v>31</v>
      </c>
      <c r="AL480" s="1068">
        <f t="shared" si="98"/>
        <v>620</v>
      </c>
      <c r="AM480" s="1069"/>
      <c r="AN480" s="1069"/>
      <c r="AO480" s="1069">
        <v>28</v>
      </c>
      <c r="AP480" s="1069">
        <f t="shared" si="99"/>
        <v>560</v>
      </c>
      <c r="AQ480" s="1064"/>
      <c r="AR480" s="1064"/>
      <c r="AS480" s="1064">
        <f t="shared" si="88"/>
        <v>-45</v>
      </c>
      <c r="AT480" s="1064">
        <f t="shared" si="100"/>
        <v>-900</v>
      </c>
      <c r="AU480" s="1070"/>
      <c r="AV480" s="1070"/>
      <c r="AW480" s="1070">
        <f t="shared" si="89"/>
        <v>0</v>
      </c>
      <c r="AX480" s="1070">
        <f t="shared" si="101"/>
        <v>0</v>
      </c>
      <c r="AY480" s="1071"/>
      <c r="AZ480" s="1071"/>
      <c r="BA480" s="1071">
        <f t="shared" si="90"/>
        <v>0</v>
      </c>
      <c r="BB480" s="1071">
        <f t="shared" si="102"/>
        <v>0</v>
      </c>
      <c r="BC480" s="1072"/>
      <c r="BD480" s="1072"/>
      <c r="BE480" s="1072"/>
      <c r="BF480" s="1072"/>
    </row>
    <row r="481" spans="2:58" ht="15.75" customHeight="1" x14ac:dyDescent="0.25">
      <c r="B481" s="1052"/>
      <c r="C481" s="1052"/>
      <c r="D481" s="1053"/>
      <c r="E481" s="1054"/>
      <c r="F481" s="1055"/>
      <c r="G481" s="1055"/>
      <c r="H481" s="1057"/>
      <c r="I481" s="1058"/>
      <c r="J481" s="1059"/>
      <c r="K481" s="1060"/>
      <c r="L481" s="1060"/>
      <c r="M481" s="1061">
        <f t="shared" si="83"/>
        <v>0</v>
      </c>
      <c r="N481" s="1060">
        <f t="shared" si="92"/>
        <v>0</v>
      </c>
      <c r="O481" s="1063"/>
      <c r="P481" s="1063"/>
      <c r="Q481" s="1063">
        <f t="shared" si="84"/>
        <v>0</v>
      </c>
      <c r="R481" s="1063">
        <f t="shared" si="93"/>
        <v>0</v>
      </c>
      <c r="S481" s="1064"/>
      <c r="T481" s="1064"/>
      <c r="U481" s="1064">
        <f t="shared" si="85"/>
        <v>0</v>
      </c>
      <c r="V481" s="1064">
        <f t="shared" si="94"/>
        <v>0</v>
      </c>
      <c r="W481" s="1065"/>
      <c r="X481" s="1065"/>
      <c r="Y481" s="1065">
        <f t="shared" si="86"/>
        <v>0</v>
      </c>
      <c r="Z481" s="1065">
        <f t="shared" si="95"/>
        <v>0</v>
      </c>
      <c r="AA481" s="1066"/>
      <c r="AB481" s="1066"/>
      <c r="AC481" s="1066">
        <f t="shared" si="87"/>
        <v>-45</v>
      </c>
      <c r="AD481" s="1066">
        <f t="shared" si="96"/>
        <v>-900</v>
      </c>
      <c r="AE481" s="1067"/>
      <c r="AF481" s="1067"/>
      <c r="AG481" s="1067">
        <v>31</v>
      </c>
      <c r="AH481" s="1067">
        <f t="shared" si="97"/>
        <v>620</v>
      </c>
      <c r="AI481" s="1068"/>
      <c r="AJ481" s="1068"/>
      <c r="AK481" s="1068">
        <v>31</v>
      </c>
      <c r="AL481" s="1068">
        <f t="shared" si="98"/>
        <v>620</v>
      </c>
      <c r="AM481" s="1069"/>
      <c r="AN481" s="1069"/>
      <c r="AO481" s="1069">
        <v>28</v>
      </c>
      <c r="AP481" s="1069">
        <f t="shared" si="99"/>
        <v>560</v>
      </c>
      <c r="AQ481" s="1064"/>
      <c r="AR481" s="1064"/>
      <c r="AS481" s="1064">
        <f t="shared" si="88"/>
        <v>-45</v>
      </c>
      <c r="AT481" s="1064">
        <f t="shared" si="100"/>
        <v>-900</v>
      </c>
      <c r="AU481" s="1070"/>
      <c r="AV481" s="1070"/>
      <c r="AW481" s="1070">
        <f t="shared" si="89"/>
        <v>0</v>
      </c>
      <c r="AX481" s="1070">
        <f t="shared" si="101"/>
        <v>0</v>
      </c>
      <c r="AY481" s="1071"/>
      <c r="AZ481" s="1071"/>
      <c r="BA481" s="1071">
        <f t="shared" si="90"/>
        <v>0</v>
      </c>
      <c r="BB481" s="1071">
        <f t="shared" si="102"/>
        <v>0</v>
      </c>
      <c r="BC481" s="1072"/>
      <c r="BD481" s="1072"/>
      <c r="BE481" s="1072"/>
      <c r="BF481" s="1072"/>
    </row>
    <row r="482" spans="2:58" ht="15.75" customHeight="1" x14ac:dyDescent="0.25">
      <c r="B482" s="1076"/>
      <c r="C482" s="1076"/>
      <c r="D482" s="1053"/>
      <c r="E482" s="1054"/>
      <c r="F482" s="1055"/>
      <c r="G482" s="1055"/>
      <c r="H482" s="1057"/>
      <c r="I482" s="1058"/>
      <c r="J482" s="1059"/>
      <c r="K482" s="1060"/>
      <c r="L482" s="1060"/>
      <c r="M482" s="1061">
        <f t="shared" si="83"/>
        <v>0</v>
      </c>
      <c r="N482" s="1060">
        <f t="shared" si="92"/>
        <v>0</v>
      </c>
      <c r="O482" s="1063"/>
      <c r="P482" s="1063"/>
      <c r="Q482" s="1063">
        <f t="shared" si="84"/>
        <v>0</v>
      </c>
      <c r="R482" s="1063">
        <f t="shared" si="93"/>
        <v>0</v>
      </c>
      <c r="S482" s="1064"/>
      <c r="T482" s="1064"/>
      <c r="U482" s="1064">
        <f t="shared" si="85"/>
        <v>0</v>
      </c>
      <c r="V482" s="1064">
        <f t="shared" si="94"/>
        <v>0</v>
      </c>
      <c r="W482" s="1065"/>
      <c r="X482" s="1065"/>
      <c r="Y482" s="1065">
        <f t="shared" si="86"/>
        <v>0</v>
      </c>
      <c r="Z482" s="1065">
        <f t="shared" si="95"/>
        <v>0</v>
      </c>
      <c r="AA482" s="1066"/>
      <c r="AB482" s="1066"/>
      <c r="AC482" s="1066">
        <f t="shared" si="87"/>
        <v>-45</v>
      </c>
      <c r="AD482" s="1066">
        <f t="shared" si="96"/>
        <v>-900</v>
      </c>
      <c r="AE482" s="1067"/>
      <c r="AF482" s="1067"/>
      <c r="AG482" s="1067">
        <v>31</v>
      </c>
      <c r="AH482" s="1067">
        <f t="shared" si="97"/>
        <v>620</v>
      </c>
      <c r="AI482" s="1068"/>
      <c r="AJ482" s="1068"/>
      <c r="AK482" s="1068">
        <v>31</v>
      </c>
      <c r="AL482" s="1068">
        <f t="shared" si="98"/>
        <v>620</v>
      </c>
      <c r="AM482" s="1069"/>
      <c r="AN482" s="1069"/>
      <c r="AO482" s="1069">
        <v>28</v>
      </c>
      <c r="AP482" s="1069">
        <f t="shared" si="99"/>
        <v>560</v>
      </c>
      <c r="AQ482" s="1064"/>
      <c r="AR482" s="1064"/>
      <c r="AS482" s="1064">
        <f t="shared" si="88"/>
        <v>-45</v>
      </c>
      <c r="AT482" s="1064">
        <f t="shared" si="100"/>
        <v>-900</v>
      </c>
      <c r="AU482" s="1070"/>
      <c r="AV482" s="1070"/>
      <c r="AW482" s="1070">
        <f t="shared" si="89"/>
        <v>0</v>
      </c>
      <c r="AX482" s="1070">
        <f t="shared" si="101"/>
        <v>0</v>
      </c>
      <c r="AY482" s="1071"/>
      <c r="AZ482" s="1071"/>
      <c r="BA482" s="1071">
        <f t="shared" si="90"/>
        <v>0</v>
      </c>
      <c r="BB482" s="1071">
        <f t="shared" si="102"/>
        <v>0</v>
      </c>
      <c r="BC482" s="1072"/>
      <c r="BD482" s="1072"/>
      <c r="BE482" s="1072"/>
      <c r="BF482" s="1072"/>
    </row>
    <row r="483" spans="2:58" ht="15.75" customHeight="1" x14ac:dyDescent="0.25">
      <c r="B483" s="1052"/>
      <c r="C483" s="1052"/>
      <c r="D483" s="1053"/>
      <c r="E483" s="1054"/>
      <c r="F483" s="1055"/>
      <c r="G483" s="1055"/>
      <c r="H483" s="1057"/>
      <c r="I483" s="1058"/>
      <c r="J483" s="1059"/>
      <c r="K483" s="1060"/>
      <c r="L483" s="1060"/>
      <c r="M483" s="1061">
        <f t="shared" si="83"/>
        <v>0</v>
      </c>
      <c r="N483" s="1060">
        <f t="shared" si="92"/>
        <v>0</v>
      </c>
      <c r="O483" s="1063"/>
      <c r="P483" s="1063"/>
      <c r="Q483" s="1063">
        <f t="shared" si="84"/>
        <v>0</v>
      </c>
      <c r="R483" s="1063">
        <f t="shared" si="93"/>
        <v>0</v>
      </c>
      <c r="S483" s="1064"/>
      <c r="T483" s="1064"/>
      <c r="U483" s="1064">
        <f t="shared" si="85"/>
        <v>0</v>
      </c>
      <c r="V483" s="1064">
        <f t="shared" si="94"/>
        <v>0</v>
      </c>
      <c r="W483" s="1065"/>
      <c r="X483" s="1065"/>
      <c r="Y483" s="1065">
        <f t="shared" si="86"/>
        <v>0</v>
      </c>
      <c r="Z483" s="1065">
        <f t="shared" si="95"/>
        <v>0</v>
      </c>
      <c r="AA483" s="1066"/>
      <c r="AB483" s="1066"/>
      <c r="AC483" s="1066">
        <f t="shared" si="87"/>
        <v>-45</v>
      </c>
      <c r="AD483" s="1066">
        <f t="shared" si="96"/>
        <v>-900</v>
      </c>
      <c r="AE483" s="1067"/>
      <c r="AF483" s="1067"/>
      <c r="AG483" s="1067">
        <v>31</v>
      </c>
      <c r="AH483" s="1067">
        <f t="shared" si="97"/>
        <v>620</v>
      </c>
      <c r="AI483" s="1068"/>
      <c r="AJ483" s="1068"/>
      <c r="AK483" s="1068">
        <v>31</v>
      </c>
      <c r="AL483" s="1068">
        <f t="shared" si="98"/>
        <v>620</v>
      </c>
      <c r="AM483" s="1069"/>
      <c r="AN483" s="1069"/>
      <c r="AO483" s="1069">
        <v>28</v>
      </c>
      <c r="AP483" s="1069">
        <f t="shared" si="99"/>
        <v>560</v>
      </c>
      <c r="AQ483" s="1064"/>
      <c r="AR483" s="1064"/>
      <c r="AS483" s="1064">
        <f t="shared" si="88"/>
        <v>-45</v>
      </c>
      <c r="AT483" s="1064">
        <f t="shared" si="100"/>
        <v>-900</v>
      </c>
      <c r="AU483" s="1070"/>
      <c r="AV483" s="1070"/>
      <c r="AW483" s="1070">
        <f t="shared" si="89"/>
        <v>0</v>
      </c>
      <c r="AX483" s="1070">
        <f t="shared" si="101"/>
        <v>0</v>
      </c>
      <c r="AY483" s="1071"/>
      <c r="AZ483" s="1071"/>
      <c r="BA483" s="1071">
        <f t="shared" si="90"/>
        <v>0</v>
      </c>
      <c r="BB483" s="1071">
        <f t="shared" si="102"/>
        <v>0</v>
      </c>
      <c r="BC483" s="1072"/>
      <c r="BD483" s="1072"/>
      <c r="BE483" s="1072"/>
      <c r="BF483" s="1072"/>
    </row>
    <row r="484" spans="2:58" ht="15.75" customHeight="1" x14ac:dyDescent="0.25">
      <c r="B484" s="1076"/>
      <c r="C484" s="1076"/>
      <c r="D484" s="1053"/>
      <c r="E484" s="1054"/>
      <c r="F484" s="1055"/>
      <c r="G484" s="1055"/>
      <c r="H484" s="1057"/>
      <c r="I484" s="1058"/>
      <c r="J484" s="1059"/>
      <c r="K484" s="1060"/>
      <c r="L484" s="1060"/>
      <c r="M484" s="1061">
        <f t="shared" si="83"/>
        <v>0</v>
      </c>
      <c r="N484" s="1060">
        <f t="shared" si="92"/>
        <v>0</v>
      </c>
      <c r="O484" s="1063"/>
      <c r="P484" s="1063"/>
      <c r="Q484" s="1063">
        <f t="shared" si="84"/>
        <v>0</v>
      </c>
      <c r="R484" s="1063">
        <f t="shared" si="93"/>
        <v>0</v>
      </c>
      <c r="S484" s="1064"/>
      <c r="T484" s="1064"/>
      <c r="U484" s="1064">
        <f t="shared" si="85"/>
        <v>0</v>
      </c>
      <c r="V484" s="1064">
        <f t="shared" si="94"/>
        <v>0</v>
      </c>
      <c r="W484" s="1065"/>
      <c r="X484" s="1065"/>
      <c r="Y484" s="1065">
        <f t="shared" si="86"/>
        <v>0</v>
      </c>
      <c r="Z484" s="1065">
        <f t="shared" si="95"/>
        <v>0</v>
      </c>
      <c r="AA484" s="1066"/>
      <c r="AB484" s="1066"/>
      <c r="AC484" s="1066">
        <f t="shared" si="87"/>
        <v>-45</v>
      </c>
      <c r="AD484" s="1066">
        <f t="shared" si="96"/>
        <v>-900</v>
      </c>
      <c r="AE484" s="1067"/>
      <c r="AF484" s="1067"/>
      <c r="AG484" s="1067">
        <v>31</v>
      </c>
      <c r="AH484" s="1067">
        <f t="shared" si="97"/>
        <v>620</v>
      </c>
      <c r="AI484" s="1068"/>
      <c r="AJ484" s="1068"/>
      <c r="AK484" s="1068">
        <v>31</v>
      </c>
      <c r="AL484" s="1068">
        <f t="shared" si="98"/>
        <v>620</v>
      </c>
      <c r="AM484" s="1069"/>
      <c r="AN484" s="1069"/>
      <c r="AO484" s="1069">
        <v>28</v>
      </c>
      <c r="AP484" s="1069">
        <f t="shared" si="99"/>
        <v>560</v>
      </c>
      <c r="AQ484" s="1064"/>
      <c r="AR484" s="1064"/>
      <c r="AS484" s="1064">
        <f t="shared" si="88"/>
        <v>-45</v>
      </c>
      <c r="AT484" s="1064">
        <f t="shared" si="100"/>
        <v>-900</v>
      </c>
      <c r="AU484" s="1070"/>
      <c r="AV484" s="1070"/>
      <c r="AW484" s="1070">
        <f t="shared" si="89"/>
        <v>0</v>
      </c>
      <c r="AX484" s="1070">
        <f t="shared" si="101"/>
        <v>0</v>
      </c>
      <c r="AY484" s="1071"/>
      <c r="AZ484" s="1071"/>
      <c r="BA484" s="1071">
        <f t="shared" si="90"/>
        <v>0</v>
      </c>
      <c r="BB484" s="1071">
        <f t="shared" si="102"/>
        <v>0</v>
      </c>
      <c r="BC484" s="1072"/>
      <c r="BD484" s="1072"/>
      <c r="BE484" s="1072"/>
      <c r="BF484" s="1072"/>
    </row>
    <row r="485" spans="2:58" ht="15.75" customHeight="1" x14ac:dyDescent="0.25">
      <c r="B485" s="1052"/>
      <c r="C485" s="1052"/>
      <c r="D485" s="1053"/>
      <c r="E485" s="1054"/>
      <c r="F485" s="1055"/>
      <c r="G485" s="1055"/>
      <c r="H485" s="1057"/>
      <c r="I485" s="1058"/>
      <c r="J485" s="1059"/>
      <c r="K485" s="1060"/>
      <c r="L485" s="1060"/>
      <c r="M485" s="1061">
        <f t="shared" si="83"/>
        <v>0</v>
      </c>
      <c r="N485" s="1060">
        <f t="shared" si="92"/>
        <v>0</v>
      </c>
      <c r="O485" s="1063"/>
      <c r="P485" s="1063"/>
      <c r="Q485" s="1063">
        <f t="shared" si="84"/>
        <v>0</v>
      </c>
      <c r="R485" s="1063">
        <f t="shared" si="93"/>
        <v>0</v>
      </c>
      <c r="S485" s="1064"/>
      <c r="T485" s="1064"/>
      <c r="U485" s="1064">
        <f t="shared" si="85"/>
        <v>0</v>
      </c>
      <c r="V485" s="1064">
        <f t="shared" si="94"/>
        <v>0</v>
      </c>
      <c r="W485" s="1065"/>
      <c r="X485" s="1065"/>
      <c r="Y485" s="1065">
        <f t="shared" si="86"/>
        <v>0</v>
      </c>
      <c r="Z485" s="1065">
        <f t="shared" si="95"/>
        <v>0</v>
      </c>
      <c r="AA485" s="1066"/>
      <c r="AB485" s="1066"/>
      <c r="AC485" s="1066">
        <f t="shared" si="87"/>
        <v>-45</v>
      </c>
      <c r="AD485" s="1066">
        <f t="shared" si="96"/>
        <v>-900</v>
      </c>
      <c r="AE485" s="1067"/>
      <c r="AF485" s="1067"/>
      <c r="AG485" s="1067">
        <v>31</v>
      </c>
      <c r="AH485" s="1067">
        <f t="shared" si="97"/>
        <v>620</v>
      </c>
      <c r="AI485" s="1068"/>
      <c r="AJ485" s="1068"/>
      <c r="AK485" s="1068">
        <v>31</v>
      </c>
      <c r="AL485" s="1068">
        <f t="shared" si="98"/>
        <v>620</v>
      </c>
      <c r="AM485" s="1069"/>
      <c r="AN485" s="1069"/>
      <c r="AO485" s="1069">
        <v>28</v>
      </c>
      <c r="AP485" s="1069">
        <f t="shared" si="99"/>
        <v>560</v>
      </c>
      <c r="AQ485" s="1064"/>
      <c r="AR485" s="1064"/>
      <c r="AS485" s="1064">
        <f t="shared" si="88"/>
        <v>-45</v>
      </c>
      <c r="AT485" s="1064">
        <f t="shared" si="100"/>
        <v>-900</v>
      </c>
      <c r="AU485" s="1070"/>
      <c r="AV485" s="1070"/>
      <c r="AW485" s="1070">
        <f t="shared" si="89"/>
        <v>0</v>
      </c>
      <c r="AX485" s="1070">
        <f t="shared" si="101"/>
        <v>0</v>
      </c>
      <c r="AY485" s="1071"/>
      <c r="AZ485" s="1071"/>
      <c r="BA485" s="1071">
        <f t="shared" si="90"/>
        <v>0</v>
      </c>
      <c r="BB485" s="1071">
        <f t="shared" si="102"/>
        <v>0</v>
      </c>
      <c r="BC485" s="1072"/>
      <c r="BD485" s="1072"/>
      <c r="BE485" s="1072"/>
      <c r="BF485" s="1072"/>
    </row>
    <row r="486" spans="2:58" ht="15.75" customHeight="1" x14ac:dyDescent="0.25">
      <c r="B486" s="1076"/>
      <c r="C486" s="1076"/>
      <c r="D486" s="1053"/>
      <c r="E486" s="1054"/>
      <c r="F486" s="1055"/>
      <c r="G486" s="1055"/>
      <c r="H486" s="1057"/>
      <c r="I486" s="1058"/>
      <c r="J486" s="1059"/>
      <c r="K486" s="1060"/>
      <c r="L486" s="1060"/>
      <c r="M486" s="1061">
        <f t="shared" si="83"/>
        <v>0</v>
      </c>
      <c r="N486" s="1060">
        <f t="shared" si="92"/>
        <v>0</v>
      </c>
      <c r="O486" s="1063"/>
      <c r="P486" s="1063"/>
      <c r="Q486" s="1063">
        <f t="shared" si="84"/>
        <v>0</v>
      </c>
      <c r="R486" s="1063">
        <f t="shared" si="93"/>
        <v>0</v>
      </c>
      <c r="S486" s="1064"/>
      <c r="T486" s="1064"/>
      <c r="U486" s="1064">
        <f t="shared" si="85"/>
        <v>0</v>
      </c>
      <c r="V486" s="1064">
        <f t="shared" si="94"/>
        <v>0</v>
      </c>
      <c r="W486" s="1065"/>
      <c r="X486" s="1065"/>
      <c r="Y486" s="1065">
        <f t="shared" si="86"/>
        <v>0</v>
      </c>
      <c r="Z486" s="1065">
        <f t="shared" si="95"/>
        <v>0</v>
      </c>
      <c r="AA486" s="1066"/>
      <c r="AB486" s="1066"/>
      <c r="AC486" s="1066">
        <f t="shared" si="87"/>
        <v>-45</v>
      </c>
      <c r="AD486" s="1066">
        <f t="shared" si="96"/>
        <v>-900</v>
      </c>
      <c r="AE486" s="1067"/>
      <c r="AF486" s="1067"/>
      <c r="AG486" s="1067">
        <v>31</v>
      </c>
      <c r="AH486" s="1067">
        <f t="shared" si="97"/>
        <v>620</v>
      </c>
      <c r="AI486" s="1068"/>
      <c r="AJ486" s="1068"/>
      <c r="AK486" s="1068">
        <v>31</v>
      </c>
      <c r="AL486" s="1068">
        <f t="shared" si="98"/>
        <v>620</v>
      </c>
      <c r="AM486" s="1069"/>
      <c r="AN486" s="1069"/>
      <c r="AO486" s="1069">
        <v>28</v>
      </c>
      <c r="AP486" s="1069">
        <f t="shared" si="99"/>
        <v>560</v>
      </c>
      <c r="AQ486" s="1064"/>
      <c r="AR486" s="1064"/>
      <c r="AS486" s="1064">
        <f t="shared" si="88"/>
        <v>-45</v>
      </c>
      <c r="AT486" s="1064">
        <f t="shared" si="100"/>
        <v>-900</v>
      </c>
      <c r="AU486" s="1070"/>
      <c r="AV486" s="1070"/>
      <c r="AW486" s="1070">
        <f t="shared" si="89"/>
        <v>0</v>
      </c>
      <c r="AX486" s="1070">
        <f t="shared" si="101"/>
        <v>0</v>
      </c>
      <c r="AY486" s="1071"/>
      <c r="AZ486" s="1071"/>
      <c r="BA486" s="1071">
        <f t="shared" si="90"/>
        <v>0</v>
      </c>
      <c r="BB486" s="1071">
        <f t="shared" si="102"/>
        <v>0</v>
      </c>
      <c r="BC486" s="1072"/>
      <c r="BD486" s="1072"/>
      <c r="BE486" s="1072"/>
      <c r="BF486" s="1072"/>
    </row>
    <row r="487" spans="2:58" ht="15.75" customHeight="1" x14ac:dyDescent="0.25">
      <c r="B487" s="1052"/>
      <c r="C487" s="1052"/>
      <c r="D487" s="1053"/>
      <c r="E487" s="1054"/>
      <c r="F487" s="1055"/>
      <c r="G487" s="1055"/>
      <c r="H487" s="1057"/>
      <c r="I487" s="1058"/>
      <c r="J487" s="1059"/>
      <c r="K487" s="1060"/>
      <c r="L487" s="1060"/>
      <c r="M487" s="1061">
        <f t="shared" si="83"/>
        <v>0</v>
      </c>
      <c r="N487" s="1060">
        <f t="shared" si="92"/>
        <v>0</v>
      </c>
      <c r="O487" s="1063"/>
      <c r="P487" s="1063"/>
      <c r="Q487" s="1063">
        <f t="shared" si="84"/>
        <v>0</v>
      </c>
      <c r="R487" s="1063">
        <f t="shared" si="93"/>
        <v>0</v>
      </c>
      <c r="S487" s="1064"/>
      <c r="T487" s="1064"/>
      <c r="U487" s="1064">
        <f t="shared" si="85"/>
        <v>0</v>
      </c>
      <c r="V487" s="1064">
        <f t="shared" si="94"/>
        <v>0</v>
      </c>
      <c r="W487" s="1065"/>
      <c r="X487" s="1065"/>
      <c r="Y487" s="1065">
        <f t="shared" si="86"/>
        <v>0</v>
      </c>
      <c r="Z487" s="1065">
        <f t="shared" si="95"/>
        <v>0</v>
      </c>
      <c r="AA487" s="1066"/>
      <c r="AB487" s="1066"/>
      <c r="AC487" s="1066">
        <f t="shared" si="87"/>
        <v>-45</v>
      </c>
      <c r="AD487" s="1066">
        <f t="shared" si="96"/>
        <v>-900</v>
      </c>
      <c r="AE487" s="1067"/>
      <c r="AF487" s="1067"/>
      <c r="AG487" s="1067">
        <v>31</v>
      </c>
      <c r="AH487" s="1067">
        <f t="shared" si="97"/>
        <v>620</v>
      </c>
      <c r="AI487" s="1068"/>
      <c r="AJ487" s="1068"/>
      <c r="AK487" s="1068">
        <v>31</v>
      </c>
      <c r="AL487" s="1068">
        <f t="shared" si="98"/>
        <v>620</v>
      </c>
      <c r="AM487" s="1069"/>
      <c r="AN487" s="1069"/>
      <c r="AO487" s="1069">
        <v>28</v>
      </c>
      <c r="AP487" s="1069">
        <f t="shared" si="99"/>
        <v>560</v>
      </c>
      <c r="AQ487" s="1064"/>
      <c r="AR487" s="1064"/>
      <c r="AS487" s="1064">
        <f t="shared" si="88"/>
        <v>-45</v>
      </c>
      <c r="AT487" s="1064">
        <f t="shared" si="100"/>
        <v>-900</v>
      </c>
      <c r="AU487" s="1070"/>
      <c r="AV487" s="1070"/>
      <c r="AW487" s="1070">
        <f t="shared" si="89"/>
        <v>0</v>
      </c>
      <c r="AX487" s="1070">
        <f t="shared" si="101"/>
        <v>0</v>
      </c>
      <c r="AY487" s="1071"/>
      <c r="AZ487" s="1071"/>
      <c r="BA487" s="1071">
        <f t="shared" si="90"/>
        <v>0</v>
      </c>
      <c r="BB487" s="1071">
        <f t="shared" si="102"/>
        <v>0</v>
      </c>
      <c r="BC487" s="1072"/>
      <c r="BD487" s="1072"/>
      <c r="BE487" s="1072"/>
      <c r="BF487" s="1072"/>
    </row>
    <row r="488" spans="2:58" ht="15.75" customHeight="1" x14ac:dyDescent="0.25">
      <c r="B488" s="1076"/>
      <c r="C488" s="1076"/>
      <c r="D488" s="1053"/>
      <c r="E488" s="1054"/>
      <c r="F488" s="1055"/>
      <c r="G488" s="1055"/>
      <c r="H488" s="1057"/>
      <c r="I488" s="1058"/>
      <c r="J488" s="1059"/>
      <c r="K488" s="1060"/>
      <c r="L488" s="1060"/>
      <c r="M488" s="1061">
        <f t="shared" si="83"/>
        <v>0</v>
      </c>
      <c r="N488" s="1060">
        <f t="shared" si="92"/>
        <v>0</v>
      </c>
      <c r="O488" s="1063"/>
      <c r="P488" s="1063"/>
      <c r="Q488" s="1063">
        <f t="shared" si="84"/>
        <v>0</v>
      </c>
      <c r="R488" s="1063">
        <f t="shared" si="93"/>
        <v>0</v>
      </c>
      <c r="S488" s="1064"/>
      <c r="T488" s="1064"/>
      <c r="U488" s="1064">
        <f t="shared" si="85"/>
        <v>0</v>
      </c>
      <c r="V488" s="1064">
        <f t="shared" si="94"/>
        <v>0</v>
      </c>
      <c r="W488" s="1065"/>
      <c r="X488" s="1065"/>
      <c r="Y488" s="1065">
        <f t="shared" si="86"/>
        <v>0</v>
      </c>
      <c r="Z488" s="1065">
        <f t="shared" si="95"/>
        <v>0</v>
      </c>
      <c r="AA488" s="1066"/>
      <c r="AB488" s="1066"/>
      <c r="AC488" s="1066">
        <f t="shared" si="87"/>
        <v>-45</v>
      </c>
      <c r="AD488" s="1066">
        <f t="shared" si="96"/>
        <v>-900</v>
      </c>
      <c r="AE488" s="1067"/>
      <c r="AF488" s="1067"/>
      <c r="AG488" s="1067">
        <v>31</v>
      </c>
      <c r="AH488" s="1067">
        <f t="shared" si="97"/>
        <v>620</v>
      </c>
      <c r="AI488" s="1068"/>
      <c r="AJ488" s="1068"/>
      <c r="AK488" s="1068">
        <v>31</v>
      </c>
      <c r="AL488" s="1068">
        <f t="shared" si="98"/>
        <v>620</v>
      </c>
      <c r="AM488" s="1069"/>
      <c r="AN488" s="1069"/>
      <c r="AO488" s="1069">
        <v>28</v>
      </c>
      <c r="AP488" s="1069">
        <f t="shared" si="99"/>
        <v>560</v>
      </c>
      <c r="AQ488" s="1064"/>
      <c r="AR488" s="1064"/>
      <c r="AS488" s="1064">
        <f t="shared" si="88"/>
        <v>-45</v>
      </c>
      <c r="AT488" s="1064">
        <f t="shared" si="100"/>
        <v>-900</v>
      </c>
      <c r="AU488" s="1070"/>
      <c r="AV488" s="1070"/>
      <c r="AW488" s="1070">
        <f t="shared" si="89"/>
        <v>0</v>
      </c>
      <c r="AX488" s="1070">
        <f t="shared" si="101"/>
        <v>0</v>
      </c>
      <c r="AY488" s="1071"/>
      <c r="AZ488" s="1071"/>
      <c r="BA488" s="1071">
        <f t="shared" si="90"/>
        <v>0</v>
      </c>
      <c r="BB488" s="1071">
        <f t="shared" si="102"/>
        <v>0</v>
      </c>
      <c r="BC488" s="1072"/>
      <c r="BD488" s="1072"/>
      <c r="BE488" s="1072"/>
      <c r="BF488" s="1072"/>
    </row>
    <row r="489" spans="2:58" ht="15.75" customHeight="1" x14ac:dyDescent="0.25">
      <c r="B489" s="1052"/>
      <c r="C489" s="1052"/>
      <c r="D489" s="1053"/>
      <c r="E489" s="1054"/>
      <c r="F489" s="1055"/>
      <c r="G489" s="1055"/>
      <c r="H489" s="1057"/>
      <c r="I489" s="1058"/>
      <c r="J489" s="1059"/>
      <c r="K489" s="1060"/>
      <c r="L489" s="1060"/>
      <c r="M489" s="1061">
        <f t="shared" si="83"/>
        <v>0</v>
      </c>
      <c r="N489" s="1060">
        <f t="shared" si="92"/>
        <v>0</v>
      </c>
      <c r="O489" s="1063"/>
      <c r="P489" s="1063"/>
      <c r="Q489" s="1063">
        <f t="shared" si="84"/>
        <v>0</v>
      </c>
      <c r="R489" s="1063">
        <f t="shared" si="93"/>
        <v>0</v>
      </c>
      <c r="S489" s="1064"/>
      <c r="T489" s="1064"/>
      <c r="U489" s="1064">
        <f t="shared" si="85"/>
        <v>0</v>
      </c>
      <c r="V489" s="1064">
        <f t="shared" si="94"/>
        <v>0</v>
      </c>
      <c r="W489" s="1065"/>
      <c r="X489" s="1065"/>
      <c r="Y489" s="1065">
        <f t="shared" si="86"/>
        <v>0</v>
      </c>
      <c r="Z489" s="1065">
        <f t="shared" si="95"/>
        <v>0</v>
      </c>
      <c r="AA489" s="1066"/>
      <c r="AB489" s="1066"/>
      <c r="AC489" s="1066">
        <f t="shared" si="87"/>
        <v>-45</v>
      </c>
      <c r="AD489" s="1066">
        <f t="shared" si="96"/>
        <v>-900</v>
      </c>
      <c r="AE489" s="1067"/>
      <c r="AF489" s="1067"/>
      <c r="AG489" s="1067">
        <v>31</v>
      </c>
      <c r="AH489" s="1067">
        <f t="shared" si="97"/>
        <v>620</v>
      </c>
      <c r="AI489" s="1068"/>
      <c r="AJ489" s="1068"/>
      <c r="AK489" s="1068">
        <v>31</v>
      </c>
      <c r="AL489" s="1068">
        <f t="shared" si="98"/>
        <v>620</v>
      </c>
      <c r="AM489" s="1069"/>
      <c r="AN489" s="1069"/>
      <c r="AO489" s="1069">
        <v>28</v>
      </c>
      <c r="AP489" s="1069">
        <f t="shared" si="99"/>
        <v>560</v>
      </c>
      <c r="AQ489" s="1064"/>
      <c r="AR489" s="1064"/>
      <c r="AS489" s="1064">
        <f t="shared" si="88"/>
        <v>-45</v>
      </c>
      <c r="AT489" s="1064">
        <f t="shared" si="100"/>
        <v>-900</v>
      </c>
      <c r="AU489" s="1070"/>
      <c r="AV489" s="1070"/>
      <c r="AW489" s="1070">
        <f t="shared" si="89"/>
        <v>0</v>
      </c>
      <c r="AX489" s="1070">
        <f t="shared" si="101"/>
        <v>0</v>
      </c>
      <c r="AY489" s="1071"/>
      <c r="AZ489" s="1071"/>
      <c r="BA489" s="1071">
        <f t="shared" si="90"/>
        <v>0</v>
      </c>
      <c r="BB489" s="1071">
        <f t="shared" si="102"/>
        <v>0</v>
      </c>
      <c r="BC489" s="1072"/>
      <c r="BD489" s="1072"/>
      <c r="BE489" s="1072"/>
      <c r="BF489" s="1072"/>
    </row>
    <row r="490" spans="2:58" ht="15.75" customHeight="1" x14ac:dyDescent="0.25">
      <c r="B490" s="1076"/>
      <c r="C490" s="1076"/>
      <c r="D490" s="1053"/>
      <c r="E490" s="1054"/>
      <c r="F490" s="1055"/>
      <c r="G490" s="1055"/>
      <c r="H490" s="1057"/>
      <c r="I490" s="1058"/>
      <c r="J490" s="1059"/>
      <c r="K490" s="1060"/>
      <c r="L490" s="1060"/>
      <c r="M490" s="1061">
        <f t="shared" si="83"/>
        <v>0</v>
      </c>
      <c r="N490" s="1060">
        <f t="shared" si="92"/>
        <v>0</v>
      </c>
      <c r="O490" s="1063"/>
      <c r="P490" s="1063"/>
      <c r="Q490" s="1063">
        <f t="shared" si="84"/>
        <v>0</v>
      </c>
      <c r="R490" s="1063">
        <f t="shared" si="93"/>
        <v>0</v>
      </c>
      <c r="S490" s="1064"/>
      <c r="T490" s="1064"/>
      <c r="U490" s="1064">
        <f t="shared" si="85"/>
        <v>0</v>
      </c>
      <c r="V490" s="1064">
        <f t="shared" si="94"/>
        <v>0</v>
      </c>
      <c r="W490" s="1065"/>
      <c r="X490" s="1065"/>
      <c r="Y490" s="1065">
        <f t="shared" si="86"/>
        <v>0</v>
      </c>
      <c r="Z490" s="1065">
        <f t="shared" si="95"/>
        <v>0</v>
      </c>
      <c r="AA490" s="1066"/>
      <c r="AB490" s="1066"/>
      <c r="AC490" s="1066">
        <f t="shared" si="87"/>
        <v>-45</v>
      </c>
      <c r="AD490" s="1066">
        <f t="shared" si="96"/>
        <v>-900</v>
      </c>
      <c r="AE490" s="1067"/>
      <c r="AF490" s="1067"/>
      <c r="AG490" s="1067">
        <v>31</v>
      </c>
      <c r="AH490" s="1067">
        <f t="shared" si="97"/>
        <v>620</v>
      </c>
      <c r="AI490" s="1068"/>
      <c r="AJ490" s="1068"/>
      <c r="AK490" s="1068">
        <v>31</v>
      </c>
      <c r="AL490" s="1068">
        <f t="shared" si="98"/>
        <v>620</v>
      </c>
      <c r="AM490" s="1069"/>
      <c r="AN490" s="1069"/>
      <c r="AO490" s="1069">
        <v>28</v>
      </c>
      <c r="AP490" s="1069">
        <f t="shared" si="99"/>
        <v>560</v>
      </c>
      <c r="AQ490" s="1064"/>
      <c r="AR490" s="1064"/>
      <c r="AS490" s="1064">
        <f t="shared" si="88"/>
        <v>-45</v>
      </c>
      <c r="AT490" s="1064">
        <f t="shared" si="100"/>
        <v>-900</v>
      </c>
      <c r="AU490" s="1070"/>
      <c r="AV490" s="1070"/>
      <c r="AW490" s="1070">
        <f t="shared" si="89"/>
        <v>0</v>
      </c>
      <c r="AX490" s="1070">
        <f t="shared" si="101"/>
        <v>0</v>
      </c>
      <c r="AY490" s="1071"/>
      <c r="AZ490" s="1071"/>
      <c r="BA490" s="1071">
        <f t="shared" si="90"/>
        <v>0</v>
      </c>
      <c r="BB490" s="1071">
        <f t="shared" si="102"/>
        <v>0</v>
      </c>
      <c r="BC490" s="1072"/>
      <c r="BD490" s="1072"/>
      <c r="BE490" s="1072"/>
      <c r="BF490" s="1072"/>
    </row>
    <row r="491" spans="2:58" ht="15.75" customHeight="1" x14ac:dyDescent="0.25">
      <c r="B491" s="1052"/>
      <c r="C491" s="1052"/>
      <c r="D491" s="1053"/>
      <c r="E491" s="1054"/>
      <c r="F491" s="1055"/>
      <c r="G491" s="1055"/>
      <c r="H491" s="1057"/>
      <c r="I491" s="1058"/>
      <c r="J491" s="1059"/>
      <c r="K491" s="1060"/>
      <c r="L491" s="1060"/>
      <c r="M491" s="1061">
        <f t="shared" si="83"/>
        <v>0</v>
      </c>
      <c r="N491" s="1060">
        <f t="shared" si="92"/>
        <v>0</v>
      </c>
      <c r="O491" s="1063"/>
      <c r="P491" s="1063"/>
      <c r="Q491" s="1063">
        <f t="shared" si="84"/>
        <v>0</v>
      </c>
      <c r="R491" s="1063">
        <f t="shared" si="93"/>
        <v>0</v>
      </c>
      <c r="S491" s="1064"/>
      <c r="T491" s="1064"/>
      <c r="U491" s="1064">
        <f t="shared" si="85"/>
        <v>0</v>
      </c>
      <c r="V491" s="1064">
        <f t="shared" si="94"/>
        <v>0</v>
      </c>
      <c r="W491" s="1065"/>
      <c r="X491" s="1065"/>
      <c r="Y491" s="1065">
        <f t="shared" si="86"/>
        <v>0</v>
      </c>
      <c r="Z491" s="1065">
        <f t="shared" si="95"/>
        <v>0</v>
      </c>
      <c r="AA491" s="1066"/>
      <c r="AB491" s="1066"/>
      <c r="AC491" s="1066">
        <f t="shared" si="87"/>
        <v>-45</v>
      </c>
      <c r="AD491" s="1066">
        <f t="shared" si="96"/>
        <v>-900</v>
      </c>
      <c r="AE491" s="1067"/>
      <c r="AF491" s="1067"/>
      <c r="AG491" s="1067">
        <v>31</v>
      </c>
      <c r="AH491" s="1067">
        <f t="shared" si="97"/>
        <v>620</v>
      </c>
      <c r="AI491" s="1068"/>
      <c r="AJ491" s="1068"/>
      <c r="AK491" s="1068">
        <v>31</v>
      </c>
      <c r="AL491" s="1068">
        <f t="shared" si="98"/>
        <v>620</v>
      </c>
      <c r="AM491" s="1069"/>
      <c r="AN491" s="1069"/>
      <c r="AO491" s="1069">
        <v>28</v>
      </c>
      <c r="AP491" s="1069">
        <f t="shared" si="99"/>
        <v>560</v>
      </c>
      <c r="AQ491" s="1064"/>
      <c r="AR491" s="1064"/>
      <c r="AS491" s="1064">
        <f t="shared" si="88"/>
        <v>-45</v>
      </c>
      <c r="AT491" s="1064">
        <f t="shared" si="100"/>
        <v>-900</v>
      </c>
      <c r="AU491" s="1070"/>
      <c r="AV491" s="1070"/>
      <c r="AW491" s="1070">
        <f t="shared" si="89"/>
        <v>0</v>
      </c>
      <c r="AX491" s="1070">
        <f t="shared" si="101"/>
        <v>0</v>
      </c>
      <c r="AY491" s="1071"/>
      <c r="AZ491" s="1071"/>
      <c r="BA491" s="1071">
        <f t="shared" si="90"/>
        <v>0</v>
      </c>
      <c r="BB491" s="1071">
        <f t="shared" si="102"/>
        <v>0</v>
      </c>
      <c r="BC491" s="1072"/>
      <c r="BD491" s="1072"/>
      <c r="BE491" s="1072"/>
      <c r="BF491" s="1072"/>
    </row>
    <row r="492" spans="2:58" ht="15.75" customHeight="1" x14ac:dyDescent="0.25">
      <c r="B492" s="1076"/>
      <c r="C492" s="1076"/>
      <c r="D492" s="1053"/>
      <c r="E492" s="1054"/>
      <c r="F492" s="1055"/>
      <c r="G492" s="1055"/>
      <c r="H492" s="1057"/>
      <c r="I492" s="1058"/>
      <c r="J492" s="1059"/>
      <c r="K492" s="1060"/>
      <c r="L492" s="1060"/>
      <c r="M492" s="1061">
        <f t="shared" si="83"/>
        <v>0</v>
      </c>
      <c r="N492" s="1060">
        <f t="shared" si="92"/>
        <v>0</v>
      </c>
      <c r="O492" s="1063"/>
      <c r="P492" s="1063"/>
      <c r="Q492" s="1063">
        <f t="shared" si="84"/>
        <v>0</v>
      </c>
      <c r="R492" s="1063">
        <f t="shared" si="93"/>
        <v>0</v>
      </c>
      <c r="S492" s="1064"/>
      <c r="T492" s="1064"/>
      <c r="U492" s="1064">
        <f t="shared" si="85"/>
        <v>0</v>
      </c>
      <c r="V492" s="1064">
        <f t="shared" si="94"/>
        <v>0</v>
      </c>
      <c r="W492" s="1065"/>
      <c r="X492" s="1065"/>
      <c r="Y492" s="1065">
        <f t="shared" si="86"/>
        <v>0</v>
      </c>
      <c r="Z492" s="1065">
        <f t="shared" si="95"/>
        <v>0</v>
      </c>
      <c r="AA492" s="1066"/>
      <c r="AB492" s="1066"/>
      <c r="AC492" s="1066">
        <f t="shared" si="87"/>
        <v>-45</v>
      </c>
      <c r="AD492" s="1066">
        <f t="shared" si="96"/>
        <v>-900</v>
      </c>
      <c r="AE492" s="1067"/>
      <c r="AF492" s="1067"/>
      <c r="AG492" s="1067">
        <v>31</v>
      </c>
      <c r="AH492" s="1067">
        <f t="shared" si="97"/>
        <v>620</v>
      </c>
      <c r="AI492" s="1068"/>
      <c r="AJ492" s="1068"/>
      <c r="AK492" s="1068">
        <v>31</v>
      </c>
      <c r="AL492" s="1068">
        <f t="shared" si="98"/>
        <v>620</v>
      </c>
      <c r="AM492" s="1069"/>
      <c r="AN492" s="1069"/>
      <c r="AO492" s="1069">
        <v>28</v>
      </c>
      <c r="AP492" s="1069">
        <f t="shared" si="99"/>
        <v>560</v>
      </c>
      <c r="AQ492" s="1064"/>
      <c r="AR492" s="1064"/>
      <c r="AS492" s="1064">
        <f t="shared" si="88"/>
        <v>-45</v>
      </c>
      <c r="AT492" s="1064">
        <f t="shared" si="100"/>
        <v>-900</v>
      </c>
      <c r="AU492" s="1070"/>
      <c r="AV492" s="1070"/>
      <c r="AW492" s="1070">
        <f t="shared" si="89"/>
        <v>0</v>
      </c>
      <c r="AX492" s="1070">
        <f t="shared" si="101"/>
        <v>0</v>
      </c>
      <c r="AY492" s="1071"/>
      <c r="AZ492" s="1071"/>
      <c r="BA492" s="1071">
        <f t="shared" si="90"/>
        <v>0</v>
      </c>
      <c r="BB492" s="1071">
        <f t="shared" si="102"/>
        <v>0</v>
      </c>
      <c r="BC492" s="1072"/>
      <c r="BD492" s="1072"/>
      <c r="BE492" s="1072"/>
      <c r="BF492" s="1072"/>
    </row>
    <row r="493" spans="2:58" ht="15.75" customHeight="1" x14ac:dyDescent="0.25">
      <c r="B493" s="1052"/>
      <c r="C493" s="1052"/>
      <c r="D493" s="1053"/>
      <c r="E493" s="1054"/>
      <c r="F493" s="1055"/>
      <c r="G493" s="1055"/>
      <c r="H493" s="1057"/>
      <c r="I493" s="1058"/>
      <c r="J493" s="1059"/>
      <c r="K493" s="1060"/>
      <c r="L493" s="1060"/>
      <c r="M493" s="1061">
        <f t="shared" si="83"/>
        <v>0</v>
      </c>
      <c r="N493" s="1060">
        <f t="shared" si="92"/>
        <v>0</v>
      </c>
      <c r="O493" s="1063"/>
      <c r="P493" s="1063"/>
      <c r="Q493" s="1063">
        <f t="shared" si="84"/>
        <v>0</v>
      </c>
      <c r="R493" s="1063">
        <f t="shared" si="93"/>
        <v>0</v>
      </c>
      <c r="S493" s="1064"/>
      <c r="T493" s="1064"/>
      <c r="U493" s="1064">
        <f t="shared" si="85"/>
        <v>0</v>
      </c>
      <c r="V493" s="1064">
        <f t="shared" si="94"/>
        <v>0</v>
      </c>
      <c r="W493" s="1065"/>
      <c r="X493" s="1065"/>
      <c r="Y493" s="1065">
        <f t="shared" si="86"/>
        <v>0</v>
      </c>
      <c r="Z493" s="1065">
        <f t="shared" si="95"/>
        <v>0</v>
      </c>
      <c r="AA493" s="1066"/>
      <c r="AB493" s="1066"/>
      <c r="AC493" s="1066">
        <f t="shared" si="87"/>
        <v>-45</v>
      </c>
      <c r="AD493" s="1066">
        <f t="shared" si="96"/>
        <v>-900</v>
      </c>
      <c r="AE493" s="1067"/>
      <c r="AF493" s="1067"/>
      <c r="AG493" s="1067">
        <v>31</v>
      </c>
      <c r="AH493" s="1067">
        <f t="shared" si="97"/>
        <v>620</v>
      </c>
      <c r="AI493" s="1068"/>
      <c r="AJ493" s="1068"/>
      <c r="AK493" s="1068">
        <v>31</v>
      </c>
      <c r="AL493" s="1068">
        <f t="shared" si="98"/>
        <v>620</v>
      </c>
      <c r="AM493" s="1069"/>
      <c r="AN493" s="1069"/>
      <c r="AO493" s="1069">
        <v>28</v>
      </c>
      <c r="AP493" s="1069">
        <f t="shared" si="99"/>
        <v>560</v>
      </c>
      <c r="AQ493" s="1064"/>
      <c r="AR493" s="1064"/>
      <c r="AS493" s="1064">
        <f t="shared" si="88"/>
        <v>-45</v>
      </c>
      <c r="AT493" s="1064">
        <f t="shared" si="100"/>
        <v>-900</v>
      </c>
      <c r="AU493" s="1070"/>
      <c r="AV493" s="1070"/>
      <c r="AW493" s="1070">
        <f t="shared" si="89"/>
        <v>0</v>
      </c>
      <c r="AX493" s="1070">
        <f t="shared" si="101"/>
        <v>0</v>
      </c>
      <c r="AY493" s="1071"/>
      <c r="AZ493" s="1071"/>
      <c r="BA493" s="1071">
        <f t="shared" si="90"/>
        <v>0</v>
      </c>
      <c r="BB493" s="1071">
        <f t="shared" si="102"/>
        <v>0</v>
      </c>
      <c r="BC493" s="1072"/>
      <c r="BD493" s="1072"/>
      <c r="BE493" s="1072"/>
      <c r="BF493" s="1072"/>
    </row>
    <row r="494" spans="2:58" ht="15.75" customHeight="1" x14ac:dyDescent="0.25">
      <c r="B494" s="1076"/>
      <c r="C494" s="1076"/>
      <c r="D494" s="1053"/>
      <c r="E494" s="1054"/>
      <c r="F494" s="1055"/>
      <c r="G494" s="1055"/>
      <c r="H494" s="1057"/>
      <c r="I494" s="1058"/>
      <c r="J494" s="1059"/>
      <c r="K494" s="1060"/>
      <c r="L494" s="1060"/>
      <c r="M494" s="1061">
        <f t="shared" si="83"/>
        <v>0</v>
      </c>
      <c r="N494" s="1060">
        <f t="shared" si="92"/>
        <v>0</v>
      </c>
      <c r="O494" s="1063"/>
      <c r="P494" s="1063"/>
      <c r="Q494" s="1063">
        <f t="shared" si="84"/>
        <v>0</v>
      </c>
      <c r="R494" s="1063">
        <f t="shared" si="93"/>
        <v>0</v>
      </c>
      <c r="S494" s="1064"/>
      <c r="T494" s="1064"/>
      <c r="U494" s="1064">
        <f t="shared" si="85"/>
        <v>0</v>
      </c>
      <c r="V494" s="1064">
        <f t="shared" si="94"/>
        <v>0</v>
      </c>
      <c r="W494" s="1065"/>
      <c r="X494" s="1065"/>
      <c r="Y494" s="1065">
        <f t="shared" si="86"/>
        <v>0</v>
      </c>
      <c r="Z494" s="1065">
        <f t="shared" si="95"/>
        <v>0</v>
      </c>
      <c r="AA494" s="1066"/>
      <c r="AB494" s="1066"/>
      <c r="AC494" s="1066">
        <f t="shared" si="87"/>
        <v>-45</v>
      </c>
      <c r="AD494" s="1066">
        <f t="shared" si="96"/>
        <v>-900</v>
      </c>
      <c r="AE494" s="1067"/>
      <c r="AF494" s="1067"/>
      <c r="AG494" s="1067">
        <v>31</v>
      </c>
      <c r="AH494" s="1067">
        <f t="shared" si="97"/>
        <v>620</v>
      </c>
      <c r="AI494" s="1068"/>
      <c r="AJ494" s="1068"/>
      <c r="AK494" s="1068">
        <v>31</v>
      </c>
      <c r="AL494" s="1068">
        <f t="shared" si="98"/>
        <v>620</v>
      </c>
      <c r="AM494" s="1069"/>
      <c r="AN494" s="1069"/>
      <c r="AO494" s="1069">
        <v>28</v>
      </c>
      <c r="AP494" s="1069">
        <f t="shared" si="99"/>
        <v>560</v>
      </c>
      <c r="AQ494" s="1064"/>
      <c r="AR494" s="1064"/>
      <c r="AS494" s="1064">
        <f t="shared" si="88"/>
        <v>-45</v>
      </c>
      <c r="AT494" s="1064">
        <f t="shared" si="100"/>
        <v>-900</v>
      </c>
      <c r="AU494" s="1070"/>
      <c r="AV494" s="1070"/>
      <c r="AW494" s="1070">
        <f t="shared" si="89"/>
        <v>0</v>
      </c>
      <c r="AX494" s="1070">
        <f t="shared" si="101"/>
        <v>0</v>
      </c>
      <c r="AY494" s="1071"/>
      <c r="AZ494" s="1071"/>
      <c r="BA494" s="1071">
        <f t="shared" si="90"/>
        <v>0</v>
      </c>
      <c r="BB494" s="1071">
        <f t="shared" si="102"/>
        <v>0</v>
      </c>
      <c r="BC494" s="1072"/>
      <c r="BD494" s="1072"/>
      <c r="BE494" s="1072"/>
      <c r="BF494" s="1072"/>
    </row>
    <row r="495" spans="2:58" ht="15.75" customHeight="1" x14ac:dyDescent="0.25">
      <c r="B495" s="1052"/>
      <c r="C495" s="1052"/>
      <c r="D495" s="1053"/>
      <c r="E495" s="1054"/>
      <c r="F495" s="1055"/>
      <c r="G495" s="1055"/>
      <c r="H495" s="1057"/>
      <c r="I495" s="1058"/>
      <c r="J495" s="1059"/>
      <c r="K495" s="1060"/>
      <c r="L495" s="1060"/>
      <c r="M495" s="1061">
        <f t="shared" si="83"/>
        <v>0</v>
      </c>
      <c r="N495" s="1060">
        <f t="shared" si="92"/>
        <v>0</v>
      </c>
      <c r="O495" s="1063"/>
      <c r="P495" s="1063"/>
      <c r="Q495" s="1063">
        <f t="shared" si="84"/>
        <v>0</v>
      </c>
      <c r="R495" s="1063">
        <f t="shared" si="93"/>
        <v>0</v>
      </c>
      <c r="S495" s="1064"/>
      <c r="T495" s="1064"/>
      <c r="U495" s="1064">
        <f t="shared" si="85"/>
        <v>0</v>
      </c>
      <c r="V495" s="1064">
        <f t="shared" si="94"/>
        <v>0</v>
      </c>
      <c r="W495" s="1065"/>
      <c r="X495" s="1065"/>
      <c r="Y495" s="1065">
        <f t="shared" si="86"/>
        <v>0</v>
      </c>
      <c r="Z495" s="1065">
        <f t="shared" si="95"/>
        <v>0</v>
      </c>
      <c r="AA495" s="1066"/>
      <c r="AB495" s="1066"/>
      <c r="AC495" s="1066">
        <f t="shared" si="87"/>
        <v>-45</v>
      </c>
      <c r="AD495" s="1066">
        <f t="shared" si="96"/>
        <v>-900</v>
      </c>
      <c r="AE495" s="1067"/>
      <c r="AF495" s="1067"/>
      <c r="AG495" s="1067">
        <v>31</v>
      </c>
      <c r="AH495" s="1067">
        <f t="shared" si="97"/>
        <v>620</v>
      </c>
      <c r="AI495" s="1068"/>
      <c r="AJ495" s="1068"/>
      <c r="AK495" s="1068">
        <v>31</v>
      </c>
      <c r="AL495" s="1068">
        <f t="shared" si="98"/>
        <v>620</v>
      </c>
      <c r="AM495" s="1069"/>
      <c r="AN495" s="1069"/>
      <c r="AO495" s="1069">
        <v>28</v>
      </c>
      <c r="AP495" s="1069">
        <f t="shared" si="99"/>
        <v>560</v>
      </c>
      <c r="AQ495" s="1064"/>
      <c r="AR495" s="1064"/>
      <c r="AS495" s="1064">
        <f t="shared" si="88"/>
        <v>-45</v>
      </c>
      <c r="AT495" s="1064">
        <f t="shared" si="100"/>
        <v>-900</v>
      </c>
      <c r="AU495" s="1070"/>
      <c r="AV495" s="1070"/>
      <c r="AW495" s="1070">
        <f t="shared" si="89"/>
        <v>0</v>
      </c>
      <c r="AX495" s="1070">
        <f t="shared" si="101"/>
        <v>0</v>
      </c>
      <c r="AY495" s="1071"/>
      <c r="AZ495" s="1071"/>
      <c r="BA495" s="1071">
        <f t="shared" si="90"/>
        <v>0</v>
      </c>
      <c r="BB495" s="1071">
        <f t="shared" si="102"/>
        <v>0</v>
      </c>
      <c r="BC495" s="1072"/>
      <c r="BD495" s="1072"/>
      <c r="BE495" s="1072"/>
      <c r="BF495" s="1072"/>
    </row>
    <row r="496" spans="2:58" ht="15.75" customHeight="1" x14ac:dyDescent="0.25">
      <c r="B496" s="1076"/>
      <c r="C496" s="1076"/>
      <c r="D496" s="1053"/>
      <c r="E496" s="1054"/>
      <c r="F496" s="1055"/>
      <c r="G496" s="1055"/>
      <c r="H496" s="1057"/>
      <c r="I496" s="1058"/>
      <c r="J496" s="1059"/>
      <c r="K496" s="1060"/>
      <c r="L496" s="1060"/>
      <c r="M496" s="1061">
        <f t="shared" si="83"/>
        <v>0</v>
      </c>
      <c r="N496" s="1060">
        <f t="shared" si="92"/>
        <v>0</v>
      </c>
      <c r="O496" s="1063"/>
      <c r="P496" s="1063"/>
      <c r="Q496" s="1063">
        <f t="shared" si="84"/>
        <v>0</v>
      </c>
      <c r="R496" s="1063">
        <f t="shared" si="93"/>
        <v>0</v>
      </c>
      <c r="S496" s="1064"/>
      <c r="T496" s="1064"/>
      <c r="U496" s="1064">
        <f t="shared" si="85"/>
        <v>0</v>
      </c>
      <c r="V496" s="1064">
        <f t="shared" si="94"/>
        <v>0</v>
      </c>
      <c r="W496" s="1065"/>
      <c r="X496" s="1065"/>
      <c r="Y496" s="1065">
        <f t="shared" si="86"/>
        <v>0</v>
      </c>
      <c r="Z496" s="1065">
        <f t="shared" si="95"/>
        <v>0</v>
      </c>
      <c r="AA496" s="1066"/>
      <c r="AB496" s="1066"/>
      <c r="AC496" s="1066">
        <f t="shared" si="87"/>
        <v>-45</v>
      </c>
      <c r="AD496" s="1066">
        <f t="shared" si="96"/>
        <v>-900</v>
      </c>
      <c r="AE496" s="1067"/>
      <c r="AF496" s="1067"/>
      <c r="AG496" s="1067">
        <v>31</v>
      </c>
      <c r="AH496" s="1067">
        <f t="shared" si="97"/>
        <v>620</v>
      </c>
      <c r="AI496" s="1068"/>
      <c r="AJ496" s="1068"/>
      <c r="AK496" s="1068">
        <v>31</v>
      </c>
      <c r="AL496" s="1068">
        <f t="shared" si="98"/>
        <v>620</v>
      </c>
      <c r="AM496" s="1069"/>
      <c r="AN496" s="1069"/>
      <c r="AO496" s="1069">
        <v>28</v>
      </c>
      <c r="AP496" s="1069">
        <f t="shared" si="99"/>
        <v>560</v>
      </c>
      <c r="AQ496" s="1064"/>
      <c r="AR496" s="1064"/>
      <c r="AS496" s="1064">
        <f t="shared" si="88"/>
        <v>-45</v>
      </c>
      <c r="AT496" s="1064">
        <f t="shared" si="100"/>
        <v>-900</v>
      </c>
      <c r="AU496" s="1070"/>
      <c r="AV496" s="1070"/>
      <c r="AW496" s="1070">
        <f t="shared" si="89"/>
        <v>0</v>
      </c>
      <c r="AX496" s="1070">
        <f t="shared" si="101"/>
        <v>0</v>
      </c>
      <c r="AY496" s="1071"/>
      <c r="AZ496" s="1071"/>
      <c r="BA496" s="1071">
        <f t="shared" si="90"/>
        <v>0</v>
      </c>
      <c r="BB496" s="1071">
        <f t="shared" si="102"/>
        <v>0</v>
      </c>
      <c r="BC496" s="1072"/>
      <c r="BD496" s="1072"/>
      <c r="BE496" s="1072"/>
      <c r="BF496" s="1072"/>
    </row>
    <row r="497" spans="2:58" ht="15.75" customHeight="1" x14ac:dyDescent="0.25">
      <c r="B497" s="1052"/>
      <c r="C497" s="1052"/>
      <c r="D497" s="1053"/>
      <c r="E497" s="1054"/>
      <c r="F497" s="1055"/>
      <c r="G497" s="1055"/>
      <c r="H497" s="1057"/>
      <c r="I497" s="1058"/>
      <c r="J497" s="1059"/>
      <c r="K497" s="1060"/>
      <c r="L497" s="1060"/>
      <c r="M497" s="1061">
        <f t="shared" si="83"/>
        <v>0</v>
      </c>
      <c r="N497" s="1060">
        <f t="shared" si="92"/>
        <v>0</v>
      </c>
      <c r="O497" s="1063"/>
      <c r="P497" s="1063"/>
      <c r="Q497" s="1063">
        <f t="shared" si="84"/>
        <v>0</v>
      </c>
      <c r="R497" s="1063">
        <f t="shared" si="93"/>
        <v>0</v>
      </c>
      <c r="S497" s="1064"/>
      <c r="T497" s="1064"/>
      <c r="U497" s="1064">
        <f t="shared" si="85"/>
        <v>0</v>
      </c>
      <c r="V497" s="1064">
        <f t="shared" si="94"/>
        <v>0</v>
      </c>
      <c r="W497" s="1065"/>
      <c r="X497" s="1065"/>
      <c r="Y497" s="1065">
        <f t="shared" si="86"/>
        <v>0</v>
      </c>
      <c r="Z497" s="1065">
        <f t="shared" si="95"/>
        <v>0</v>
      </c>
      <c r="AA497" s="1066"/>
      <c r="AB497" s="1066"/>
      <c r="AC497" s="1066">
        <f t="shared" si="87"/>
        <v>-45</v>
      </c>
      <c r="AD497" s="1066">
        <f t="shared" si="96"/>
        <v>-900</v>
      </c>
      <c r="AE497" s="1067"/>
      <c r="AF497" s="1067"/>
      <c r="AG497" s="1067">
        <v>31</v>
      </c>
      <c r="AH497" s="1067">
        <f t="shared" si="97"/>
        <v>620</v>
      </c>
      <c r="AI497" s="1068"/>
      <c r="AJ497" s="1068"/>
      <c r="AK497" s="1068">
        <v>31</v>
      </c>
      <c r="AL497" s="1068">
        <f t="shared" si="98"/>
        <v>620</v>
      </c>
      <c r="AM497" s="1069"/>
      <c r="AN497" s="1069"/>
      <c r="AO497" s="1069">
        <v>28</v>
      </c>
      <c r="AP497" s="1069">
        <f t="shared" si="99"/>
        <v>560</v>
      </c>
      <c r="AQ497" s="1064"/>
      <c r="AR497" s="1064"/>
      <c r="AS497" s="1064">
        <f t="shared" si="88"/>
        <v>-45</v>
      </c>
      <c r="AT497" s="1064">
        <f t="shared" si="100"/>
        <v>-900</v>
      </c>
      <c r="AU497" s="1070"/>
      <c r="AV497" s="1070"/>
      <c r="AW497" s="1070">
        <f t="shared" si="89"/>
        <v>0</v>
      </c>
      <c r="AX497" s="1070">
        <f t="shared" si="101"/>
        <v>0</v>
      </c>
      <c r="AY497" s="1071"/>
      <c r="AZ497" s="1071"/>
      <c r="BA497" s="1071">
        <f t="shared" si="90"/>
        <v>0</v>
      </c>
      <c r="BB497" s="1071">
        <f t="shared" si="102"/>
        <v>0</v>
      </c>
      <c r="BC497" s="1072"/>
      <c r="BD497" s="1072"/>
      <c r="BE497" s="1072"/>
      <c r="BF497" s="1072"/>
    </row>
    <row r="498" spans="2:58" ht="15.75" customHeight="1" x14ac:dyDescent="0.25">
      <c r="B498" s="1076"/>
      <c r="C498" s="1076"/>
      <c r="D498" s="1053"/>
      <c r="E498" s="1054"/>
      <c r="F498" s="1055"/>
      <c r="G498" s="1055"/>
      <c r="H498" s="1057"/>
      <c r="I498" s="1058"/>
      <c r="J498" s="1059"/>
      <c r="K498" s="1060"/>
      <c r="L498" s="1060"/>
      <c r="M498" s="1061">
        <f t="shared" si="83"/>
        <v>0</v>
      </c>
      <c r="N498" s="1060">
        <f t="shared" si="92"/>
        <v>0</v>
      </c>
      <c r="O498" s="1063"/>
      <c r="P498" s="1063"/>
      <c r="Q498" s="1063">
        <f t="shared" si="84"/>
        <v>0</v>
      </c>
      <c r="R498" s="1063">
        <f t="shared" si="93"/>
        <v>0</v>
      </c>
      <c r="S498" s="1064"/>
      <c r="T498" s="1064"/>
      <c r="U498" s="1064">
        <f t="shared" si="85"/>
        <v>0</v>
      </c>
      <c r="V498" s="1064">
        <f t="shared" si="94"/>
        <v>0</v>
      </c>
      <c r="W498" s="1065"/>
      <c r="X498" s="1065"/>
      <c r="Y498" s="1065">
        <f t="shared" si="86"/>
        <v>0</v>
      </c>
      <c r="Z498" s="1065">
        <f t="shared" si="95"/>
        <v>0</v>
      </c>
      <c r="AA498" s="1066"/>
      <c r="AB498" s="1066"/>
      <c r="AC498" s="1066">
        <f t="shared" si="87"/>
        <v>-45</v>
      </c>
      <c r="AD498" s="1066">
        <f t="shared" si="96"/>
        <v>-900</v>
      </c>
      <c r="AE498" s="1067"/>
      <c r="AF498" s="1067"/>
      <c r="AG498" s="1067">
        <v>31</v>
      </c>
      <c r="AH498" s="1067">
        <f t="shared" si="97"/>
        <v>620</v>
      </c>
      <c r="AI498" s="1068"/>
      <c r="AJ498" s="1068"/>
      <c r="AK498" s="1068">
        <v>31</v>
      </c>
      <c r="AL498" s="1068">
        <f t="shared" si="98"/>
        <v>620</v>
      </c>
      <c r="AM498" s="1069"/>
      <c r="AN498" s="1069"/>
      <c r="AO498" s="1069">
        <v>28</v>
      </c>
      <c r="AP498" s="1069">
        <f t="shared" si="99"/>
        <v>560</v>
      </c>
      <c r="AQ498" s="1064"/>
      <c r="AR498" s="1064"/>
      <c r="AS498" s="1064">
        <f t="shared" si="88"/>
        <v>-45</v>
      </c>
      <c r="AT498" s="1064">
        <f t="shared" si="100"/>
        <v>-900</v>
      </c>
      <c r="AU498" s="1070"/>
      <c r="AV498" s="1070"/>
      <c r="AW498" s="1070">
        <f t="shared" si="89"/>
        <v>0</v>
      </c>
      <c r="AX498" s="1070">
        <f t="shared" si="101"/>
        <v>0</v>
      </c>
      <c r="AY498" s="1071"/>
      <c r="AZ498" s="1071"/>
      <c r="BA498" s="1071">
        <f t="shared" si="90"/>
        <v>0</v>
      </c>
      <c r="BB498" s="1071">
        <f t="shared" si="102"/>
        <v>0</v>
      </c>
      <c r="BC498" s="1072"/>
      <c r="BD498" s="1072"/>
      <c r="BE498" s="1072"/>
      <c r="BF498" s="1072"/>
    </row>
    <row r="499" spans="2:58" ht="15.75" customHeight="1" x14ac:dyDescent="0.25">
      <c r="B499" s="1052"/>
      <c r="C499" s="1052"/>
      <c r="D499" s="1053"/>
      <c r="E499" s="1054"/>
      <c r="F499" s="1055"/>
      <c r="G499" s="1055"/>
      <c r="H499" s="1057"/>
      <c r="I499" s="1058"/>
      <c r="J499" s="1059"/>
      <c r="K499" s="1060"/>
      <c r="L499" s="1060"/>
      <c r="M499" s="1061">
        <f t="shared" si="83"/>
        <v>0</v>
      </c>
      <c r="N499" s="1060">
        <f t="shared" si="92"/>
        <v>0</v>
      </c>
      <c r="O499" s="1063"/>
      <c r="P499" s="1063"/>
      <c r="Q499" s="1063">
        <f t="shared" si="84"/>
        <v>0</v>
      </c>
      <c r="R499" s="1063">
        <f t="shared" si="93"/>
        <v>0</v>
      </c>
      <c r="S499" s="1064"/>
      <c r="T499" s="1064"/>
      <c r="U499" s="1064">
        <f t="shared" si="85"/>
        <v>0</v>
      </c>
      <c r="V499" s="1064">
        <f t="shared" si="94"/>
        <v>0</v>
      </c>
      <c r="W499" s="1065"/>
      <c r="X499" s="1065"/>
      <c r="Y499" s="1065">
        <f t="shared" si="86"/>
        <v>0</v>
      </c>
      <c r="Z499" s="1065">
        <f t="shared" si="95"/>
        <v>0</v>
      </c>
      <c r="AA499" s="1066"/>
      <c r="AB499" s="1066"/>
      <c r="AC499" s="1066">
        <f t="shared" si="87"/>
        <v>-45</v>
      </c>
      <c r="AD499" s="1066">
        <f t="shared" si="96"/>
        <v>-900</v>
      </c>
      <c r="AE499" s="1067"/>
      <c r="AF499" s="1067"/>
      <c r="AG499" s="1067">
        <v>31</v>
      </c>
      <c r="AH499" s="1067">
        <f t="shared" si="97"/>
        <v>620</v>
      </c>
      <c r="AI499" s="1068"/>
      <c r="AJ499" s="1068"/>
      <c r="AK499" s="1068">
        <v>31</v>
      </c>
      <c r="AL499" s="1068">
        <f t="shared" si="98"/>
        <v>620</v>
      </c>
      <c r="AM499" s="1069"/>
      <c r="AN499" s="1069"/>
      <c r="AO499" s="1069">
        <v>28</v>
      </c>
      <c r="AP499" s="1069">
        <f t="shared" si="99"/>
        <v>560</v>
      </c>
      <c r="AQ499" s="1064"/>
      <c r="AR499" s="1064"/>
      <c r="AS499" s="1064">
        <f t="shared" si="88"/>
        <v>-45</v>
      </c>
      <c r="AT499" s="1064">
        <f t="shared" si="100"/>
        <v>-900</v>
      </c>
      <c r="AU499" s="1070"/>
      <c r="AV499" s="1070"/>
      <c r="AW499" s="1070">
        <f t="shared" si="89"/>
        <v>0</v>
      </c>
      <c r="AX499" s="1070">
        <f t="shared" si="101"/>
        <v>0</v>
      </c>
      <c r="AY499" s="1071"/>
      <c r="AZ499" s="1071"/>
      <c r="BA499" s="1071">
        <f t="shared" si="90"/>
        <v>0</v>
      </c>
      <c r="BB499" s="1071">
        <f t="shared" si="102"/>
        <v>0</v>
      </c>
      <c r="BC499" s="1072"/>
      <c r="BD499" s="1072"/>
      <c r="BE499" s="1072"/>
      <c r="BF499" s="1072"/>
    </row>
    <row r="500" spans="2:58" ht="15.75" customHeight="1" x14ac:dyDescent="0.25">
      <c r="B500" s="1076"/>
      <c r="C500" s="1076"/>
      <c r="D500" s="1053"/>
      <c r="E500" s="1054"/>
      <c r="F500" s="1055"/>
      <c r="G500" s="1055"/>
      <c r="H500" s="1057"/>
      <c r="I500" s="1058"/>
      <c r="J500" s="1059"/>
      <c r="K500" s="1060"/>
      <c r="L500" s="1060"/>
      <c r="M500" s="1061">
        <f t="shared" si="83"/>
        <v>0</v>
      </c>
      <c r="N500" s="1060">
        <f t="shared" si="92"/>
        <v>0</v>
      </c>
      <c r="O500" s="1063"/>
      <c r="P500" s="1063"/>
      <c r="Q500" s="1063">
        <f t="shared" si="84"/>
        <v>0</v>
      </c>
      <c r="R500" s="1063">
        <f t="shared" si="93"/>
        <v>0</v>
      </c>
      <c r="S500" s="1064"/>
      <c r="T500" s="1064"/>
      <c r="U500" s="1064">
        <f t="shared" si="85"/>
        <v>0</v>
      </c>
      <c r="V500" s="1064">
        <f t="shared" si="94"/>
        <v>0</v>
      </c>
      <c r="W500" s="1065"/>
      <c r="X500" s="1065"/>
      <c r="Y500" s="1065">
        <f t="shared" si="86"/>
        <v>0</v>
      </c>
      <c r="Z500" s="1065">
        <f t="shared" si="95"/>
        <v>0</v>
      </c>
      <c r="AA500" s="1066"/>
      <c r="AB500" s="1066"/>
      <c r="AC500" s="1066">
        <f t="shared" si="87"/>
        <v>-45</v>
      </c>
      <c r="AD500" s="1066">
        <f t="shared" si="96"/>
        <v>-900</v>
      </c>
      <c r="AE500" s="1067"/>
      <c r="AF500" s="1067"/>
      <c r="AG500" s="1067">
        <v>31</v>
      </c>
      <c r="AH500" s="1067">
        <f t="shared" si="97"/>
        <v>620</v>
      </c>
      <c r="AI500" s="1068"/>
      <c r="AJ500" s="1068"/>
      <c r="AK500" s="1068">
        <v>31</v>
      </c>
      <c r="AL500" s="1068">
        <f t="shared" si="98"/>
        <v>620</v>
      </c>
      <c r="AM500" s="1069"/>
      <c r="AN500" s="1069"/>
      <c r="AO500" s="1069">
        <v>28</v>
      </c>
      <c r="AP500" s="1069">
        <f t="shared" si="99"/>
        <v>560</v>
      </c>
      <c r="AQ500" s="1064"/>
      <c r="AR500" s="1064"/>
      <c r="AS500" s="1064">
        <f t="shared" si="88"/>
        <v>-45</v>
      </c>
      <c r="AT500" s="1064">
        <f t="shared" si="100"/>
        <v>-900</v>
      </c>
      <c r="AU500" s="1070"/>
      <c r="AV500" s="1070"/>
      <c r="AW500" s="1070">
        <f t="shared" si="89"/>
        <v>0</v>
      </c>
      <c r="AX500" s="1070">
        <f t="shared" si="101"/>
        <v>0</v>
      </c>
      <c r="AY500" s="1071"/>
      <c r="AZ500" s="1071"/>
      <c r="BA500" s="1071">
        <f t="shared" si="90"/>
        <v>0</v>
      </c>
      <c r="BB500" s="1071">
        <f t="shared" si="102"/>
        <v>0</v>
      </c>
      <c r="BC500" s="1072"/>
      <c r="BD500" s="1072"/>
      <c r="BE500" s="1072"/>
      <c r="BF500" s="1072"/>
    </row>
    <row r="501" spans="2:58" ht="15.75" customHeight="1" x14ac:dyDescent="0.25">
      <c r="B501" s="1052"/>
      <c r="C501" s="1052"/>
      <c r="D501" s="1053"/>
      <c r="E501" s="1054"/>
      <c r="F501" s="1055"/>
      <c r="G501" s="1055"/>
      <c r="H501" s="1057"/>
      <c r="I501" s="1058"/>
      <c r="J501" s="1059"/>
      <c r="K501" s="1060"/>
      <c r="L501" s="1060"/>
      <c r="M501" s="1061">
        <f t="shared" si="83"/>
        <v>0</v>
      </c>
      <c r="N501" s="1060">
        <f t="shared" si="92"/>
        <v>0</v>
      </c>
      <c r="O501" s="1063"/>
      <c r="P501" s="1063"/>
      <c r="Q501" s="1063">
        <f t="shared" si="84"/>
        <v>0</v>
      </c>
      <c r="R501" s="1063">
        <f t="shared" si="93"/>
        <v>0</v>
      </c>
      <c r="S501" s="1064"/>
      <c r="T501" s="1064"/>
      <c r="U501" s="1064">
        <f t="shared" si="85"/>
        <v>0</v>
      </c>
      <c r="V501" s="1064">
        <f t="shared" si="94"/>
        <v>0</v>
      </c>
      <c r="W501" s="1065"/>
      <c r="X501" s="1065"/>
      <c r="Y501" s="1065">
        <f t="shared" si="86"/>
        <v>0</v>
      </c>
      <c r="Z501" s="1065">
        <f t="shared" si="95"/>
        <v>0</v>
      </c>
      <c r="AA501" s="1066"/>
      <c r="AB501" s="1066"/>
      <c r="AC501" s="1066">
        <f t="shared" si="87"/>
        <v>-45</v>
      </c>
      <c r="AD501" s="1066">
        <f t="shared" si="96"/>
        <v>-900</v>
      </c>
      <c r="AE501" s="1067"/>
      <c r="AF501" s="1067"/>
      <c r="AG501" s="1067">
        <v>31</v>
      </c>
      <c r="AH501" s="1067">
        <f t="shared" si="97"/>
        <v>620</v>
      </c>
      <c r="AI501" s="1068"/>
      <c r="AJ501" s="1068"/>
      <c r="AK501" s="1068">
        <v>31</v>
      </c>
      <c r="AL501" s="1068">
        <f t="shared" si="98"/>
        <v>620</v>
      </c>
      <c r="AM501" s="1069"/>
      <c r="AN501" s="1069"/>
      <c r="AO501" s="1069">
        <v>28</v>
      </c>
      <c r="AP501" s="1069">
        <f t="shared" si="99"/>
        <v>560</v>
      </c>
      <c r="AQ501" s="1064"/>
      <c r="AR501" s="1064"/>
      <c r="AS501" s="1064">
        <f t="shared" si="88"/>
        <v>-45</v>
      </c>
      <c r="AT501" s="1064">
        <f t="shared" si="100"/>
        <v>-900</v>
      </c>
      <c r="AU501" s="1070"/>
      <c r="AV501" s="1070"/>
      <c r="AW501" s="1070">
        <f t="shared" si="89"/>
        <v>0</v>
      </c>
      <c r="AX501" s="1070">
        <f t="shared" si="101"/>
        <v>0</v>
      </c>
      <c r="AY501" s="1071"/>
      <c r="AZ501" s="1071"/>
      <c r="BA501" s="1071">
        <f t="shared" si="90"/>
        <v>0</v>
      </c>
      <c r="BB501" s="1071">
        <f t="shared" si="102"/>
        <v>0</v>
      </c>
      <c r="BC501" s="1072"/>
      <c r="BD501" s="1072"/>
      <c r="BE501" s="1072"/>
      <c r="BF501" s="1072"/>
    </row>
    <row r="502" spans="2:58" ht="15.75" customHeight="1" x14ac:dyDescent="0.25">
      <c r="B502" s="1076"/>
      <c r="C502" s="1076"/>
      <c r="D502" s="1053"/>
      <c r="E502" s="1054"/>
      <c r="F502" s="1055"/>
      <c r="G502" s="1055"/>
      <c r="H502" s="1057"/>
      <c r="I502" s="1058"/>
      <c r="J502" s="1059"/>
      <c r="K502" s="1060"/>
      <c r="L502" s="1060"/>
      <c r="M502" s="1061">
        <f t="shared" si="83"/>
        <v>0</v>
      </c>
      <c r="N502" s="1060">
        <f t="shared" si="92"/>
        <v>0</v>
      </c>
      <c r="O502" s="1063"/>
      <c r="P502" s="1063"/>
      <c r="Q502" s="1063">
        <f t="shared" si="84"/>
        <v>0</v>
      </c>
      <c r="R502" s="1063">
        <f t="shared" si="93"/>
        <v>0</v>
      </c>
      <c r="S502" s="1064"/>
      <c r="T502" s="1064"/>
      <c r="U502" s="1064">
        <f t="shared" si="85"/>
        <v>0</v>
      </c>
      <c r="V502" s="1064">
        <f t="shared" si="94"/>
        <v>0</v>
      </c>
      <c r="W502" s="1065"/>
      <c r="X502" s="1065"/>
      <c r="Y502" s="1065">
        <f t="shared" si="86"/>
        <v>0</v>
      </c>
      <c r="Z502" s="1065">
        <f t="shared" si="95"/>
        <v>0</v>
      </c>
      <c r="AA502" s="1066"/>
      <c r="AB502" s="1066"/>
      <c r="AC502" s="1066">
        <f t="shared" si="87"/>
        <v>-45</v>
      </c>
      <c r="AD502" s="1066">
        <f t="shared" si="96"/>
        <v>-900</v>
      </c>
      <c r="AE502" s="1067"/>
      <c r="AF502" s="1067"/>
      <c r="AG502" s="1067">
        <v>31</v>
      </c>
      <c r="AH502" s="1067">
        <f t="shared" si="97"/>
        <v>620</v>
      </c>
      <c r="AI502" s="1068"/>
      <c r="AJ502" s="1068"/>
      <c r="AK502" s="1068">
        <v>31</v>
      </c>
      <c r="AL502" s="1068">
        <f t="shared" si="98"/>
        <v>620</v>
      </c>
      <c r="AM502" s="1069"/>
      <c r="AN502" s="1069"/>
      <c r="AO502" s="1069">
        <v>28</v>
      </c>
      <c r="AP502" s="1069">
        <f t="shared" si="99"/>
        <v>560</v>
      </c>
      <c r="AQ502" s="1064"/>
      <c r="AR502" s="1064"/>
      <c r="AS502" s="1064">
        <f t="shared" si="88"/>
        <v>-45</v>
      </c>
      <c r="AT502" s="1064">
        <f t="shared" si="100"/>
        <v>-900</v>
      </c>
      <c r="AU502" s="1070"/>
      <c r="AV502" s="1070"/>
      <c r="AW502" s="1070">
        <f t="shared" si="89"/>
        <v>0</v>
      </c>
      <c r="AX502" s="1070">
        <f t="shared" si="101"/>
        <v>0</v>
      </c>
      <c r="AY502" s="1071"/>
      <c r="AZ502" s="1071"/>
      <c r="BA502" s="1071">
        <f t="shared" si="90"/>
        <v>0</v>
      </c>
      <c r="BB502" s="1071">
        <f t="shared" si="102"/>
        <v>0</v>
      </c>
      <c r="BC502" s="1072"/>
      <c r="BD502" s="1072"/>
      <c r="BE502" s="1072"/>
      <c r="BF502" s="1072"/>
    </row>
    <row r="503" spans="2:58" ht="15.75" customHeight="1" x14ac:dyDescent="0.25">
      <c r="B503" s="1052"/>
      <c r="C503" s="1052"/>
      <c r="D503" s="1053"/>
      <c r="E503" s="1054"/>
      <c r="F503" s="1055"/>
      <c r="G503" s="1055"/>
      <c r="H503" s="1057"/>
      <c r="I503" s="1058"/>
      <c r="J503" s="1059"/>
      <c r="K503" s="1060"/>
      <c r="L503" s="1060"/>
      <c r="M503" s="1061">
        <f t="shared" si="83"/>
        <v>0</v>
      </c>
      <c r="N503" s="1060">
        <f t="shared" si="92"/>
        <v>0</v>
      </c>
      <c r="O503" s="1063"/>
      <c r="P503" s="1063"/>
      <c r="Q503" s="1063">
        <f t="shared" si="84"/>
        <v>0</v>
      </c>
      <c r="R503" s="1063">
        <f t="shared" si="93"/>
        <v>0</v>
      </c>
      <c r="S503" s="1064"/>
      <c r="T503" s="1064"/>
      <c r="U503" s="1064">
        <f t="shared" si="85"/>
        <v>0</v>
      </c>
      <c r="V503" s="1064">
        <f t="shared" si="94"/>
        <v>0</v>
      </c>
      <c r="W503" s="1065"/>
      <c r="X503" s="1065"/>
      <c r="Y503" s="1065">
        <f t="shared" si="86"/>
        <v>0</v>
      </c>
      <c r="Z503" s="1065">
        <f t="shared" si="95"/>
        <v>0</v>
      </c>
      <c r="AA503" s="1066"/>
      <c r="AB503" s="1066"/>
      <c r="AC503" s="1066">
        <f t="shared" si="87"/>
        <v>-45</v>
      </c>
      <c r="AD503" s="1066">
        <f t="shared" si="96"/>
        <v>-900</v>
      </c>
      <c r="AE503" s="1067"/>
      <c r="AF503" s="1067"/>
      <c r="AG503" s="1067">
        <v>31</v>
      </c>
      <c r="AH503" s="1067">
        <f t="shared" si="97"/>
        <v>620</v>
      </c>
      <c r="AI503" s="1068"/>
      <c r="AJ503" s="1068"/>
      <c r="AK503" s="1068">
        <v>31</v>
      </c>
      <c r="AL503" s="1068">
        <f t="shared" si="98"/>
        <v>620</v>
      </c>
      <c r="AM503" s="1069"/>
      <c r="AN503" s="1069"/>
      <c r="AO503" s="1069">
        <v>28</v>
      </c>
      <c r="AP503" s="1069">
        <f t="shared" si="99"/>
        <v>560</v>
      </c>
      <c r="AQ503" s="1064"/>
      <c r="AR503" s="1064"/>
      <c r="AS503" s="1064">
        <f t="shared" si="88"/>
        <v>-45</v>
      </c>
      <c r="AT503" s="1064">
        <f t="shared" si="100"/>
        <v>-900</v>
      </c>
      <c r="AU503" s="1070"/>
      <c r="AV503" s="1070"/>
      <c r="AW503" s="1070">
        <f t="shared" si="89"/>
        <v>0</v>
      </c>
      <c r="AX503" s="1070">
        <f t="shared" si="101"/>
        <v>0</v>
      </c>
      <c r="AY503" s="1071"/>
      <c r="AZ503" s="1071"/>
      <c r="BA503" s="1071">
        <f t="shared" si="90"/>
        <v>0</v>
      </c>
      <c r="BB503" s="1071">
        <f t="shared" si="102"/>
        <v>0</v>
      </c>
      <c r="BC503" s="1072"/>
      <c r="BD503" s="1072"/>
      <c r="BE503" s="1072"/>
      <c r="BF503" s="1072"/>
    </row>
    <row r="504" spans="2:58" ht="15.75" customHeight="1" x14ac:dyDescent="0.25">
      <c r="B504" s="1076"/>
      <c r="C504" s="1076"/>
      <c r="D504" s="1053"/>
      <c r="E504" s="1054"/>
      <c r="F504" s="1055"/>
      <c r="G504" s="1055"/>
      <c r="H504" s="1057"/>
      <c r="I504" s="1058"/>
      <c r="J504" s="1059"/>
      <c r="K504" s="1060"/>
      <c r="L504" s="1060"/>
      <c r="M504" s="1061">
        <f t="shared" si="83"/>
        <v>0</v>
      </c>
      <c r="N504" s="1060">
        <f t="shared" si="92"/>
        <v>0</v>
      </c>
      <c r="O504" s="1063"/>
      <c r="P504" s="1063"/>
      <c r="Q504" s="1063">
        <f t="shared" si="84"/>
        <v>0</v>
      </c>
      <c r="R504" s="1063">
        <f t="shared" si="93"/>
        <v>0</v>
      </c>
      <c r="S504" s="1064"/>
      <c r="T504" s="1064"/>
      <c r="U504" s="1064">
        <f t="shared" si="85"/>
        <v>0</v>
      </c>
      <c r="V504" s="1064">
        <f t="shared" si="94"/>
        <v>0</v>
      </c>
      <c r="W504" s="1065"/>
      <c r="X504" s="1065"/>
      <c r="Y504" s="1065">
        <f t="shared" si="86"/>
        <v>0</v>
      </c>
      <c r="Z504" s="1065">
        <f t="shared" si="95"/>
        <v>0</v>
      </c>
      <c r="AA504" s="1066"/>
      <c r="AB504" s="1066"/>
      <c r="AC504" s="1066">
        <f t="shared" si="87"/>
        <v>-45</v>
      </c>
      <c r="AD504" s="1066">
        <f t="shared" si="96"/>
        <v>-900</v>
      </c>
      <c r="AE504" s="1067"/>
      <c r="AF504" s="1067"/>
      <c r="AG504" s="1067">
        <v>31</v>
      </c>
      <c r="AH504" s="1067">
        <f t="shared" si="97"/>
        <v>620</v>
      </c>
      <c r="AI504" s="1068"/>
      <c r="AJ504" s="1068"/>
      <c r="AK504" s="1068">
        <v>31</v>
      </c>
      <c r="AL504" s="1068">
        <f t="shared" si="98"/>
        <v>620</v>
      </c>
      <c r="AM504" s="1069"/>
      <c r="AN504" s="1069"/>
      <c r="AO504" s="1069">
        <v>28</v>
      </c>
      <c r="AP504" s="1069">
        <f t="shared" si="99"/>
        <v>560</v>
      </c>
      <c r="AQ504" s="1064"/>
      <c r="AR504" s="1064"/>
      <c r="AS504" s="1064">
        <f t="shared" si="88"/>
        <v>-45</v>
      </c>
      <c r="AT504" s="1064">
        <f t="shared" si="100"/>
        <v>-900</v>
      </c>
      <c r="AU504" s="1070"/>
      <c r="AV504" s="1070"/>
      <c r="AW504" s="1070">
        <f t="shared" si="89"/>
        <v>0</v>
      </c>
      <c r="AX504" s="1070">
        <f t="shared" si="101"/>
        <v>0</v>
      </c>
      <c r="AY504" s="1071"/>
      <c r="AZ504" s="1071"/>
      <c r="BA504" s="1071">
        <f t="shared" si="90"/>
        <v>0</v>
      </c>
      <c r="BB504" s="1071">
        <f t="shared" si="102"/>
        <v>0</v>
      </c>
      <c r="BC504" s="1072"/>
      <c r="BD504" s="1072"/>
      <c r="BE504" s="1072"/>
      <c r="BF504" s="1072"/>
    </row>
    <row r="505" spans="2:58" ht="15.75" customHeight="1" x14ac:dyDescent="0.25">
      <c r="B505" s="1052"/>
      <c r="C505" s="1052"/>
      <c r="D505" s="1053"/>
      <c r="E505" s="1054"/>
      <c r="F505" s="1055"/>
      <c r="G505" s="1055"/>
      <c r="H505" s="1057"/>
      <c r="I505" s="1058"/>
      <c r="J505" s="1059"/>
      <c r="K505" s="1060"/>
      <c r="L505" s="1060"/>
      <c r="M505" s="1061">
        <f t="shared" si="83"/>
        <v>0</v>
      </c>
      <c r="N505" s="1060">
        <f t="shared" si="92"/>
        <v>0</v>
      </c>
      <c r="O505" s="1063"/>
      <c r="P505" s="1063"/>
      <c r="Q505" s="1063">
        <f t="shared" si="84"/>
        <v>0</v>
      </c>
      <c r="R505" s="1063">
        <f t="shared" si="93"/>
        <v>0</v>
      </c>
      <c r="S505" s="1064"/>
      <c r="T505" s="1064"/>
      <c r="U505" s="1064">
        <f t="shared" si="85"/>
        <v>0</v>
      </c>
      <c r="V505" s="1064">
        <f t="shared" si="94"/>
        <v>0</v>
      </c>
      <c r="W505" s="1065"/>
      <c r="X505" s="1065"/>
      <c r="Y505" s="1065">
        <f t="shared" si="86"/>
        <v>0</v>
      </c>
      <c r="Z505" s="1065">
        <f t="shared" si="95"/>
        <v>0</v>
      </c>
      <c r="AA505" s="1066"/>
      <c r="AB505" s="1066"/>
      <c r="AC505" s="1066">
        <f t="shared" si="87"/>
        <v>-45</v>
      </c>
      <c r="AD505" s="1066">
        <f t="shared" si="96"/>
        <v>-900</v>
      </c>
      <c r="AE505" s="1067"/>
      <c r="AF505" s="1067"/>
      <c r="AG505" s="1067">
        <v>31</v>
      </c>
      <c r="AH505" s="1067">
        <f t="shared" si="97"/>
        <v>620</v>
      </c>
      <c r="AI505" s="1068"/>
      <c r="AJ505" s="1068"/>
      <c r="AK505" s="1068">
        <v>31</v>
      </c>
      <c r="AL505" s="1068">
        <f t="shared" si="98"/>
        <v>620</v>
      </c>
      <c r="AM505" s="1069"/>
      <c r="AN505" s="1069"/>
      <c r="AO505" s="1069">
        <v>28</v>
      </c>
      <c r="AP505" s="1069">
        <f t="shared" si="99"/>
        <v>560</v>
      </c>
      <c r="AQ505" s="1064"/>
      <c r="AR505" s="1064"/>
      <c r="AS505" s="1064">
        <f t="shared" si="88"/>
        <v>-45</v>
      </c>
      <c r="AT505" s="1064">
        <f t="shared" si="100"/>
        <v>-900</v>
      </c>
      <c r="AU505" s="1070"/>
      <c r="AV505" s="1070"/>
      <c r="AW505" s="1070">
        <f t="shared" si="89"/>
        <v>0</v>
      </c>
      <c r="AX505" s="1070">
        <f t="shared" si="101"/>
        <v>0</v>
      </c>
      <c r="AY505" s="1071"/>
      <c r="AZ505" s="1071"/>
      <c r="BA505" s="1071">
        <f t="shared" si="90"/>
        <v>0</v>
      </c>
      <c r="BB505" s="1071">
        <f t="shared" si="102"/>
        <v>0</v>
      </c>
      <c r="BC505" s="1072"/>
      <c r="BD505" s="1072"/>
      <c r="BE505" s="1072"/>
      <c r="BF505" s="1072"/>
    </row>
    <row r="506" spans="2:58" ht="15.75" customHeight="1" x14ac:dyDescent="0.25">
      <c r="B506" s="1076"/>
      <c r="C506" s="1076"/>
      <c r="D506" s="1053"/>
      <c r="E506" s="1054"/>
      <c r="F506" s="1055"/>
      <c r="G506" s="1055"/>
      <c r="H506" s="1057"/>
      <c r="I506" s="1058"/>
      <c r="J506" s="1059"/>
      <c r="K506" s="1060"/>
      <c r="L506" s="1060"/>
      <c r="M506" s="1061">
        <f t="shared" si="83"/>
        <v>0</v>
      </c>
      <c r="N506" s="1060">
        <f t="shared" si="92"/>
        <v>0</v>
      </c>
      <c r="O506" s="1063"/>
      <c r="P506" s="1063"/>
      <c r="Q506" s="1063">
        <f t="shared" si="84"/>
        <v>0</v>
      </c>
      <c r="R506" s="1063">
        <f t="shared" si="93"/>
        <v>0</v>
      </c>
      <c r="S506" s="1064"/>
      <c r="T506" s="1064"/>
      <c r="U506" s="1064">
        <f t="shared" si="85"/>
        <v>0</v>
      </c>
      <c r="V506" s="1064">
        <f t="shared" si="94"/>
        <v>0</v>
      </c>
      <c r="W506" s="1065"/>
      <c r="X506" s="1065"/>
      <c r="Y506" s="1065">
        <f t="shared" si="86"/>
        <v>0</v>
      </c>
      <c r="Z506" s="1065">
        <f t="shared" si="95"/>
        <v>0</v>
      </c>
      <c r="AA506" s="1066"/>
      <c r="AB506" s="1066"/>
      <c r="AC506" s="1066">
        <f t="shared" si="87"/>
        <v>-45</v>
      </c>
      <c r="AD506" s="1066">
        <f t="shared" si="96"/>
        <v>-900</v>
      </c>
      <c r="AE506" s="1067"/>
      <c r="AF506" s="1067"/>
      <c r="AG506" s="1067">
        <v>31</v>
      </c>
      <c r="AH506" s="1067">
        <f t="shared" si="97"/>
        <v>620</v>
      </c>
      <c r="AI506" s="1068"/>
      <c r="AJ506" s="1068"/>
      <c r="AK506" s="1068">
        <v>31</v>
      </c>
      <c r="AL506" s="1068">
        <f t="shared" si="98"/>
        <v>620</v>
      </c>
      <c r="AM506" s="1069"/>
      <c r="AN506" s="1069"/>
      <c r="AO506" s="1069">
        <v>28</v>
      </c>
      <c r="AP506" s="1069">
        <f t="shared" si="99"/>
        <v>560</v>
      </c>
      <c r="AQ506" s="1064"/>
      <c r="AR506" s="1064"/>
      <c r="AS506" s="1064">
        <f t="shared" si="88"/>
        <v>-45</v>
      </c>
      <c r="AT506" s="1064">
        <f t="shared" si="100"/>
        <v>-900</v>
      </c>
      <c r="AU506" s="1070"/>
      <c r="AV506" s="1070"/>
      <c r="AW506" s="1070">
        <f t="shared" si="89"/>
        <v>0</v>
      </c>
      <c r="AX506" s="1070">
        <f t="shared" si="101"/>
        <v>0</v>
      </c>
      <c r="AY506" s="1071"/>
      <c r="AZ506" s="1071"/>
      <c r="BA506" s="1071">
        <f t="shared" si="90"/>
        <v>0</v>
      </c>
      <c r="BB506" s="1071">
        <f t="shared" si="102"/>
        <v>0</v>
      </c>
      <c r="BC506" s="1072"/>
      <c r="BD506" s="1072"/>
      <c r="BE506" s="1072"/>
      <c r="BF506" s="1072"/>
    </row>
    <row r="507" spans="2:58" ht="15.75" customHeight="1" x14ac:dyDescent="0.25">
      <c r="B507" s="1052"/>
      <c r="C507" s="1052"/>
      <c r="D507" s="1053"/>
      <c r="E507" s="1054"/>
      <c r="F507" s="1055"/>
      <c r="G507" s="1055"/>
      <c r="H507" s="1057"/>
      <c r="I507" s="1058"/>
      <c r="J507" s="1059"/>
      <c r="K507" s="1060"/>
      <c r="L507" s="1060"/>
      <c r="M507" s="1061">
        <f t="shared" si="83"/>
        <v>0</v>
      </c>
      <c r="N507" s="1060">
        <f t="shared" si="92"/>
        <v>0</v>
      </c>
      <c r="O507" s="1063"/>
      <c r="P507" s="1063"/>
      <c r="Q507" s="1063">
        <f t="shared" si="84"/>
        <v>0</v>
      </c>
      <c r="R507" s="1063">
        <f t="shared" si="93"/>
        <v>0</v>
      </c>
      <c r="S507" s="1064"/>
      <c r="T507" s="1064"/>
      <c r="U507" s="1064">
        <f t="shared" si="85"/>
        <v>0</v>
      </c>
      <c r="V507" s="1064">
        <f t="shared" si="94"/>
        <v>0</v>
      </c>
      <c r="W507" s="1065"/>
      <c r="X507" s="1065"/>
      <c r="Y507" s="1065">
        <f t="shared" si="86"/>
        <v>0</v>
      </c>
      <c r="Z507" s="1065">
        <f t="shared" si="95"/>
        <v>0</v>
      </c>
      <c r="AA507" s="1066"/>
      <c r="AB507" s="1066"/>
      <c r="AC507" s="1066">
        <f t="shared" si="87"/>
        <v>-45</v>
      </c>
      <c r="AD507" s="1066">
        <f t="shared" si="96"/>
        <v>-900</v>
      </c>
      <c r="AE507" s="1067"/>
      <c r="AF507" s="1067"/>
      <c r="AG507" s="1067">
        <v>31</v>
      </c>
      <c r="AH507" s="1067">
        <f t="shared" si="97"/>
        <v>620</v>
      </c>
      <c r="AI507" s="1068"/>
      <c r="AJ507" s="1068"/>
      <c r="AK507" s="1068">
        <v>31</v>
      </c>
      <c r="AL507" s="1068">
        <f t="shared" si="98"/>
        <v>620</v>
      </c>
      <c r="AM507" s="1069"/>
      <c r="AN507" s="1069"/>
      <c r="AO507" s="1069">
        <v>28</v>
      </c>
      <c r="AP507" s="1069">
        <f t="shared" si="99"/>
        <v>560</v>
      </c>
      <c r="AQ507" s="1064"/>
      <c r="AR507" s="1064"/>
      <c r="AS507" s="1064">
        <f t="shared" si="88"/>
        <v>-45</v>
      </c>
      <c r="AT507" s="1064">
        <f t="shared" si="100"/>
        <v>-900</v>
      </c>
      <c r="AU507" s="1070"/>
      <c r="AV507" s="1070"/>
      <c r="AW507" s="1070">
        <f t="shared" si="89"/>
        <v>0</v>
      </c>
      <c r="AX507" s="1070">
        <f t="shared" si="101"/>
        <v>0</v>
      </c>
      <c r="AY507" s="1071"/>
      <c r="AZ507" s="1071"/>
      <c r="BA507" s="1071">
        <f t="shared" si="90"/>
        <v>0</v>
      </c>
      <c r="BB507" s="1071">
        <f t="shared" si="102"/>
        <v>0</v>
      </c>
      <c r="BC507" s="1072"/>
      <c r="BD507" s="1072"/>
      <c r="BE507" s="1072"/>
      <c r="BF507" s="1072"/>
    </row>
    <row r="508" spans="2:58" ht="15.75" customHeight="1" x14ac:dyDescent="0.25">
      <c r="B508" s="1076"/>
      <c r="C508" s="1076"/>
      <c r="D508" s="1053"/>
      <c r="E508" s="1054"/>
      <c r="F508" s="1055"/>
      <c r="G508" s="1055"/>
      <c r="H508" s="1057"/>
      <c r="I508" s="1058"/>
      <c r="J508" s="1059"/>
      <c r="K508" s="1060"/>
      <c r="L508" s="1060"/>
      <c r="M508" s="1061">
        <f t="shared" si="83"/>
        <v>0</v>
      </c>
      <c r="N508" s="1060">
        <f t="shared" si="92"/>
        <v>0</v>
      </c>
      <c r="O508" s="1063"/>
      <c r="P508" s="1063"/>
      <c r="Q508" s="1063">
        <f t="shared" si="84"/>
        <v>0</v>
      </c>
      <c r="R508" s="1063">
        <f t="shared" si="93"/>
        <v>0</v>
      </c>
      <c r="S508" s="1064"/>
      <c r="T508" s="1064"/>
      <c r="U508" s="1064">
        <f t="shared" si="85"/>
        <v>0</v>
      </c>
      <c r="V508" s="1064">
        <f t="shared" si="94"/>
        <v>0</v>
      </c>
      <c r="W508" s="1065"/>
      <c r="X508" s="1065"/>
      <c r="Y508" s="1065">
        <f t="shared" si="86"/>
        <v>0</v>
      </c>
      <c r="Z508" s="1065">
        <f t="shared" si="95"/>
        <v>0</v>
      </c>
      <c r="AA508" s="1066"/>
      <c r="AB508" s="1066"/>
      <c r="AC508" s="1066">
        <f t="shared" si="87"/>
        <v>-45</v>
      </c>
      <c r="AD508" s="1066">
        <f t="shared" si="96"/>
        <v>-900</v>
      </c>
      <c r="AE508" s="1067"/>
      <c r="AF508" s="1067"/>
      <c r="AG508" s="1067">
        <v>31</v>
      </c>
      <c r="AH508" s="1067">
        <f t="shared" si="97"/>
        <v>620</v>
      </c>
      <c r="AI508" s="1068"/>
      <c r="AJ508" s="1068"/>
      <c r="AK508" s="1068">
        <v>31</v>
      </c>
      <c r="AL508" s="1068">
        <f t="shared" si="98"/>
        <v>620</v>
      </c>
      <c r="AM508" s="1069"/>
      <c r="AN508" s="1069"/>
      <c r="AO508" s="1069">
        <v>28</v>
      </c>
      <c r="AP508" s="1069">
        <f t="shared" si="99"/>
        <v>560</v>
      </c>
      <c r="AQ508" s="1064"/>
      <c r="AR508" s="1064"/>
      <c r="AS508" s="1064">
        <f t="shared" si="88"/>
        <v>-45</v>
      </c>
      <c r="AT508" s="1064">
        <f t="shared" si="100"/>
        <v>-900</v>
      </c>
      <c r="AU508" s="1070"/>
      <c r="AV508" s="1070"/>
      <c r="AW508" s="1070">
        <f t="shared" si="89"/>
        <v>0</v>
      </c>
      <c r="AX508" s="1070">
        <f t="shared" si="101"/>
        <v>0</v>
      </c>
      <c r="AY508" s="1071"/>
      <c r="AZ508" s="1071"/>
      <c r="BA508" s="1071">
        <f t="shared" si="90"/>
        <v>0</v>
      </c>
      <c r="BB508" s="1071">
        <f t="shared" si="102"/>
        <v>0</v>
      </c>
      <c r="BC508" s="1072"/>
      <c r="BD508" s="1072"/>
      <c r="BE508" s="1072"/>
      <c r="BF508" s="1072"/>
    </row>
    <row r="509" spans="2:58" ht="15.75" customHeight="1" x14ac:dyDescent="0.25">
      <c r="B509" s="1052"/>
      <c r="C509" s="1052"/>
      <c r="D509" s="1053"/>
      <c r="E509" s="1054"/>
      <c r="F509" s="1055"/>
      <c r="G509" s="1055"/>
      <c r="H509" s="1057"/>
      <c r="I509" s="1058"/>
      <c r="J509" s="1059"/>
      <c r="K509" s="1060"/>
      <c r="L509" s="1060"/>
      <c r="M509" s="1061">
        <f t="shared" si="83"/>
        <v>0</v>
      </c>
      <c r="N509" s="1060">
        <f t="shared" si="92"/>
        <v>0</v>
      </c>
      <c r="O509" s="1063"/>
      <c r="P509" s="1063"/>
      <c r="Q509" s="1063">
        <f t="shared" si="84"/>
        <v>0</v>
      </c>
      <c r="R509" s="1063">
        <f t="shared" si="93"/>
        <v>0</v>
      </c>
      <c r="S509" s="1064"/>
      <c r="T509" s="1064"/>
      <c r="U509" s="1064">
        <f t="shared" si="85"/>
        <v>0</v>
      </c>
      <c r="V509" s="1064">
        <f t="shared" si="94"/>
        <v>0</v>
      </c>
      <c r="W509" s="1065"/>
      <c r="X509" s="1065"/>
      <c r="Y509" s="1065">
        <f t="shared" si="86"/>
        <v>0</v>
      </c>
      <c r="Z509" s="1065">
        <f t="shared" si="95"/>
        <v>0</v>
      </c>
      <c r="AA509" s="1066"/>
      <c r="AB509" s="1066"/>
      <c r="AC509" s="1066">
        <f t="shared" si="87"/>
        <v>-45</v>
      </c>
      <c r="AD509" s="1066">
        <f t="shared" si="96"/>
        <v>-900</v>
      </c>
      <c r="AE509" s="1067"/>
      <c r="AF509" s="1067"/>
      <c r="AG509" s="1067">
        <v>31</v>
      </c>
      <c r="AH509" s="1067">
        <f t="shared" si="97"/>
        <v>620</v>
      </c>
      <c r="AI509" s="1068"/>
      <c r="AJ509" s="1068"/>
      <c r="AK509" s="1068">
        <v>31</v>
      </c>
      <c r="AL509" s="1068">
        <f t="shared" si="98"/>
        <v>620</v>
      </c>
      <c r="AM509" s="1069"/>
      <c r="AN509" s="1069"/>
      <c r="AO509" s="1069">
        <v>28</v>
      </c>
      <c r="AP509" s="1069">
        <f t="shared" si="99"/>
        <v>560</v>
      </c>
      <c r="AQ509" s="1064"/>
      <c r="AR509" s="1064"/>
      <c r="AS509" s="1064">
        <f t="shared" si="88"/>
        <v>-45</v>
      </c>
      <c r="AT509" s="1064">
        <f t="shared" si="100"/>
        <v>-900</v>
      </c>
      <c r="AU509" s="1070"/>
      <c r="AV509" s="1070"/>
      <c r="AW509" s="1070">
        <f t="shared" si="89"/>
        <v>0</v>
      </c>
      <c r="AX509" s="1070">
        <f t="shared" si="101"/>
        <v>0</v>
      </c>
      <c r="AY509" s="1071"/>
      <c r="AZ509" s="1071"/>
      <c r="BA509" s="1071">
        <f t="shared" si="90"/>
        <v>0</v>
      </c>
      <c r="BB509" s="1071">
        <f t="shared" si="102"/>
        <v>0</v>
      </c>
      <c r="BC509" s="1072"/>
      <c r="BD509" s="1072"/>
      <c r="BE509" s="1072"/>
      <c r="BF509" s="1072"/>
    </row>
    <row r="510" spans="2:58" ht="15.75" customHeight="1" x14ac:dyDescent="0.25">
      <c r="B510" s="1076"/>
      <c r="C510" s="1076"/>
      <c r="D510" s="1053"/>
      <c r="E510" s="1054"/>
      <c r="F510" s="1055"/>
      <c r="G510" s="1055"/>
      <c r="H510" s="1057"/>
      <c r="I510" s="1058"/>
      <c r="J510" s="1059"/>
      <c r="K510" s="1060"/>
      <c r="L510" s="1060"/>
      <c r="M510" s="1061">
        <f t="shared" si="83"/>
        <v>0</v>
      </c>
      <c r="N510" s="1060">
        <f t="shared" si="92"/>
        <v>0</v>
      </c>
      <c r="O510" s="1063"/>
      <c r="P510" s="1063"/>
      <c r="Q510" s="1063">
        <f t="shared" si="84"/>
        <v>0</v>
      </c>
      <c r="R510" s="1063">
        <f t="shared" si="93"/>
        <v>0</v>
      </c>
      <c r="S510" s="1064"/>
      <c r="T510" s="1064"/>
      <c r="U510" s="1064">
        <f t="shared" si="85"/>
        <v>0</v>
      </c>
      <c r="V510" s="1064">
        <f t="shared" si="94"/>
        <v>0</v>
      </c>
      <c r="W510" s="1065"/>
      <c r="X510" s="1065"/>
      <c r="Y510" s="1065">
        <f t="shared" si="86"/>
        <v>0</v>
      </c>
      <c r="Z510" s="1065">
        <f t="shared" si="95"/>
        <v>0</v>
      </c>
      <c r="AA510" s="1066"/>
      <c r="AB510" s="1066"/>
      <c r="AC510" s="1066">
        <f t="shared" si="87"/>
        <v>-45</v>
      </c>
      <c r="AD510" s="1066">
        <f t="shared" si="96"/>
        <v>-900</v>
      </c>
      <c r="AE510" s="1067"/>
      <c r="AF510" s="1067"/>
      <c r="AG510" s="1067">
        <v>31</v>
      </c>
      <c r="AH510" s="1067">
        <f t="shared" si="97"/>
        <v>620</v>
      </c>
      <c r="AI510" s="1068"/>
      <c r="AJ510" s="1068"/>
      <c r="AK510" s="1068">
        <v>31</v>
      </c>
      <c r="AL510" s="1068">
        <f t="shared" si="98"/>
        <v>620</v>
      </c>
      <c r="AM510" s="1069"/>
      <c r="AN510" s="1069"/>
      <c r="AO510" s="1069">
        <v>28</v>
      </c>
      <c r="AP510" s="1069">
        <f t="shared" si="99"/>
        <v>560</v>
      </c>
      <c r="AQ510" s="1064"/>
      <c r="AR510" s="1064"/>
      <c r="AS510" s="1064">
        <f t="shared" si="88"/>
        <v>-45</v>
      </c>
      <c r="AT510" s="1064">
        <f t="shared" si="100"/>
        <v>-900</v>
      </c>
      <c r="AU510" s="1070"/>
      <c r="AV510" s="1070"/>
      <c r="AW510" s="1070">
        <f t="shared" si="89"/>
        <v>0</v>
      </c>
      <c r="AX510" s="1070">
        <f t="shared" si="101"/>
        <v>0</v>
      </c>
      <c r="AY510" s="1071"/>
      <c r="AZ510" s="1071"/>
      <c r="BA510" s="1071">
        <f t="shared" si="90"/>
        <v>0</v>
      </c>
      <c r="BB510" s="1071">
        <f t="shared" si="102"/>
        <v>0</v>
      </c>
      <c r="BC510" s="1072"/>
      <c r="BD510" s="1072"/>
      <c r="BE510" s="1072"/>
      <c r="BF510" s="1072"/>
    </row>
    <row r="511" spans="2:58" ht="15.75" customHeight="1" x14ac:dyDescent="0.25">
      <c r="B511" s="1052"/>
      <c r="C511" s="1052"/>
      <c r="D511" s="1053"/>
      <c r="E511" s="1054"/>
      <c r="F511" s="1055"/>
      <c r="G511" s="1055"/>
      <c r="H511" s="1057"/>
      <c r="I511" s="1058"/>
      <c r="J511" s="1059"/>
      <c r="K511" s="1060"/>
      <c r="L511" s="1060"/>
      <c r="M511" s="1061">
        <f t="shared" si="83"/>
        <v>0</v>
      </c>
      <c r="N511" s="1060">
        <f t="shared" si="92"/>
        <v>0</v>
      </c>
      <c r="O511" s="1063"/>
      <c r="P511" s="1063"/>
      <c r="Q511" s="1063">
        <f t="shared" si="84"/>
        <v>0</v>
      </c>
      <c r="R511" s="1063">
        <f t="shared" si="93"/>
        <v>0</v>
      </c>
      <c r="S511" s="1064"/>
      <c r="T511" s="1064"/>
      <c r="U511" s="1064">
        <f t="shared" si="85"/>
        <v>0</v>
      </c>
      <c r="V511" s="1064">
        <f t="shared" si="94"/>
        <v>0</v>
      </c>
      <c r="W511" s="1065"/>
      <c r="X511" s="1065"/>
      <c r="Y511" s="1065">
        <f t="shared" si="86"/>
        <v>0</v>
      </c>
      <c r="Z511" s="1065">
        <f t="shared" si="95"/>
        <v>0</v>
      </c>
      <c r="AA511" s="1066"/>
      <c r="AB511" s="1066"/>
      <c r="AC511" s="1066">
        <f t="shared" si="87"/>
        <v>-45</v>
      </c>
      <c r="AD511" s="1066">
        <f t="shared" si="96"/>
        <v>-900</v>
      </c>
      <c r="AE511" s="1067"/>
      <c r="AF511" s="1067"/>
      <c r="AG511" s="1067">
        <v>31</v>
      </c>
      <c r="AH511" s="1067">
        <f t="shared" si="97"/>
        <v>620</v>
      </c>
      <c r="AI511" s="1068"/>
      <c r="AJ511" s="1068"/>
      <c r="AK511" s="1068">
        <v>31</v>
      </c>
      <c r="AL511" s="1068">
        <f t="shared" si="98"/>
        <v>620</v>
      </c>
      <c r="AM511" s="1069"/>
      <c r="AN511" s="1069"/>
      <c r="AO511" s="1069">
        <v>28</v>
      </c>
      <c r="AP511" s="1069">
        <f t="shared" si="99"/>
        <v>560</v>
      </c>
      <c r="AQ511" s="1064"/>
      <c r="AR511" s="1064"/>
      <c r="AS511" s="1064">
        <f t="shared" si="88"/>
        <v>-45</v>
      </c>
      <c r="AT511" s="1064">
        <f t="shared" si="100"/>
        <v>-900</v>
      </c>
      <c r="AU511" s="1070"/>
      <c r="AV511" s="1070"/>
      <c r="AW511" s="1070">
        <f t="shared" si="89"/>
        <v>0</v>
      </c>
      <c r="AX511" s="1070">
        <f t="shared" si="101"/>
        <v>0</v>
      </c>
      <c r="AY511" s="1071"/>
      <c r="AZ511" s="1071"/>
      <c r="BA511" s="1071">
        <f t="shared" si="90"/>
        <v>0</v>
      </c>
      <c r="BB511" s="1071">
        <f t="shared" si="102"/>
        <v>0</v>
      </c>
      <c r="BC511" s="1072"/>
      <c r="BD511" s="1072"/>
      <c r="BE511" s="1072"/>
      <c r="BF511" s="1072"/>
    </row>
    <row r="512" spans="2:58" ht="15.75" customHeight="1" x14ac:dyDescent="0.25">
      <c r="B512" s="1076"/>
      <c r="C512" s="1076"/>
      <c r="D512" s="1053"/>
      <c r="E512" s="1054"/>
      <c r="F512" s="1055"/>
      <c r="G512" s="1055"/>
      <c r="H512" s="1057"/>
      <c r="I512" s="1058"/>
      <c r="J512" s="1059"/>
      <c r="K512" s="1060"/>
      <c r="L512" s="1060"/>
      <c r="M512" s="1061">
        <f t="shared" si="83"/>
        <v>0</v>
      </c>
      <c r="N512" s="1060">
        <f t="shared" si="92"/>
        <v>0</v>
      </c>
      <c r="O512" s="1063"/>
      <c r="P512" s="1063"/>
      <c r="Q512" s="1063">
        <f t="shared" si="84"/>
        <v>0</v>
      </c>
      <c r="R512" s="1063">
        <f t="shared" si="93"/>
        <v>0</v>
      </c>
      <c r="S512" s="1064"/>
      <c r="T512" s="1064"/>
      <c r="U512" s="1064">
        <f t="shared" si="85"/>
        <v>0</v>
      </c>
      <c r="V512" s="1064">
        <f t="shared" si="94"/>
        <v>0</v>
      </c>
      <c r="W512" s="1065"/>
      <c r="X512" s="1065"/>
      <c r="Y512" s="1065">
        <f t="shared" si="86"/>
        <v>0</v>
      </c>
      <c r="Z512" s="1065">
        <f t="shared" si="95"/>
        <v>0</v>
      </c>
      <c r="AA512" s="1066"/>
      <c r="AB512" s="1066"/>
      <c r="AC512" s="1066">
        <f t="shared" si="87"/>
        <v>-45</v>
      </c>
      <c r="AD512" s="1066">
        <f t="shared" si="96"/>
        <v>-900</v>
      </c>
      <c r="AE512" s="1067"/>
      <c r="AF512" s="1067"/>
      <c r="AG512" s="1067">
        <v>31</v>
      </c>
      <c r="AH512" s="1067">
        <f t="shared" si="97"/>
        <v>620</v>
      </c>
      <c r="AI512" s="1068"/>
      <c r="AJ512" s="1068"/>
      <c r="AK512" s="1068">
        <v>31</v>
      </c>
      <c r="AL512" s="1068">
        <f t="shared" si="98"/>
        <v>620</v>
      </c>
      <c r="AM512" s="1069"/>
      <c r="AN512" s="1069"/>
      <c r="AO512" s="1069">
        <v>28</v>
      </c>
      <c r="AP512" s="1069">
        <f t="shared" si="99"/>
        <v>560</v>
      </c>
      <c r="AQ512" s="1064"/>
      <c r="AR512" s="1064"/>
      <c r="AS512" s="1064">
        <f t="shared" si="88"/>
        <v>-45</v>
      </c>
      <c r="AT512" s="1064">
        <f t="shared" si="100"/>
        <v>-900</v>
      </c>
      <c r="AU512" s="1070"/>
      <c r="AV512" s="1070"/>
      <c r="AW512" s="1070">
        <f t="shared" si="89"/>
        <v>0</v>
      </c>
      <c r="AX512" s="1070">
        <f t="shared" si="101"/>
        <v>0</v>
      </c>
      <c r="AY512" s="1071"/>
      <c r="AZ512" s="1071"/>
      <c r="BA512" s="1071">
        <f t="shared" si="90"/>
        <v>0</v>
      </c>
      <c r="BB512" s="1071">
        <f t="shared" si="102"/>
        <v>0</v>
      </c>
      <c r="BC512" s="1072"/>
      <c r="BD512" s="1072"/>
      <c r="BE512" s="1072"/>
      <c r="BF512" s="1072"/>
    </row>
    <row r="513" spans="2:58" ht="15.75" customHeight="1" x14ac:dyDescent="0.25">
      <c r="B513" s="1052"/>
      <c r="C513" s="1052"/>
      <c r="D513" s="1053"/>
      <c r="E513" s="1054"/>
      <c r="F513" s="1055"/>
      <c r="G513" s="1055"/>
      <c r="H513" s="1057"/>
      <c r="I513" s="1058"/>
      <c r="J513" s="1059"/>
      <c r="K513" s="1060"/>
      <c r="L513" s="1060"/>
      <c r="M513" s="1061">
        <f t="shared" si="83"/>
        <v>0</v>
      </c>
      <c r="N513" s="1060">
        <f t="shared" si="92"/>
        <v>0</v>
      </c>
      <c r="O513" s="1063"/>
      <c r="P513" s="1063"/>
      <c r="Q513" s="1063">
        <f t="shared" si="84"/>
        <v>0</v>
      </c>
      <c r="R513" s="1063">
        <f t="shared" si="93"/>
        <v>0</v>
      </c>
      <c r="S513" s="1064"/>
      <c r="T513" s="1064"/>
      <c r="U513" s="1064">
        <f t="shared" si="85"/>
        <v>0</v>
      </c>
      <c r="V513" s="1064">
        <f t="shared" si="94"/>
        <v>0</v>
      </c>
      <c r="W513" s="1065"/>
      <c r="X513" s="1065"/>
      <c r="Y513" s="1065">
        <f t="shared" si="86"/>
        <v>0</v>
      </c>
      <c r="Z513" s="1065">
        <f t="shared" si="95"/>
        <v>0</v>
      </c>
      <c r="AA513" s="1066"/>
      <c r="AB513" s="1066"/>
      <c r="AC513" s="1066">
        <f t="shared" si="87"/>
        <v>-45</v>
      </c>
      <c r="AD513" s="1066">
        <f t="shared" si="96"/>
        <v>-900</v>
      </c>
      <c r="AE513" s="1067"/>
      <c r="AF513" s="1067"/>
      <c r="AG513" s="1067">
        <v>31</v>
      </c>
      <c r="AH513" s="1067">
        <f t="shared" si="97"/>
        <v>620</v>
      </c>
      <c r="AI513" s="1068"/>
      <c r="AJ513" s="1068"/>
      <c r="AK513" s="1068">
        <v>31</v>
      </c>
      <c r="AL513" s="1068">
        <f t="shared" si="98"/>
        <v>620</v>
      </c>
      <c r="AM513" s="1069"/>
      <c r="AN513" s="1069"/>
      <c r="AO513" s="1069">
        <v>28</v>
      </c>
      <c r="AP513" s="1069">
        <f t="shared" si="99"/>
        <v>560</v>
      </c>
      <c r="AQ513" s="1064"/>
      <c r="AR513" s="1064"/>
      <c r="AS513" s="1064">
        <f t="shared" si="88"/>
        <v>-45</v>
      </c>
      <c r="AT513" s="1064">
        <f t="shared" si="100"/>
        <v>-900</v>
      </c>
      <c r="AU513" s="1070"/>
      <c r="AV513" s="1070"/>
      <c r="AW513" s="1070">
        <f t="shared" si="89"/>
        <v>0</v>
      </c>
      <c r="AX513" s="1070">
        <f t="shared" si="101"/>
        <v>0</v>
      </c>
      <c r="AY513" s="1071"/>
      <c r="AZ513" s="1071"/>
      <c r="BA513" s="1071">
        <f t="shared" si="90"/>
        <v>0</v>
      </c>
      <c r="BB513" s="1071">
        <f t="shared" si="102"/>
        <v>0</v>
      </c>
      <c r="BC513" s="1072"/>
      <c r="BD513" s="1072"/>
      <c r="BE513" s="1072"/>
      <c r="BF513" s="1072"/>
    </row>
    <row r="514" spans="2:58" ht="15.75" customHeight="1" x14ac:dyDescent="0.25">
      <c r="B514" s="1076"/>
      <c r="C514" s="1076"/>
      <c r="D514" s="1053"/>
      <c r="E514" s="1054"/>
      <c r="F514" s="1055"/>
      <c r="G514" s="1055"/>
      <c r="H514" s="1057"/>
      <c r="I514" s="1058"/>
      <c r="J514" s="1059"/>
      <c r="K514" s="1060"/>
      <c r="L514" s="1060"/>
      <c r="M514" s="1061">
        <f t="shared" si="83"/>
        <v>0</v>
      </c>
      <c r="N514" s="1060">
        <f t="shared" si="92"/>
        <v>0</v>
      </c>
      <c r="O514" s="1063"/>
      <c r="P514" s="1063"/>
      <c r="Q514" s="1063">
        <f t="shared" si="84"/>
        <v>0</v>
      </c>
      <c r="R514" s="1063">
        <f t="shared" si="93"/>
        <v>0</v>
      </c>
      <c r="S514" s="1064"/>
      <c r="T514" s="1064"/>
      <c r="U514" s="1064">
        <f t="shared" si="85"/>
        <v>0</v>
      </c>
      <c r="V514" s="1064">
        <f t="shared" si="94"/>
        <v>0</v>
      </c>
      <c r="W514" s="1065"/>
      <c r="X514" s="1065"/>
      <c r="Y514" s="1065">
        <f t="shared" si="86"/>
        <v>0</v>
      </c>
      <c r="Z514" s="1065">
        <f t="shared" si="95"/>
        <v>0</v>
      </c>
      <c r="AA514" s="1066"/>
      <c r="AB514" s="1066"/>
      <c r="AC514" s="1066">
        <f t="shared" si="87"/>
        <v>-45</v>
      </c>
      <c r="AD514" s="1066">
        <f t="shared" si="96"/>
        <v>-900</v>
      </c>
      <c r="AE514" s="1067"/>
      <c r="AF514" s="1067"/>
      <c r="AG514" s="1067">
        <v>31</v>
      </c>
      <c r="AH514" s="1067">
        <f t="shared" si="97"/>
        <v>620</v>
      </c>
      <c r="AI514" s="1068"/>
      <c r="AJ514" s="1068"/>
      <c r="AK514" s="1068">
        <v>31</v>
      </c>
      <c r="AL514" s="1068">
        <f t="shared" si="98"/>
        <v>620</v>
      </c>
      <c r="AM514" s="1069"/>
      <c r="AN514" s="1069"/>
      <c r="AO514" s="1069">
        <v>28</v>
      </c>
      <c r="AP514" s="1069">
        <f t="shared" si="99"/>
        <v>560</v>
      </c>
      <c r="AQ514" s="1064"/>
      <c r="AR514" s="1064"/>
      <c r="AS514" s="1064">
        <f t="shared" si="88"/>
        <v>-45</v>
      </c>
      <c r="AT514" s="1064">
        <f t="shared" si="100"/>
        <v>-900</v>
      </c>
      <c r="AU514" s="1070"/>
      <c r="AV514" s="1070"/>
      <c r="AW514" s="1070">
        <f t="shared" si="89"/>
        <v>0</v>
      </c>
      <c r="AX514" s="1070">
        <f t="shared" si="101"/>
        <v>0</v>
      </c>
      <c r="AY514" s="1071"/>
      <c r="AZ514" s="1071"/>
      <c r="BA514" s="1071">
        <f t="shared" si="90"/>
        <v>0</v>
      </c>
      <c r="BB514" s="1071">
        <f t="shared" si="102"/>
        <v>0</v>
      </c>
      <c r="BC514" s="1072"/>
      <c r="BD514" s="1072"/>
      <c r="BE514" s="1072"/>
      <c r="BF514" s="1072"/>
    </row>
    <row r="515" spans="2:58" ht="15.75" customHeight="1" x14ac:dyDescent="0.25">
      <c r="B515" s="1052"/>
      <c r="C515" s="1052"/>
      <c r="D515" s="1053"/>
      <c r="E515" s="1054"/>
      <c r="F515" s="1055"/>
      <c r="G515" s="1055"/>
      <c r="H515" s="1057"/>
      <c r="I515" s="1058"/>
      <c r="J515" s="1059"/>
      <c r="K515" s="1060"/>
      <c r="L515" s="1060"/>
      <c r="M515" s="1061">
        <f t="shared" si="83"/>
        <v>0</v>
      </c>
      <c r="N515" s="1060">
        <f t="shared" si="92"/>
        <v>0</v>
      </c>
      <c r="O515" s="1063"/>
      <c r="P515" s="1063"/>
      <c r="Q515" s="1063">
        <f t="shared" si="84"/>
        <v>0</v>
      </c>
      <c r="R515" s="1063">
        <f t="shared" si="93"/>
        <v>0</v>
      </c>
      <c r="S515" s="1064"/>
      <c r="T515" s="1064"/>
      <c r="U515" s="1064">
        <f t="shared" si="85"/>
        <v>0</v>
      </c>
      <c r="V515" s="1064">
        <f t="shared" si="94"/>
        <v>0</v>
      </c>
      <c r="W515" s="1065"/>
      <c r="X515" s="1065"/>
      <c r="Y515" s="1065">
        <f t="shared" si="86"/>
        <v>0</v>
      </c>
      <c r="Z515" s="1065">
        <f t="shared" si="95"/>
        <v>0</v>
      </c>
      <c r="AA515" s="1066"/>
      <c r="AB515" s="1066"/>
      <c r="AC515" s="1066">
        <f t="shared" si="87"/>
        <v>-45</v>
      </c>
      <c r="AD515" s="1066">
        <f t="shared" si="96"/>
        <v>-900</v>
      </c>
      <c r="AE515" s="1067"/>
      <c r="AF515" s="1067"/>
      <c r="AG515" s="1067">
        <v>31</v>
      </c>
      <c r="AH515" s="1067">
        <f t="shared" si="97"/>
        <v>620</v>
      </c>
      <c r="AI515" s="1068"/>
      <c r="AJ515" s="1068"/>
      <c r="AK515" s="1068">
        <v>31</v>
      </c>
      <c r="AL515" s="1068">
        <f t="shared" si="98"/>
        <v>620</v>
      </c>
      <c r="AM515" s="1069"/>
      <c r="AN515" s="1069"/>
      <c r="AO515" s="1069">
        <v>28</v>
      </c>
      <c r="AP515" s="1069">
        <f t="shared" si="99"/>
        <v>560</v>
      </c>
      <c r="AQ515" s="1064"/>
      <c r="AR515" s="1064"/>
      <c r="AS515" s="1064">
        <f t="shared" si="88"/>
        <v>-45</v>
      </c>
      <c r="AT515" s="1064">
        <f t="shared" si="100"/>
        <v>-900</v>
      </c>
      <c r="AU515" s="1070"/>
      <c r="AV515" s="1070"/>
      <c r="AW515" s="1070">
        <f t="shared" si="89"/>
        <v>0</v>
      </c>
      <c r="AX515" s="1070">
        <f t="shared" si="101"/>
        <v>0</v>
      </c>
      <c r="AY515" s="1071"/>
      <c r="AZ515" s="1071"/>
      <c r="BA515" s="1071">
        <f t="shared" si="90"/>
        <v>0</v>
      </c>
      <c r="BB515" s="1071">
        <f t="shared" si="102"/>
        <v>0</v>
      </c>
      <c r="BC515" s="1072"/>
      <c r="BD515" s="1072"/>
      <c r="BE515" s="1072"/>
      <c r="BF515" s="1072"/>
    </row>
    <row r="516" spans="2:58" ht="15.75" customHeight="1" x14ac:dyDescent="0.25">
      <c r="B516" s="1076"/>
      <c r="C516" s="1076"/>
      <c r="D516" s="1053"/>
      <c r="E516" s="1054"/>
      <c r="F516" s="1055"/>
      <c r="G516" s="1055"/>
      <c r="H516" s="1057"/>
      <c r="I516" s="1058"/>
      <c r="J516" s="1059"/>
      <c r="K516" s="1060"/>
      <c r="L516" s="1060"/>
      <c r="M516" s="1061">
        <f t="shared" si="83"/>
        <v>0</v>
      </c>
      <c r="N516" s="1060">
        <f t="shared" si="92"/>
        <v>0</v>
      </c>
      <c r="O516" s="1063"/>
      <c r="P516" s="1063"/>
      <c r="Q516" s="1063">
        <f t="shared" si="84"/>
        <v>0</v>
      </c>
      <c r="R516" s="1063">
        <f t="shared" si="93"/>
        <v>0</v>
      </c>
      <c r="S516" s="1064"/>
      <c r="T516" s="1064"/>
      <c r="U516" s="1064">
        <f t="shared" si="85"/>
        <v>0</v>
      </c>
      <c r="V516" s="1064">
        <f t="shared" si="94"/>
        <v>0</v>
      </c>
      <c r="W516" s="1065"/>
      <c r="X516" s="1065"/>
      <c r="Y516" s="1065">
        <f t="shared" si="86"/>
        <v>0</v>
      </c>
      <c r="Z516" s="1065">
        <f t="shared" si="95"/>
        <v>0</v>
      </c>
      <c r="AA516" s="1066"/>
      <c r="AB516" s="1066"/>
      <c r="AC516" s="1066">
        <f t="shared" si="87"/>
        <v>-45</v>
      </c>
      <c r="AD516" s="1066">
        <f t="shared" si="96"/>
        <v>-900</v>
      </c>
      <c r="AE516" s="1067"/>
      <c r="AF516" s="1067"/>
      <c r="AG516" s="1067">
        <v>31</v>
      </c>
      <c r="AH516" s="1067">
        <f t="shared" si="97"/>
        <v>620</v>
      </c>
      <c r="AI516" s="1068"/>
      <c r="AJ516" s="1068"/>
      <c r="AK516" s="1068">
        <v>31</v>
      </c>
      <c r="AL516" s="1068">
        <f t="shared" si="98"/>
        <v>620</v>
      </c>
      <c r="AM516" s="1069"/>
      <c r="AN516" s="1069"/>
      <c r="AO516" s="1069">
        <v>28</v>
      </c>
      <c r="AP516" s="1069">
        <f t="shared" si="99"/>
        <v>560</v>
      </c>
      <c r="AQ516" s="1064"/>
      <c r="AR516" s="1064"/>
      <c r="AS516" s="1064">
        <f t="shared" si="88"/>
        <v>-45</v>
      </c>
      <c r="AT516" s="1064">
        <f t="shared" si="100"/>
        <v>-900</v>
      </c>
      <c r="AU516" s="1070"/>
      <c r="AV516" s="1070"/>
      <c r="AW516" s="1070">
        <f t="shared" si="89"/>
        <v>0</v>
      </c>
      <c r="AX516" s="1070">
        <f t="shared" si="101"/>
        <v>0</v>
      </c>
      <c r="AY516" s="1071"/>
      <c r="AZ516" s="1071"/>
      <c r="BA516" s="1071">
        <f t="shared" si="90"/>
        <v>0</v>
      </c>
      <c r="BB516" s="1071">
        <f t="shared" si="102"/>
        <v>0</v>
      </c>
      <c r="BC516" s="1072"/>
      <c r="BD516" s="1072"/>
      <c r="BE516" s="1072"/>
      <c r="BF516" s="1072"/>
    </row>
    <row r="517" spans="2:58" ht="15.75" customHeight="1" x14ac:dyDescent="0.25">
      <c r="B517" s="1052"/>
      <c r="C517" s="1052"/>
      <c r="D517" s="1053"/>
      <c r="E517" s="1054"/>
      <c r="F517" s="1055"/>
      <c r="G517" s="1055"/>
      <c r="H517" s="1057"/>
      <c r="I517" s="1058"/>
      <c r="J517" s="1059"/>
      <c r="K517" s="1060"/>
      <c r="L517" s="1060"/>
      <c r="M517" s="1061">
        <f t="shared" si="83"/>
        <v>0</v>
      </c>
      <c r="N517" s="1060">
        <f t="shared" si="92"/>
        <v>0</v>
      </c>
      <c r="O517" s="1063"/>
      <c r="P517" s="1063"/>
      <c r="Q517" s="1063">
        <f t="shared" si="84"/>
        <v>0</v>
      </c>
      <c r="R517" s="1063">
        <f t="shared" si="93"/>
        <v>0</v>
      </c>
      <c r="S517" s="1064"/>
      <c r="T517" s="1064"/>
      <c r="U517" s="1064">
        <f t="shared" si="85"/>
        <v>0</v>
      </c>
      <c r="V517" s="1064">
        <f t="shared" si="94"/>
        <v>0</v>
      </c>
      <c r="W517" s="1065"/>
      <c r="X517" s="1065"/>
      <c r="Y517" s="1065">
        <f t="shared" si="86"/>
        <v>0</v>
      </c>
      <c r="Z517" s="1065">
        <f t="shared" si="95"/>
        <v>0</v>
      </c>
      <c r="AA517" s="1066"/>
      <c r="AB517" s="1066"/>
      <c r="AC517" s="1066">
        <f t="shared" si="87"/>
        <v>-45</v>
      </c>
      <c r="AD517" s="1066">
        <f t="shared" si="96"/>
        <v>-900</v>
      </c>
      <c r="AE517" s="1067"/>
      <c r="AF517" s="1067"/>
      <c r="AG517" s="1067">
        <v>31</v>
      </c>
      <c r="AH517" s="1067">
        <f t="shared" si="97"/>
        <v>620</v>
      </c>
      <c r="AI517" s="1068"/>
      <c r="AJ517" s="1068"/>
      <c r="AK517" s="1068">
        <v>31</v>
      </c>
      <c r="AL517" s="1068">
        <f t="shared" si="98"/>
        <v>620</v>
      </c>
      <c r="AM517" s="1069"/>
      <c r="AN517" s="1069"/>
      <c r="AO517" s="1069">
        <v>28</v>
      </c>
      <c r="AP517" s="1069">
        <f t="shared" si="99"/>
        <v>560</v>
      </c>
      <c r="AQ517" s="1064"/>
      <c r="AR517" s="1064"/>
      <c r="AS517" s="1064">
        <f t="shared" si="88"/>
        <v>-45</v>
      </c>
      <c r="AT517" s="1064">
        <f t="shared" si="100"/>
        <v>-900</v>
      </c>
      <c r="AU517" s="1070"/>
      <c r="AV517" s="1070"/>
      <c r="AW517" s="1070">
        <f t="shared" si="89"/>
        <v>0</v>
      </c>
      <c r="AX517" s="1070">
        <f t="shared" si="101"/>
        <v>0</v>
      </c>
      <c r="AY517" s="1071"/>
      <c r="AZ517" s="1071"/>
      <c r="BA517" s="1071">
        <f t="shared" si="90"/>
        <v>0</v>
      </c>
      <c r="BB517" s="1071">
        <f t="shared" si="102"/>
        <v>0</v>
      </c>
      <c r="BC517" s="1072"/>
      <c r="BD517" s="1072"/>
      <c r="BE517" s="1072"/>
      <c r="BF517" s="1072"/>
    </row>
    <row r="518" spans="2:58" ht="15.75" customHeight="1" x14ac:dyDescent="0.25">
      <c r="B518" s="1076"/>
      <c r="C518" s="1076"/>
      <c r="D518" s="1053"/>
      <c r="E518" s="1054"/>
      <c r="F518" s="1055"/>
      <c r="G518" s="1055"/>
      <c r="H518" s="1057"/>
      <c r="I518" s="1058"/>
      <c r="J518" s="1059"/>
      <c r="K518" s="1060"/>
      <c r="L518" s="1060"/>
      <c r="M518" s="1061">
        <f t="shared" si="83"/>
        <v>0</v>
      </c>
      <c r="N518" s="1060">
        <f t="shared" si="92"/>
        <v>0</v>
      </c>
      <c r="O518" s="1063"/>
      <c r="P518" s="1063"/>
      <c r="Q518" s="1063">
        <f t="shared" si="84"/>
        <v>0</v>
      </c>
      <c r="R518" s="1063">
        <f t="shared" si="93"/>
        <v>0</v>
      </c>
      <c r="S518" s="1064"/>
      <c r="T518" s="1064"/>
      <c r="U518" s="1064">
        <f t="shared" si="85"/>
        <v>0</v>
      </c>
      <c r="V518" s="1064">
        <f t="shared" si="94"/>
        <v>0</v>
      </c>
      <c r="W518" s="1065"/>
      <c r="X518" s="1065"/>
      <c r="Y518" s="1065">
        <f t="shared" si="86"/>
        <v>0</v>
      </c>
      <c r="Z518" s="1065">
        <f t="shared" si="95"/>
        <v>0</v>
      </c>
      <c r="AA518" s="1066"/>
      <c r="AB518" s="1066"/>
      <c r="AC518" s="1066">
        <f t="shared" si="87"/>
        <v>-45</v>
      </c>
      <c r="AD518" s="1066">
        <f t="shared" si="96"/>
        <v>-900</v>
      </c>
      <c r="AE518" s="1067"/>
      <c r="AF518" s="1067"/>
      <c r="AG518" s="1067">
        <v>31</v>
      </c>
      <c r="AH518" s="1067">
        <f t="shared" si="97"/>
        <v>620</v>
      </c>
      <c r="AI518" s="1068"/>
      <c r="AJ518" s="1068"/>
      <c r="AK518" s="1068">
        <v>31</v>
      </c>
      <c r="AL518" s="1068">
        <f t="shared" si="98"/>
        <v>620</v>
      </c>
      <c r="AM518" s="1069"/>
      <c r="AN518" s="1069"/>
      <c r="AO518" s="1069">
        <v>28</v>
      </c>
      <c r="AP518" s="1069">
        <f t="shared" si="99"/>
        <v>560</v>
      </c>
      <c r="AQ518" s="1064"/>
      <c r="AR518" s="1064"/>
      <c r="AS518" s="1064">
        <f t="shared" si="88"/>
        <v>-45</v>
      </c>
      <c r="AT518" s="1064">
        <f t="shared" si="100"/>
        <v>-900</v>
      </c>
      <c r="AU518" s="1070"/>
      <c r="AV518" s="1070"/>
      <c r="AW518" s="1070">
        <f t="shared" si="89"/>
        <v>0</v>
      </c>
      <c r="AX518" s="1070">
        <f t="shared" si="101"/>
        <v>0</v>
      </c>
      <c r="AY518" s="1071"/>
      <c r="AZ518" s="1071"/>
      <c r="BA518" s="1071">
        <f t="shared" si="90"/>
        <v>0</v>
      </c>
      <c r="BB518" s="1071">
        <f t="shared" si="102"/>
        <v>0</v>
      </c>
      <c r="BC518" s="1072"/>
      <c r="BD518" s="1072"/>
      <c r="BE518" s="1072"/>
      <c r="BF518" s="1072"/>
    </row>
    <row r="519" spans="2:58" ht="15.75" customHeight="1" x14ac:dyDescent="0.25">
      <c r="B519" s="1052"/>
      <c r="C519" s="1052"/>
      <c r="D519" s="1053"/>
      <c r="E519" s="1054"/>
      <c r="F519" s="1055"/>
      <c r="G519" s="1055"/>
      <c r="H519" s="1057"/>
      <c r="I519" s="1058"/>
      <c r="J519" s="1059"/>
      <c r="K519" s="1060"/>
      <c r="L519" s="1060"/>
      <c r="M519" s="1061">
        <f t="shared" si="83"/>
        <v>0</v>
      </c>
      <c r="N519" s="1060">
        <f t="shared" si="92"/>
        <v>0</v>
      </c>
      <c r="O519" s="1063"/>
      <c r="P519" s="1063"/>
      <c r="Q519" s="1063">
        <f t="shared" si="84"/>
        <v>0</v>
      </c>
      <c r="R519" s="1063">
        <f t="shared" si="93"/>
        <v>0</v>
      </c>
      <c r="S519" s="1064"/>
      <c r="T519" s="1064"/>
      <c r="U519" s="1064">
        <f t="shared" si="85"/>
        <v>0</v>
      </c>
      <c r="V519" s="1064">
        <f t="shared" si="94"/>
        <v>0</v>
      </c>
      <c r="W519" s="1065"/>
      <c r="X519" s="1065"/>
      <c r="Y519" s="1065">
        <f t="shared" si="86"/>
        <v>0</v>
      </c>
      <c r="Z519" s="1065">
        <f t="shared" si="95"/>
        <v>0</v>
      </c>
      <c r="AA519" s="1066"/>
      <c r="AB519" s="1066"/>
      <c r="AC519" s="1066">
        <f t="shared" si="87"/>
        <v>-45</v>
      </c>
      <c r="AD519" s="1066">
        <f t="shared" si="96"/>
        <v>-900</v>
      </c>
      <c r="AE519" s="1067"/>
      <c r="AF519" s="1067"/>
      <c r="AG519" s="1067">
        <v>31</v>
      </c>
      <c r="AH519" s="1067">
        <f t="shared" si="97"/>
        <v>620</v>
      </c>
      <c r="AI519" s="1068"/>
      <c r="AJ519" s="1068"/>
      <c r="AK519" s="1068">
        <v>31</v>
      </c>
      <c r="AL519" s="1068">
        <f t="shared" si="98"/>
        <v>620</v>
      </c>
      <c r="AM519" s="1069"/>
      <c r="AN519" s="1069"/>
      <c r="AO519" s="1069">
        <v>28</v>
      </c>
      <c r="AP519" s="1069">
        <f t="shared" si="99"/>
        <v>560</v>
      </c>
      <c r="AQ519" s="1064"/>
      <c r="AR519" s="1064"/>
      <c r="AS519" s="1064">
        <f t="shared" si="88"/>
        <v>-45</v>
      </c>
      <c r="AT519" s="1064">
        <f t="shared" si="100"/>
        <v>-900</v>
      </c>
      <c r="AU519" s="1070"/>
      <c r="AV519" s="1070"/>
      <c r="AW519" s="1070">
        <f t="shared" si="89"/>
        <v>0</v>
      </c>
      <c r="AX519" s="1070">
        <f t="shared" si="101"/>
        <v>0</v>
      </c>
      <c r="AY519" s="1071"/>
      <c r="AZ519" s="1071"/>
      <c r="BA519" s="1071">
        <f t="shared" si="90"/>
        <v>0</v>
      </c>
      <c r="BB519" s="1071">
        <f t="shared" si="102"/>
        <v>0</v>
      </c>
      <c r="BC519" s="1072"/>
      <c r="BD519" s="1072"/>
      <c r="BE519" s="1072"/>
      <c r="BF519" s="1072"/>
    </row>
    <row r="520" spans="2:58" ht="15.75" customHeight="1" x14ac:dyDescent="0.25">
      <c r="B520" s="1076"/>
      <c r="C520" s="1076"/>
      <c r="D520" s="1053"/>
      <c r="E520" s="1054"/>
      <c r="F520" s="1055"/>
      <c r="G520" s="1055"/>
      <c r="H520" s="1057"/>
      <c r="I520" s="1058"/>
      <c r="J520" s="1059"/>
      <c r="K520" s="1060"/>
      <c r="L520" s="1060"/>
      <c r="M520" s="1061">
        <f t="shared" si="83"/>
        <v>0</v>
      </c>
      <c r="N520" s="1060">
        <f t="shared" si="92"/>
        <v>0</v>
      </c>
      <c r="O520" s="1063"/>
      <c r="P520" s="1063"/>
      <c r="Q520" s="1063">
        <f t="shared" si="84"/>
        <v>0</v>
      </c>
      <c r="R520" s="1063">
        <f t="shared" si="93"/>
        <v>0</v>
      </c>
      <c r="S520" s="1064"/>
      <c r="T520" s="1064"/>
      <c r="U520" s="1064">
        <f t="shared" si="85"/>
        <v>0</v>
      </c>
      <c r="V520" s="1064">
        <f t="shared" si="94"/>
        <v>0</v>
      </c>
      <c r="W520" s="1065"/>
      <c r="X520" s="1065"/>
      <c r="Y520" s="1065">
        <f t="shared" si="86"/>
        <v>0</v>
      </c>
      <c r="Z520" s="1065">
        <f t="shared" si="95"/>
        <v>0</v>
      </c>
      <c r="AA520" s="1066"/>
      <c r="AB520" s="1066"/>
      <c r="AC520" s="1066">
        <f t="shared" si="87"/>
        <v>-45</v>
      </c>
      <c r="AD520" s="1066">
        <f t="shared" si="96"/>
        <v>-900</v>
      </c>
      <c r="AE520" s="1067"/>
      <c r="AF520" s="1067"/>
      <c r="AG520" s="1067">
        <v>31</v>
      </c>
      <c r="AH520" s="1067">
        <f t="shared" si="97"/>
        <v>620</v>
      </c>
      <c r="AI520" s="1068"/>
      <c r="AJ520" s="1068"/>
      <c r="AK520" s="1068">
        <v>31</v>
      </c>
      <c r="AL520" s="1068">
        <f t="shared" si="98"/>
        <v>620</v>
      </c>
      <c r="AM520" s="1069"/>
      <c r="AN520" s="1069"/>
      <c r="AO520" s="1069">
        <v>28</v>
      </c>
      <c r="AP520" s="1069">
        <f t="shared" si="99"/>
        <v>560</v>
      </c>
      <c r="AQ520" s="1064"/>
      <c r="AR520" s="1064"/>
      <c r="AS520" s="1064">
        <f t="shared" si="88"/>
        <v>-45</v>
      </c>
      <c r="AT520" s="1064">
        <f t="shared" si="100"/>
        <v>-900</v>
      </c>
      <c r="AU520" s="1070"/>
      <c r="AV520" s="1070"/>
      <c r="AW520" s="1070">
        <f t="shared" si="89"/>
        <v>0</v>
      </c>
      <c r="AX520" s="1070">
        <f t="shared" si="101"/>
        <v>0</v>
      </c>
      <c r="AY520" s="1071"/>
      <c r="AZ520" s="1071"/>
      <c r="BA520" s="1071">
        <f t="shared" si="90"/>
        <v>0</v>
      </c>
      <c r="BB520" s="1071">
        <f t="shared" si="102"/>
        <v>0</v>
      </c>
      <c r="BC520" s="1072"/>
      <c r="BD520" s="1072"/>
      <c r="BE520" s="1072"/>
      <c r="BF520" s="1072"/>
    </row>
    <row r="521" spans="2:58" ht="15.75" customHeight="1" x14ac:dyDescent="0.25">
      <c r="B521" s="1052"/>
      <c r="C521" s="1052"/>
      <c r="D521" s="1053"/>
      <c r="E521" s="1054"/>
      <c r="F521" s="1055"/>
      <c r="G521" s="1055"/>
      <c r="H521" s="1057"/>
      <c r="I521" s="1058"/>
      <c r="J521" s="1059"/>
      <c r="K521" s="1060"/>
      <c r="L521" s="1060"/>
      <c r="M521" s="1061">
        <f t="shared" si="83"/>
        <v>0</v>
      </c>
      <c r="N521" s="1060">
        <f t="shared" si="92"/>
        <v>0</v>
      </c>
      <c r="O521" s="1063"/>
      <c r="P521" s="1063"/>
      <c r="Q521" s="1063">
        <f t="shared" si="84"/>
        <v>0</v>
      </c>
      <c r="R521" s="1063">
        <f t="shared" si="93"/>
        <v>0</v>
      </c>
      <c r="S521" s="1064"/>
      <c r="T521" s="1064"/>
      <c r="U521" s="1064">
        <f t="shared" si="85"/>
        <v>0</v>
      </c>
      <c r="V521" s="1064">
        <f t="shared" si="94"/>
        <v>0</v>
      </c>
      <c r="W521" s="1065"/>
      <c r="X521" s="1065"/>
      <c r="Y521" s="1065">
        <f t="shared" si="86"/>
        <v>0</v>
      </c>
      <c r="Z521" s="1065">
        <f t="shared" si="95"/>
        <v>0</v>
      </c>
      <c r="AA521" s="1066"/>
      <c r="AB521" s="1066"/>
      <c r="AC521" s="1066">
        <f t="shared" si="87"/>
        <v>-45</v>
      </c>
      <c r="AD521" s="1066">
        <f t="shared" si="96"/>
        <v>-900</v>
      </c>
      <c r="AE521" s="1067"/>
      <c r="AF521" s="1067"/>
      <c r="AG521" s="1067">
        <v>31</v>
      </c>
      <c r="AH521" s="1067">
        <f t="shared" si="97"/>
        <v>620</v>
      </c>
      <c r="AI521" s="1068"/>
      <c r="AJ521" s="1068"/>
      <c r="AK521" s="1068">
        <v>31</v>
      </c>
      <c r="AL521" s="1068">
        <f t="shared" si="98"/>
        <v>620</v>
      </c>
      <c r="AM521" s="1069"/>
      <c r="AN521" s="1069"/>
      <c r="AO521" s="1069">
        <v>28</v>
      </c>
      <c r="AP521" s="1069">
        <f t="shared" si="99"/>
        <v>560</v>
      </c>
      <c r="AQ521" s="1064"/>
      <c r="AR521" s="1064"/>
      <c r="AS521" s="1064">
        <f t="shared" si="88"/>
        <v>-45</v>
      </c>
      <c r="AT521" s="1064">
        <f t="shared" si="100"/>
        <v>-900</v>
      </c>
      <c r="AU521" s="1070"/>
      <c r="AV521" s="1070"/>
      <c r="AW521" s="1070">
        <f t="shared" si="89"/>
        <v>0</v>
      </c>
      <c r="AX521" s="1070">
        <f t="shared" si="101"/>
        <v>0</v>
      </c>
      <c r="AY521" s="1071"/>
      <c r="AZ521" s="1071"/>
      <c r="BA521" s="1071">
        <f t="shared" si="90"/>
        <v>0</v>
      </c>
      <c r="BB521" s="1071">
        <f t="shared" si="102"/>
        <v>0</v>
      </c>
      <c r="BC521" s="1072"/>
      <c r="BD521" s="1072"/>
      <c r="BE521" s="1072"/>
      <c r="BF521" s="1072"/>
    </row>
    <row r="522" spans="2:58" ht="15.75" customHeight="1" x14ac:dyDescent="0.25">
      <c r="B522" s="1076"/>
      <c r="C522" s="1076"/>
      <c r="D522" s="1053"/>
      <c r="E522" s="1054"/>
      <c r="F522" s="1055"/>
      <c r="G522" s="1055"/>
      <c r="H522" s="1057"/>
      <c r="I522" s="1058"/>
      <c r="J522" s="1059"/>
      <c r="K522" s="1060"/>
      <c r="L522" s="1060"/>
      <c r="M522" s="1061">
        <f t="shared" si="83"/>
        <v>0</v>
      </c>
      <c r="N522" s="1060">
        <f t="shared" si="92"/>
        <v>0</v>
      </c>
      <c r="O522" s="1063"/>
      <c r="P522" s="1063"/>
      <c r="Q522" s="1063">
        <f t="shared" si="84"/>
        <v>0</v>
      </c>
      <c r="R522" s="1063">
        <f t="shared" si="93"/>
        <v>0</v>
      </c>
      <c r="S522" s="1064"/>
      <c r="T522" s="1064"/>
      <c r="U522" s="1064">
        <f t="shared" si="85"/>
        <v>0</v>
      </c>
      <c r="V522" s="1064">
        <f t="shared" si="94"/>
        <v>0</v>
      </c>
      <c r="W522" s="1065"/>
      <c r="X522" s="1065"/>
      <c r="Y522" s="1065">
        <f t="shared" si="86"/>
        <v>0</v>
      </c>
      <c r="Z522" s="1065">
        <f t="shared" si="95"/>
        <v>0</v>
      </c>
      <c r="AA522" s="1066"/>
      <c r="AB522" s="1066"/>
      <c r="AC522" s="1066">
        <f t="shared" si="87"/>
        <v>-45</v>
      </c>
      <c r="AD522" s="1066">
        <f t="shared" si="96"/>
        <v>-900</v>
      </c>
      <c r="AE522" s="1067"/>
      <c r="AF522" s="1067"/>
      <c r="AG522" s="1067">
        <v>31</v>
      </c>
      <c r="AH522" s="1067">
        <f t="shared" ref="AH522:AH548" si="103">AG522*(20-AE522)</f>
        <v>620</v>
      </c>
      <c r="AI522" s="1068"/>
      <c r="AJ522" s="1068"/>
      <c r="AK522" s="1068">
        <v>31</v>
      </c>
      <c r="AL522" s="1068">
        <f t="shared" ref="AL522:AL548" si="104">AK522*(20-AI522)</f>
        <v>620</v>
      </c>
      <c r="AM522" s="1069"/>
      <c r="AN522" s="1069"/>
      <c r="AO522" s="1069">
        <v>28</v>
      </c>
      <c r="AP522" s="1069">
        <f t="shared" ref="AP522:AP548" si="105">AO522*(20-AM522)</f>
        <v>560</v>
      </c>
      <c r="AQ522" s="1064"/>
      <c r="AR522" s="1064"/>
      <c r="AS522" s="1064">
        <f t="shared" si="88"/>
        <v>-45</v>
      </c>
      <c r="AT522" s="1064">
        <f t="shared" si="100"/>
        <v>-900</v>
      </c>
      <c r="AU522" s="1070"/>
      <c r="AV522" s="1070"/>
      <c r="AW522" s="1070">
        <f t="shared" si="89"/>
        <v>0</v>
      </c>
      <c r="AX522" s="1070">
        <f t="shared" si="101"/>
        <v>0</v>
      </c>
      <c r="AY522" s="1071"/>
      <c r="AZ522" s="1071"/>
      <c r="BA522" s="1071">
        <f t="shared" si="90"/>
        <v>0</v>
      </c>
      <c r="BB522" s="1071">
        <f t="shared" si="102"/>
        <v>0</v>
      </c>
      <c r="BC522" s="1072"/>
      <c r="BD522" s="1072"/>
      <c r="BE522" s="1072"/>
      <c r="BF522" s="1072"/>
    </row>
    <row r="523" spans="2:58" ht="15.75" customHeight="1" x14ac:dyDescent="0.25">
      <c r="B523" s="1052"/>
      <c r="C523" s="1052"/>
      <c r="D523" s="1053"/>
      <c r="E523" s="1054"/>
      <c r="F523" s="1055"/>
      <c r="G523" s="1055"/>
      <c r="H523" s="1057"/>
      <c r="I523" s="1058"/>
      <c r="J523" s="1059"/>
      <c r="K523" s="1060"/>
      <c r="L523" s="1060"/>
      <c r="M523" s="1061">
        <f t="shared" ref="M523:M548" si="106">MAX(0,E523-Q523-U523-Y523-AC523-AG523-AK523-AO523-AS523-AW523-BA523-BE523)</f>
        <v>0</v>
      </c>
      <c r="N523" s="1060">
        <f t="shared" ref="N523:N548" si="107">M523*(20-K523)</f>
        <v>0</v>
      </c>
      <c r="O523" s="1063"/>
      <c r="P523" s="1063"/>
      <c r="Q523" s="1063">
        <f t="shared" ref="Q523:Q548" si="108">IF((E523-273)&gt;0,IF((E523-273)/2&gt;31,31,(E523-273)/2),0)</f>
        <v>0</v>
      </c>
      <c r="R523" s="1063">
        <f t="shared" ref="R523:R548" si="109">Q523*(20-O523)</f>
        <v>0</v>
      </c>
      <c r="S523" s="1064"/>
      <c r="T523" s="1064"/>
      <c r="U523" s="1064">
        <f t="shared" ref="U523:U548" si="110">IF((E523-212)&gt;0,IF((E523-212)/2&gt;30,30,(E523-212)/2),0)</f>
        <v>0</v>
      </c>
      <c r="V523" s="1064">
        <f t="shared" ref="V523:V548" si="111">U523*(20-S523)</f>
        <v>0</v>
      </c>
      <c r="W523" s="1065"/>
      <c r="X523" s="1065"/>
      <c r="Y523" s="1065">
        <f t="shared" ref="Y523:Y548" si="112">IF((E523-151)&gt;0,IF((E523-151)/2&gt;31,31,(E523-151)/2),0)</f>
        <v>0</v>
      </c>
      <c r="Z523" s="1065">
        <f t="shared" ref="Z523:Z548" si="113">Y523*(20-W523)</f>
        <v>0</v>
      </c>
      <c r="AA523" s="1066"/>
      <c r="AB523" s="1066"/>
      <c r="AC523" s="1066">
        <f t="shared" ref="AC523:AC548" si="114">IF((E523-90)/2&gt;30,30,(E523-90)/2)</f>
        <v>-45</v>
      </c>
      <c r="AD523" s="1066">
        <f t="shared" ref="AD523:AD548" si="115">AC523*(20-AA523)</f>
        <v>-900</v>
      </c>
      <c r="AE523" s="1067"/>
      <c r="AF523" s="1067"/>
      <c r="AG523" s="1067">
        <v>31</v>
      </c>
      <c r="AH523" s="1067">
        <f t="shared" si="103"/>
        <v>620</v>
      </c>
      <c r="AI523" s="1068"/>
      <c r="AJ523" s="1068"/>
      <c r="AK523" s="1068">
        <v>31</v>
      </c>
      <c r="AL523" s="1068">
        <f t="shared" si="104"/>
        <v>620</v>
      </c>
      <c r="AM523" s="1069"/>
      <c r="AN523" s="1069"/>
      <c r="AO523" s="1069">
        <v>28</v>
      </c>
      <c r="AP523" s="1069">
        <f t="shared" si="105"/>
        <v>560</v>
      </c>
      <c r="AQ523" s="1064"/>
      <c r="AR523" s="1064"/>
      <c r="AS523" s="1064">
        <f t="shared" ref="AS523:AS548" si="116">IF((E523-90)/2&gt;31,31,(E523-90)/2)</f>
        <v>-45</v>
      </c>
      <c r="AT523" s="1064">
        <f t="shared" ref="AT523:AT548" si="117">AS523*(20-AQ523)</f>
        <v>-900</v>
      </c>
      <c r="AU523" s="1070"/>
      <c r="AV523" s="1070"/>
      <c r="AW523" s="1070">
        <f t="shared" ref="AW523:AW548" si="118">IF((E523-151)&gt;0,IF((E523-151)/2&gt;30,30,(E523-151)/2),0)</f>
        <v>0</v>
      </c>
      <c r="AX523" s="1070">
        <f t="shared" ref="AX523:AX548" si="119">AW523*(20-AU523)</f>
        <v>0</v>
      </c>
      <c r="AY523" s="1071"/>
      <c r="AZ523" s="1071"/>
      <c r="BA523" s="1071">
        <f t="shared" ref="BA523:BA548" si="120">IF((E523-212)&gt;0,IF((E523-212)/2&gt;31,31,(E523-212)/2),0)</f>
        <v>0</v>
      </c>
      <c r="BB523" s="1071">
        <f t="shared" ref="BB523:BB548" si="121">BA523*(20-AY523)</f>
        <v>0</v>
      </c>
      <c r="BC523" s="1072"/>
      <c r="BD523" s="1072"/>
      <c r="BE523" s="1072"/>
      <c r="BF523" s="1072"/>
    </row>
    <row r="524" spans="2:58" ht="15.75" customHeight="1" x14ac:dyDescent="0.25">
      <c r="B524" s="1076"/>
      <c r="C524" s="1076"/>
      <c r="D524" s="1053"/>
      <c r="E524" s="1054"/>
      <c r="F524" s="1055"/>
      <c r="G524" s="1055"/>
      <c r="H524" s="1057"/>
      <c r="I524" s="1058"/>
      <c r="J524" s="1059"/>
      <c r="K524" s="1060"/>
      <c r="L524" s="1060"/>
      <c r="M524" s="1061">
        <f t="shared" si="106"/>
        <v>0</v>
      </c>
      <c r="N524" s="1060">
        <f t="shared" si="107"/>
        <v>0</v>
      </c>
      <c r="O524" s="1063"/>
      <c r="P524" s="1063"/>
      <c r="Q524" s="1063">
        <f t="shared" si="108"/>
        <v>0</v>
      </c>
      <c r="R524" s="1063">
        <f t="shared" si="109"/>
        <v>0</v>
      </c>
      <c r="S524" s="1064"/>
      <c r="T524" s="1064"/>
      <c r="U524" s="1064">
        <f t="shared" si="110"/>
        <v>0</v>
      </c>
      <c r="V524" s="1064">
        <f t="shared" si="111"/>
        <v>0</v>
      </c>
      <c r="W524" s="1065"/>
      <c r="X524" s="1065"/>
      <c r="Y524" s="1065">
        <f t="shared" si="112"/>
        <v>0</v>
      </c>
      <c r="Z524" s="1065">
        <f t="shared" si="113"/>
        <v>0</v>
      </c>
      <c r="AA524" s="1066"/>
      <c r="AB524" s="1066"/>
      <c r="AC524" s="1066">
        <f t="shared" si="114"/>
        <v>-45</v>
      </c>
      <c r="AD524" s="1066">
        <f t="shared" si="115"/>
        <v>-900</v>
      </c>
      <c r="AE524" s="1067"/>
      <c r="AF524" s="1067"/>
      <c r="AG524" s="1067">
        <v>31</v>
      </c>
      <c r="AH524" s="1067">
        <f t="shared" si="103"/>
        <v>620</v>
      </c>
      <c r="AI524" s="1068"/>
      <c r="AJ524" s="1068"/>
      <c r="AK524" s="1068">
        <v>31</v>
      </c>
      <c r="AL524" s="1068">
        <f t="shared" si="104"/>
        <v>620</v>
      </c>
      <c r="AM524" s="1069"/>
      <c r="AN524" s="1069"/>
      <c r="AO524" s="1069">
        <v>28</v>
      </c>
      <c r="AP524" s="1069">
        <f t="shared" si="105"/>
        <v>560</v>
      </c>
      <c r="AQ524" s="1064"/>
      <c r="AR524" s="1064"/>
      <c r="AS524" s="1064">
        <f t="shared" si="116"/>
        <v>-45</v>
      </c>
      <c r="AT524" s="1064">
        <f t="shared" si="117"/>
        <v>-900</v>
      </c>
      <c r="AU524" s="1070"/>
      <c r="AV524" s="1070"/>
      <c r="AW524" s="1070">
        <f t="shared" si="118"/>
        <v>0</v>
      </c>
      <c r="AX524" s="1070">
        <f t="shared" si="119"/>
        <v>0</v>
      </c>
      <c r="AY524" s="1071"/>
      <c r="AZ524" s="1071"/>
      <c r="BA524" s="1071">
        <f t="shared" si="120"/>
        <v>0</v>
      </c>
      <c r="BB524" s="1071">
        <f t="shared" si="121"/>
        <v>0</v>
      </c>
      <c r="BC524" s="1072"/>
      <c r="BD524" s="1072"/>
      <c r="BE524" s="1072"/>
      <c r="BF524" s="1072"/>
    </row>
    <row r="525" spans="2:58" ht="15.75" customHeight="1" x14ac:dyDescent="0.25">
      <c r="B525" s="1052"/>
      <c r="C525" s="1052"/>
      <c r="D525" s="1053"/>
      <c r="E525" s="1054"/>
      <c r="F525" s="1055"/>
      <c r="G525" s="1055"/>
      <c r="H525" s="1057"/>
      <c r="I525" s="1058"/>
      <c r="J525" s="1059"/>
      <c r="K525" s="1060"/>
      <c r="L525" s="1060"/>
      <c r="M525" s="1061">
        <f t="shared" si="106"/>
        <v>0</v>
      </c>
      <c r="N525" s="1060">
        <f t="shared" si="107"/>
        <v>0</v>
      </c>
      <c r="O525" s="1063"/>
      <c r="P525" s="1063"/>
      <c r="Q525" s="1063">
        <f t="shared" si="108"/>
        <v>0</v>
      </c>
      <c r="R525" s="1063">
        <f t="shared" si="109"/>
        <v>0</v>
      </c>
      <c r="S525" s="1064"/>
      <c r="T525" s="1064"/>
      <c r="U525" s="1064">
        <f t="shared" si="110"/>
        <v>0</v>
      </c>
      <c r="V525" s="1064">
        <f t="shared" si="111"/>
        <v>0</v>
      </c>
      <c r="W525" s="1065"/>
      <c r="X525" s="1065"/>
      <c r="Y525" s="1065">
        <f t="shared" si="112"/>
        <v>0</v>
      </c>
      <c r="Z525" s="1065">
        <f t="shared" si="113"/>
        <v>0</v>
      </c>
      <c r="AA525" s="1066"/>
      <c r="AB525" s="1066"/>
      <c r="AC525" s="1066">
        <f t="shared" si="114"/>
        <v>-45</v>
      </c>
      <c r="AD525" s="1066">
        <f t="shared" si="115"/>
        <v>-900</v>
      </c>
      <c r="AE525" s="1067"/>
      <c r="AF525" s="1067"/>
      <c r="AG525" s="1067">
        <v>31</v>
      </c>
      <c r="AH525" s="1067">
        <f t="shared" si="103"/>
        <v>620</v>
      </c>
      <c r="AI525" s="1068"/>
      <c r="AJ525" s="1068"/>
      <c r="AK525" s="1068">
        <v>31</v>
      </c>
      <c r="AL525" s="1068">
        <f t="shared" si="104"/>
        <v>620</v>
      </c>
      <c r="AM525" s="1069"/>
      <c r="AN525" s="1069"/>
      <c r="AO525" s="1069">
        <v>28</v>
      </c>
      <c r="AP525" s="1069">
        <f t="shared" si="105"/>
        <v>560</v>
      </c>
      <c r="AQ525" s="1064"/>
      <c r="AR525" s="1064"/>
      <c r="AS525" s="1064">
        <f t="shared" si="116"/>
        <v>-45</v>
      </c>
      <c r="AT525" s="1064">
        <f t="shared" si="117"/>
        <v>-900</v>
      </c>
      <c r="AU525" s="1070"/>
      <c r="AV525" s="1070"/>
      <c r="AW525" s="1070">
        <f t="shared" si="118"/>
        <v>0</v>
      </c>
      <c r="AX525" s="1070">
        <f t="shared" si="119"/>
        <v>0</v>
      </c>
      <c r="AY525" s="1071"/>
      <c r="AZ525" s="1071"/>
      <c r="BA525" s="1071">
        <f t="shared" si="120"/>
        <v>0</v>
      </c>
      <c r="BB525" s="1071">
        <f t="shared" si="121"/>
        <v>0</v>
      </c>
      <c r="BC525" s="1072"/>
      <c r="BD525" s="1072"/>
      <c r="BE525" s="1072"/>
      <c r="BF525" s="1072"/>
    </row>
    <row r="526" spans="2:58" ht="15.75" customHeight="1" x14ac:dyDescent="0.25">
      <c r="B526" s="1076"/>
      <c r="C526" s="1076"/>
      <c r="D526" s="1053"/>
      <c r="E526" s="1054"/>
      <c r="F526" s="1055"/>
      <c r="G526" s="1055"/>
      <c r="H526" s="1057"/>
      <c r="I526" s="1058"/>
      <c r="J526" s="1059"/>
      <c r="K526" s="1060"/>
      <c r="L526" s="1060"/>
      <c r="M526" s="1061">
        <f t="shared" si="106"/>
        <v>0</v>
      </c>
      <c r="N526" s="1060">
        <f t="shared" si="107"/>
        <v>0</v>
      </c>
      <c r="O526" s="1063"/>
      <c r="P526" s="1063"/>
      <c r="Q526" s="1063">
        <f t="shared" si="108"/>
        <v>0</v>
      </c>
      <c r="R526" s="1063">
        <f t="shared" si="109"/>
        <v>0</v>
      </c>
      <c r="S526" s="1064"/>
      <c r="T526" s="1064"/>
      <c r="U526" s="1064">
        <f t="shared" si="110"/>
        <v>0</v>
      </c>
      <c r="V526" s="1064">
        <f t="shared" si="111"/>
        <v>0</v>
      </c>
      <c r="W526" s="1065"/>
      <c r="X526" s="1065"/>
      <c r="Y526" s="1065">
        <f t="shared" si="112"/>
        <v>0</v>
      </c>
      <c r="Z526" s="1065">
        <f t="shared" si="113"/>
        <v>0</v>
      </c>
      <c r="AA526" s="1066"/>
      <c r="AB526" s="1066"/>
      <c r="AC526" s="1066">
        <f t="shared" si="114"/>
        <v>-45</v>
      </c>
      <c r="AD526" s="1066">
        <f t="shared" si="115"/>
        <v>-900</v>
      </c>
      <c r="AE526" s="1067"/>
      <c r="AF526" s="1067"/>
      <c r="AG526" s="1067">
        <v>31</v>
      </c>
      <c r="AH526" s="1067">
        <f t="shared" si="103"/>
        <v>620</v>
      </c>
      <c r="AI526" s="1068"/>
      <c r="AJ526" s="1068"/>
      <c r="AK526" s="1068">
        <v>31</v>
      </c>
      <c r="AL526" s="1068">
        <f t="shared" si="104"/>
        <v>620</v>
      </c>
      <c r="AM526" s="1069"/>
      <c r="AN526" s="1069"/>
      <c r="AO526" s="1069">
        <v>28</v>
      </c>
      <c r="AP526" s="1069">
        <f t="shared" si="105"/>
        <v>560</v>
      </c>
      <c r="AQ526" s="1064"/>
      <c r="AR526" s="1064"/>
      <c r="AS526" s="1064">
        <f t="shared" si="116"/>
        <v>-45</v>
      </c>
      <c r="AT526" s="1064">
        <f t="shared" si="117"/>
        <v>-900</v>
      </c>
      <c r="AU526" s="1070"/>
      <c r="AV526" s="1070"/>
      <c r="AW526" s="1070">
        <f t="shared" si="118"/>
        <v>0</v>
      </c>
      <c r="AX526" s="1070">
        <f t="shared" si="119"/>
        <v>0</v>
      </c>
      <c r="AY526" s="1071"/>
      <c r="AZ526" s="1071"/>
      <c r="BA526" s="1071">
        <f t="shared" si="120"/>
        <v>0</v>
      </c>
      <c r="BB526" s="1071">
        <f t="shared" si="121"/>
        <v>0</v>
      </c>
      <c r="BC526" s="1072"/>
      <c r="BD526" s="1072"/>
      <c r="BE526" s="1072"/>
      <c r="BF526" s="1072"/>
    </row>
    <row r="527" spans="2:58" ht="15.75" customHeight="1" x14ac:dyDescent="0.25">
      <c r="B527" s="1052"/>
      <c r="C527" s="1052"/>
      <c r="D527" s="1053"/>
      <c r="E527" s="1054"/>
      <c r="F527" s="1055"/>
      <c r="G527" s="1055"/>
      <c r="H527" s="1057"/>
      <c r="I527" s="1058"/>
      <c r="J527" s="1059"/>
      <c r="K527" s="1060"/>
      <c r="L527" s="1060"/>
      <c r="M527" s="1061">
        <f t="shared" si="106"/>
        <v>0</v>
      </c>
      <c r="N527" s="1060">
        <f t="shared" si="107"/>
        <v>0</v>
      </c>
      <c r="O527" s="1063"/>
      <c r="P527" s="1063"/>
      <c r="Q527" s="1063">
        <f t="shared" si="108"/>
        <v>0</v>
      </c>
      <c r="R527" s="1063">
        <f t="shared" si="109"/>
        <v>0</v>
      </c>
      <c r="S527" s="1064"/>
      <c r="T527" s="1064"/>
      <c r="U527" s="1064">
        <f t="shared" si="110"/>
        <v>0</v>
      </c>
      <c r="V527" s="1064">
        <f t="shared" si="111"/>
        <v>0</v>
      </c>
      <c r="W527" s="1065"/>
      <c r="X527" s="1065"/>
      <c r="Y527" s="1065">
        <f t="shared" si="112"/>
        <v>0</v>
      </c>
      <c r="Z527" s="1065">
        <f t="shared" si="113"/>
        <v>0</v>
      </c>
      <c r="AA527" s="1066"/>
      <c r="AB527" s="1066"/>
      <c r="AC527" s="1066">
        <f t="shared" si="114"/>
        <v>-45</v>
      </c>
      <c r="AD527" s="1066">
        <f t="shared" si="115"/>
        <v>-900</v>
      </c>
      <c r="AE527" s="1067"/>
      <c r="AF527" s="1067"/>
      <c r="AG527" s="1067">
        <v>31</v>
      </c>
      <c r="AH527" s="1067">
        <f t="shared" si="103"/>
        <v>620</v>
      </c>
      <c r="AI527" s="1068"/>
      <c r="AJ527" s="1068"/>
      <c r="AK527" s="1068">
        <v>31</v>
      </c>
      <c r="AL527" s="1068">
        <f t="shared" si="104"/>
        <v>620</v>
      </c>
      <c r="AM527" s="1069"/>
      <c r="AN527" s="1069"/>
      <c r="AO527" s="1069">
        <v>28</v>
      </c>
      <c r="AP527" s="1069">
        <f t="shared" si="105"/>
        <v>560</v>
      </c>
      <c r="AQ527" s="1064"/>
      <c r="AR527" s="1064"/>
      <c r="AS527" s="1064">
        <f t="shared" si="116"/>
        <v>-45</v>
      </c>
      <c r="AT527" s="1064">
        <f t="shared" si="117"/>
        <v>-900</v>
      </c>
      <c r="AU527" s="1070"/>
      <c r="AV527" s="1070"/>
      <c r="AW527" s="1070">
        <f t="shared" si="118"/>
        <v>0</v>
      </c>
      <c r="AX527" s="1070">
        <f t="shared" si="119"/>
        <v>0</v>
      </c>
      <c r="AY527" s="1071"/>
      <c r="AZ527" s="1071"/>
      <c r="BA527" s="1071">
        <f t="shared" si="120"/>
        <v>0</v>
      </c>
      <c r="BB527" s="1071">
        <f t="shared" si="121"/>
        <v>0</v>
      </c>
      <c r="BC527" s="1072"/>
      <c r="BD527" s="1072"/>
      <c r="BE527" s="1072"/>
      <c r="BF527" s="1072"/>
    </row>
    <row r="528" spans="2:58" ht="15.75" customHeight="1" x14ac:dyDescent="0.25">
      <c r="B528" s="1076"/>
      <c r="C528" s="1076"/>
      <c r="D528" s="1053"/>
      <c r="E528" s="1054"/>
      <c r="F528" s="1055"/>
      <c r="G528" s="1055"/>
      <c r="H528" s="1057"/>
      <c r="I528" s="1058"/>
      <c r="J528" s="1059"/>
      <c r="K528" s="1060"/>
      <c r="L528" s="1060"/>
      <c r="M528" s="1061">
        <f t="shared" si="106"/>
        <v>0</v>
      </c>
      <c r="N528" s="1060">
        <f t="shared" si="107"/>
        <v>0</v>
      </c>
      <c r="O528" s="1063"/>
      <c r="P528" s="1063"/>
      <c r="Q528" s="1063">
        <f t="shared" si="108"/>
        <v>0</v>
      </c>
      <c r="R528" s="1063">
        <f t="shared" si="109"/>
        <v>0</v>
      </c>
      <c r="S528" s="1064"/>
      <c r="T528" s="1064"/>
      <c r="U528" s="1064">
        <f t="shared" si="110"/>
        <v>0</v>
      </c>
      <c r="V528" s="1064">
        <f t="shared" si="111"/>
        <v>0</v>
      </c>
      <c r="W528" s="1065"/>
      <c r="X528" s="1065"/>
      <c r="Y528" s="1065">
        <f t="shared" si="112"/>
        <v>0</v>
      </c>
      <c r="Z528" s="1065">
        <f t="shared" si="113"/>
        <v>0</v>
      </c>
      <c r="AA528" s="1066"/>
      <c r="AB528" s="1066"/>
      <c r="AC528" s="1066">
        <f t="shared" si="114"/>
        <v>-45</v>
      </c>
      <c r="AD528" s="1066">
        <f t="shared" si="115"/>
        <v>-900</v>
      </c>
      <c r="AE528" s="1067"/>
      <c r="AF528" s="1067"/>
      <c r="AG528" s="1067">
        <v>31</v>
      </c>
      <c r="AH528" s="1067">
        <f t="shared" si="103"/>
        <v>620</v>
      </c>
      <c r="AI528" s="1068"/>
      <c r="AJ528" s="1068"/>
      <c r="AK528" s="1068">
        <v>31</v>
      </c>
      <c r="AL528" s="1068">
        <f t="shared" si="104"/>
        <v>620</v>
      </c>
      <c r="AM528" s="1069"/>
      <c r="AN528" s="1069"/>
      <c r="AO528" s="1069">
        <v>28</v>
      </c>
      <c r="AP528" s="1069">
        <f t="shared" si="105"/>
        <v>560</v>
      </c>
      <c r="AQ528" s="1064"/>
      <c r="AR528" s="1064"/>
      <c r="AS528" s="1064">
        <f t="shared" si="116"/>
        <v>-45</v>
      </c>
      <c r="AT528" s="1064">
        <f t="shared" si="117"/>
        <v>-900</v>
      </c>
      <c r="AU528" s="1070"/>
      <c r="AV528" s="1070"/>
      <c r="AW528" s="1070">
        <f t="shared" si="118"/>
        <v>0</v>
      </c>
      <c r="AX528" s="1070">
        <f t="shared" si="119"/>
        <v>0</v>
      </c>
      <c r="AY528" s="1071"/>
      <c r="AZ528" s="1071"/>
      <c r="BA528" s="1071">
        <f t="shared" si="120"/>
        <v>0</v>
      </c>
      <c r="BB528" s="1071">
        <f t="shared" si="121"/>
        <v>0</v>
      </c>
      <c r="BC528" s="1072"/>
      <c r="BD528" s="1072"/>
      <c r="BE528" s="1072"/>
      <c r="BF528" s="1072"/>
    </row>
    <row r="529" spans="1:58" ht="15.75" customHeight="1" x14ac:dyDescent="0.25">
      <c r="B529" s="1052"/>
      <c r="C529" s="1052"/>
      <c r="D529" s="1053"/>
      <c r="E529" s="1054"/>
      <c r="F529" s="1055"/>
      <c r="G529" s="1055"/>
      <c r="H529" s="1057"/>
      <c r="I529" s="1058"/>
      <c r="J529" s="1059"/>
      <c r="K529" s="1060"/>
      <c r="L529" s="1060"/>
      <c r="M529" s="1061">
        <f t="shared" si="106"/>
        <v>0</v>
      </c>
      <c r="N529" s="1060">
        <f t="shared" si="107"/>
        <v>0</v>
      </c>
      <c r="O529" s="1063"/>
      <c r="P529" s="1063"/>
      <c r="Q529" s="1063">
        <f t="shared" si="108"/>
        <v>0</v>
      </c>
      <c r="R529" s="1063">
        <f t="shared" si="109"/>
        <v>0</v>
      </c>
      <c r="S529" s="1064"/>
      <c r="T529" s="1064"/>
      <c r="U529" s="1064">
        <f t="shared" si="110"/>
        <v>0</v>
      </c>
      <c r="V529" s="1064">
        <f t="shared" si="111"/>
        <v>0</v>
      </c>
      <c r="W529" s="1065"/>
      <c r="X529" s="1065"/>
      <c r="Y529" s="1065">
        <f t="shared" si="112"/>
        <v>0</v>
      </c>
      <c r="Z529" s="1065">
        <f t="shared" si="113"/>
        <v>0</v>
      </c>
      <c r="AA529" s="1066"/>
      <c r="AB529" s="1066"/>
      <c r="AC529" s="1066">
        <f t="shared" si="114"/>
        <v>-45</v>
      </c>
      <c r="AD529" s="1066">
        <f t="shared" si="115"/>
        <v>-900</v>
      </c>
      <c r="AE529" s="1067"/>
      <c r="AF529" s="1067"/>
      <c r="AG529" s="1067">
        <v>31</v>
      </c>
      <c r="AH529" s="1067">
        <f t="shared" si="103"/>
        <v>620</v>
      </c>
      <c r="AI529" s="1068"/>
      <c r="AJ529" s="1068"/>
      <c r="AK529" s="1068">
        <v>31</v>
      </c>
      <c r="AL529" s="1068">
        <f t="shared" si="104"/>
        <v>620</v>
      </c>
      <c r="AM529" s="1069"/>
      <c r="AN529" s="1069"/>
      <c r="AO529" s="1069">
        <v>28</v>
      </c>
      <c r="AP529" s="1069">
        <f t="shared" si="105"/>
        <v>560</v>
      </c>
      <c r="AQ529" s="1064"/>
      <c r="AR529" s="1064"/>
      <c r="AS529" s="1064">
        <f t="shared" si="116"/>
        <v>-45</v>
      </c>
      <c r="AT529" s="1064">
        <f t="shared" si="117"/>
        <v>-900</v>
      </c>
      <c r="AU529" s="1070"/>
      <c r="AV529" s="1070"/>
      <c r="AW529" s="1070">
        <f t="shared" si="118"/>
        <v>0</v>
      </c>
      <c r="AX529" s="1070">
        <f t="shared" si="119"/>
        <v>0</v>
      </c>
      <c r="AY529" s="1071"/>
      <c r="AZ529" s="1071"/>
      <c r="BA529" s="1071">
        <f t="shared" si="120"/>
        <v>0</v>
      </c>
      <c r="BB529" s="1071">
        <f t="shared" si="121"/>
        <v>0</v>
      </c>
      <c r="BC529" s="1072"/>
      <c r="BD529" s="1072"/>
      <c r="BE529" s="1072"/>
      <c r="BF529" s="1072"/>
    </row>
    <row r="530" spans="1:58" ht="15.75" customHeight="1" x14ac:dyDescent="0.25">
      <c r="B530" s="1076"/>
      <c r="C530" s="1076"/>
      <c r="D530" s="1053"/>
      <c r="E530" s="1054"/>
      <c r="F530" s="1055"/>
      <c r="G530" s="1055"/>
      <c r="H530" s="1057"/>
      <c r="I530" s="1058"/>
      <c r="J530" s="1059"/>
      <c r="K530" s="1060"/>
      <c r="L530" s="1060"/>
      <c r="M530" s="1061">
        <f t="shared" si="106"/>
        <v>0</v>
      </c>
      <c r="N530" s="1060">
        <f t="shared" si="107"/>
        <v>0</v>
      </c>
      <c r="O530" s="1063"/>
      <c r="P530" s="1063"/>
      <c r="Q530" s="1063">
        <f t="shared" si="108"/>
        <v>0</v>
      </c>
      <c r="R530" s="1063">
        <f t="shared" si="109"/>
        <v>0</v>
      </c>
      <c r="S530" s="1064"/>
      <c r="T530" s="1064"/>
      <c r="U530" s="1064">
        <f t="shared" si="110"/>
        <v>0</v>
      </c>
      <c r="V530" s="1064">
        <f t="shared" si="111"/>
        <v>0</v>
      </c>
      <c r="W530" s="1065"/>
      <c r="X530" s="1065"/>
      <c r="Y530" s="1065">
        <f t="shared" si="112"/>
        <v>0</v>
      </c>
      <c r="Z530" s="1065">
        <f t="shared" si="113"/>
        <v>0</v>
      </c>
      <c r="AA530" s="1066"/>
      <c r="AB530" s="1066"/>
      <c r="AC530" s="1066">
        <f t="shared" si="114"/>
        <v>-45</v>
      </c>
      <c r="AD530" s="1066">
        <f t="shared" si="115"/>
        <v>-900</v>
      </c>
      <c r="AE530" s="1067"/>
      <c r="AF530" s="1067"/>
      <c r="AG530" s="1067">
        <v>31</v>
      </c>
      <c r="AH530" s="1067">
        <f t="shared" si="103"/>
        <v>620</v>
      </c>
      <c r="AI530" s="1068"/>
      <c r="AJ530" s="1068"/>
      <c r="AK530" s="1068">
        <v>31</v>
      </c>
      <c r="AL530" s="1068">
        <f t="shared" si="104"/>
        <v>620</v>
      </c>
      <c r="AM530" s="1069"/>
      <c r="AN530" s="1069"/>
      <c r="AO530" s="1069">
        <v>28</v>
      </c>
      <c r="AP530" s="1069">
        <f t="shared" si="105"/>
        <v>560</v>
      </c>
      <c r="AQ530" s="1064"/>
      <c r="AR530" s="1064"/>
      <c r="AS530" s="1064">
        <f t="shared" si="116"/>
        <v>-45</v>
      </c>
      <c r="AT530" s="1064">
        <f t="shared" si="117"/>
        <v>-900</v>
      </c>
      <c r="AU530" s="1070"/>
      <c r="AV530" s="1070"/>
      <c r="AW530" s="1070">
        <f t="shared" si="118"/>
        <v>0</v>
      </c>
      <c r="AX530" s="1070">
        <f t="shared" si="119"/>
        <v>0</v>
      </c>
      <c r="AY530" s="1071"/>
      <c r="AZ530" s="1071"/>
      <c r="BA530" s="1071">
        <f t="shared" si="120"/>
        <v>0</v>
      </c>
      <c r="BB530" s="1071">
        <f t="shared" si="121"/>
        <v>0</v>
      </c>
      <c r="BC530" s="1072"/>
      <c r="BD530" s="1072"/>
      <c r="BE530" s="1072"/>
      <c r="BF530" s="1072"/>
    </row>
    <row r="531" spans="1:58" ht="15.75" customHeight="1" x14ac:dyDescent="0.25">
      <c r="B531" s="1052"/>
      <c r="C531" s="1052"/>
      <c r="D531" s="1053"/>
      <c r="E531" s="1054"/>
      <c r="F531" s="1055"/>
      <c r="G531" s="1055"/>
      <c r="H531" s="1057"/>
      <c r="I531" s="1058"/>
      <c r="J531" s="1059"/>
      <c r="K531" s="1060"/>
      <c r="L531" s="1060"/>
      <c r="M531" s="1061">
        <f t="shared" si="106"/>
        <v>0</v>
      </c>
      <c r="N531" s="1060">
        <f t="shared" si="107"/>
        <v>0</v>
      </c>
      <c r="O531" s="1063"/>
      <c r="P531" s="1063"/>
      <c r="Q531" s="1063">
        <f t="shared" si="108"/>
        <v>0</v>
      </c>
      <c r="R531" s="1063">
        <f t="shared" si="109"/>
        <v>0</v>
      </c>
      <c r="S531" s="1064"/>
      <c r="T531" s="1064"/>
      <c r="U531" s="1064">
        <f t="shared" si="110"/>
        <v>0</v>
      </c>
      <c r="V531" s="1064">
        <f t="shared" si="111"/>
        <v>0</v>
      </c>
      <c r="W531" s="1065"/>
      <c r="X531" s="1065"/>
      <c r="Y531" s="1065">
        <f t="shared" si="112"/>
        <v>0</v>
      </c>
      <c r="Z531" s="1065">
        <f t="shared" si="113"/>
        <v>0</v>
      </c>
      <c r="AA531" s="1066"/>
      <c r="AB531" s="1066"/>
      <c r="AC531" s="1066">
        <f t="shared" si="114"/>
        <v>-45</v>
      </c>
      <c r="AD531" s="1066">
        <f t="shared" si="115"/>
        <v>-900</v>
      </c>
      <c r="AE531" s="1067"/>
      <c r="AF531" s="1067"/>
      <c r="AG531" s="1067">
        <v>31</v>
      </c>
      <c r="AH531" s="1067">
        <f t="shared" si="103"/>
        <v>620</v>
      </c>
      <c r="AI531" s="1068"/>
      <c r="AJ531" s="1068"/>
      <c r="AK531" s="1068">
        <v>31</v>
      </c>
      <c r="AL531" s="1068">
        <f t="shared" si="104"/>
        <v>620</v>
      </c>
      <c r="AM531" s="1069"/>
      <c r="AN531" s="1069"/>
      <c r="AO531" s="1069">
        <v>28</v>
      </c>
      <c r="AP531" s="1069">
        <f t="shared" si="105"/>
        <v>560</v>
      </c>
      <c r="AQ531" s="1064"/>
      <c r="AR531" s="1064"/>
      <c r="AS531" s="1064">
        <f t="shared" si="116"/>
        <v>-45</v>
      </c>
      <c r="AT531" s="1064">
        <f t="shared" si="117"/>
        <v>-900</v>
      </c>
      <c r="AU531" s="1070"/>
      <c r="AV531" s="1070"/>
      <c r="AW531" s="1070">
        <f t="shared" si="118"/>
        <v>0</v>
      </c>
      <c r="AX531" s="1070">
        <f t="shared" si="119"/>
        <v>0</v>
      </c>
      <c r="AY531" s="1071"/>
      <c r="AZ531" s="1071"/>
      <c r="BA531" s="1071">
        <f t="shared" si="120"/>
        <v>0</v>
      </c>
      <c r="BB531" s="1071">
        <f t="shared" si="121"/>
        <v>0</v>
      </c>
      <c r="BC531" s="1072"/>
      <c r="BD531" s="1072"/>
      <c r="BE531" s="1072"/>
      <c r="BF531" s="1072"/>
    </row>
    <row r="532" spans="1:58" ht="15.75" customHeight="1" x14ac:dyDescent="0.25">
      <c r="A532" s="1023"/>
      <c r="B532" s="1076"/>
      <c r="C532" s="1076"/>
      <c r="D532" s="1053"/>
      <c r="E532" s="1054"/>
      <c r="F532" s="1055"/>
      <c r="G532" s="1055"/>
      <c r="H532" s="1057"/>
      <c r="I532" s="1058"/>
      <c r="J532" s="1059"/>
      <c r="K532" s="1060"/>
      <c r="L532" s="1060"/>
      <c r="M532" s="1061">
        <f t="shared" si="106"/>
        <v>0</v>
      </c>
      <c r="N532" s="1060">
        <f t="shared" si="107"/>
        <v>0</v>
      </c>
      <c r="O532" s="1063"/>
      <c r="P532" s="1063"/>
      <c r="Q532" s="1063">
        <f t="shared" si="108"/>
        <v>0</v>
      </c>
      <c r="R532" s="1063">
        <f t="shared" si="109"/>
        <v>0</v>
      </c>
      <c r="S532" s="1064"/>
      <c r="T532" s="1064"/>
      <c r="U532" s="1064">
        <f t="shared" si="110"/>
        <v>0</v>
      </c>
      <c r="V532" s="1064">
        <f t="shared" si="111"/>
        <v>0</v>
      </c>
      <c r="W532" s="1065"/>
      <c r="X532" s="1065"/>
      <c r="Y532" s="1065">
        <f t="shared" si="112"/>
        <v>0</v>
      </c>
      <c r="Z532" s="1065">
        <f t="shared" si="113"/>
        <v>0</v>
      </c>
      <c r="AA532" s="1066"/>
      <c r="AB532" s="1066"/>
      <c r="AC532" s="1066">
        <f t="shared" si="114"/>
        <v>-45</v>
      </c>
      <c r="AD532" s="1066">
        <f t="shared" si="115"/>
        <v>-900</v>
      </c>
      <c r="AE532" s="1067"/>
      <c r="AF532" s="1067"/>
      <c r="AG532" s="1067">
        <v>31</v>
      </c>
      <c r="AH532" s="1067">
        <f t="shared" si="103"/>
        <v>620</v>
      </c>
      <c r="AI532" s="1068"/>
      <c r="AJ532" s="1068"/>
      <c r="AK532" s="1068">
        <v>31</v>
      </c>
      <c r="AL532" s="1068">
        <f t="shared" si="104"/>
        <v>620</v>
      </c>
      <c r="AM532" s="1069"/>
      <c r="AN532" s="1069"/>
      <c r="AO532" s="1069">
        <v>28</v>
      </c>
      <c r="AP532" s="1069">
        <f t="shared" si="105"/>
        <v>560</v>
      </c>
      <c r="AQ532" s="1064"/>
      <c r="AR532" s="1064"/>
      <c r="AS532" s="1064">
        <f t="shared" si="116"/>
        <v>-45</v>
      </c>
      <c r="AT532" s="1064">
        <f t="shared" si="117"/>
        <v>-900</v>
      </c>
      <c r="AU532" s="1070"/>
      <c r="AV532" s="1070"/>
      <c r="AW532" s="1070">
        <f t="shared" si="118"/>
        <v>0</v>
      </c>
      <c r="AX532" s="1070">
        <f t="shared" si="119"/>
        <v>0</v>
      </c>
      <c r="AY532" s="1071"/>
      <c r="AZ532" s="1071"/>
      <c r="BA532" s="1071">
        <f t="shared" si="120"/>
        <v>0</v>
      </c>
      <c r="BB532" s="1071">
        <f t="shared" si="121"/>
        <v>0</v>
      </c>
      <c r="BC532" s="1072"/>
      <c r="BD532" s="1072"/>
      <c r="BE532" s="1072"/>
      <c r="BF532" s="1072"/>
    </row>
    <row r="533" spans="1:58" ht="15.75" customHeight="1" x14ac:dyDescent="0.25">
      <c r="B533" s="1052"/>
      <c r="C533" s="1052"/>
      <c r="D533" s="1053"/>
      <c r="E533" s="1054"/>
      <c r="F533" s="1055"/>
      <c r="G533" s="1055"/>
      <c r="H533" s="1057"/>
      <c r="I533" s="1058"/>
      <c r="J533" s="1059"/>
      <c r="K533" s="1060"/>
      <c r="L533" s="1060"/>
      <c r="M533" s="1061">
        <f t="shared" si="106"/>
        <v>0</v>
      </c>
      <c r="N533" s="1060">
        <f t="shared" si="107"/>
        <v>0</v>
      </c>
      <c r="O533" s="1063"/>
      <c r="P533" s="1063"/>
      <c r="Q533" s="1063">
        <f t="shared" si="108"/>
        <v>0</v>
      </c>
      <c r="R533" s="1063">
        <f t="shared" si="109"/>
        <v>0</v>
      </c>
      <c r="S533" s="1064"/>
      <c r="T533" s="1064"/>
      <c r="U533" s="1064">
        <f t="shared" si="110"/>
        <v>0</v>
      </c>
      <c r="V533" s="1064">
        <f t="shared" si="111"/>
        <v>0</v>
      </c>
      <c r="W533" s="1065"/>
      <c r="X533" s="1065"/>
      <c r="Y533" s="1065">
        <f t="shared" si="112"/>
        <v>0</v>
      </c>
      <c r="Z533" s="1065">
        <f t="shared" si="113"/>
        <v>0</v>
      </c>
      <c r="AA533" s="1066"/>
      <c r="AB533" s="1066"/>
      <c r="AC533" s="1066">
        <f t="shared" si="114"/>
        <v>-45</v>
      </c>
      <c r="AD533" s="1066">
        <f t="shared" si="115"/>
        <v>-900</v>
      </c>
      <c r="AE533" s="1067"/>
      <c r="AF533" s="1067"/>
      <c r="AG533" s="1067">
        <v>31</v>
      </c>
      <c r="AH533" s="1067">
        <f t="shared" si="103"/>
        <v>620</v>
      </c>
      <c r="AI533" s="1068"/>
      <c r="AJ533" s="1068"/>
      <c r="AK533" s="1068">
        <v>31</v>
      </c>
      <c r="AL533" s="1068">
        <f t="shared" si="104"/>
        <v>620</v>
      </c>
      <c r="AM533" s="1069"/>
      <c r="AN533" s="1069"/>
      <c r="AO533" s="1069">
        <v>28</v>
      </c>
      <c r="AP533" s="1069">
        <f t="shared" si="105"/>
        <v>560</v>
      </c>
      <c r="AQ533" s="1064"/>
      <c r="AR533" s="1064"/>
      <c r="AS533" s="1064">
        <f t="shared" si="116"/>
        <v>-45</v>
      </c>
      <c r="AT533" s="1064">
        <f t="shared" si="117"/>
        <v>-900</v>
      </c>
      <c r="AU533" s="1070"/>
      <c r="AV533" s="1070"/>
      <c r="AW533" s="1070">
        <f t="shared" si="118"/>
        <v>0</v>
      </c>
      <c r="AX533" s="1070">
        <f t="shared" si="119"/>
        <v>0</v>
      </c>
      <c r="AY533" s="1071"/>
      <c r="AZ533" s="1071"/>
      <c r="BA533" s="1071">
        <f t="shared" si="120"/>
        <v>0</v>
      </c>
      <c r="BB533" s="1071">
        <f t="shared" si="121"/>
        <v>0</v>
      </c>
      <c r="BC533" s="1072"/>
      <c r="BD533" s="1072"/>
      <c r="BE533" s="1072"/>
      <c r="BF533" s="1072"/>
    </row>
    <row r="534" spans="1:58" ht="15.75" customHeight="1" x14ac:dyDescent="0.25">
      <c r="B534" s="1076"/>
      <c r="C534" s="1076"/>
      <c r="D534" s="1053"/>
      <c r="E534" s="1054"/>
      <c r="F534" s="1055"/>
      <c r="G534" s="1055"/>
      <c r="H534" s="1057"/>
      <c r="I534" s="1058"/>
      <c r="J534" s="1059"/>
      <c r="K534" s="1060"/>
      <c r="L534" s="1060"/>
      <c r="M534" s="1061">
        <f t="shared" si="106"/>
        <v>0</v>
      </c>
      <c r="N534" s="1060">
        <f t="shared" si="107"/>
        <v>0</v>
      </c>
      <c r="O534" s="1063"/>
      <c r="P534" s="1063"/>
      <c r="Q534" s="1063">
        <f t="shared" si="108"/>
        <v>0</v>
      </c>
      <c r="R534" s="1063">
        <f t="shared" si="109"/>
        <v>0</v>
      </c>
      <c r="S534" s="1064"/>
      <c r="T534" s="1064"/>
      <c r="U534" s="1064">
        <f t="shared" si="110"/>
        <v>0</v>
      </c>
      <c r="V534" s="1064">
        <f t="shared" si="111"/>
        <v>0</v>
      </c>
      <c r="W534" s="1065"/>
      <c r="X534" s="1065"/>
      <c r="Y534" s="1065">
        <f t="shared" si="112"/>
        <v>0</v>
      </c>
      <c r="Z534" s="1065">
        <f t="shared" si="113"/>
        <v>0</v>
      </c>
      <c r="AA534" s="1066"/>
      <c r="AB534" s="1066"/>
      <c r="AC534" s="1066">
        <f t="shared" si="114"/>
        <v>-45</v>
      </c>
      <c r="AD534" s="1066">
        <f t="shared" si="115"/>
        <v>-900</v>
      </c>
      <c r="AE534" s="1067"/>
      <c r="AF534" s="1067"/>
      <c r="AG534" s="1067">
        <v>31</v>
      </c>
      <c r="AH534" s="1067">
        <f t="shared" si="103"/>
        <v>620</v>
      </c>
      <c r="AI534" s="1068"/>
      <c r="AJ534" s="1068"/>
      <c r="AK534" s="1068">
        <v>31</v>
      </c>
      <c r="AL534" s="1068">
        <f t="shared" si="104"/>
        <v>620</v>
      </c>
      <c r="AM534" s="1069"/>
      <c r="AN534" s="1069"/>
      <c r="AO534" s="1069">
        <v>28</v>
      </c>
      <c r="AP534" s="1069">
        <f t="shared" si="105"/>
        <v>560</v>
      </c>
      <c r="AQ534" s="1064"/>
      <c r="AR534" s="1064"/>
      <c r="AS534" s="1064">
        <f t="shared" si="116"/>
        <v>-45</v>
      </c>
      <c r="AT534" s="1064">
        <f t="shared" si="117"/>
        <v>-900</v>
      </c>
      <c r="AU534" s="1070"/>
      <c r="AV534" s="1070"/>
      <c r="AW534" s="1070">
        <f t="shared" si="118"/>
        <v>0</v>
      </c>
      <c r="AX534" s="1070">
        <f t="shared" si="119"/>
        <v>0</v>
      </c>
      <c r="AY534" s="1071"/>
      <c r="AZ534" s="1071"/>
      <c r="BA534" s="1071">
        <f t="shared" si="120"/>
        <v>0</v>
      </c>
      <c r="BB534" s="1071">
        <f t="shared" si="121"/>
        <v>0</v>
      </c>
      <c r="BC534" s="1072"/>
      <c r="BD534" s="1072"/>
      <c r="BE534" s="1072"/>
      <c r="BF534" s="1072"/>
    </row>
    <row r="535" spans="1:58" ht="15.75" customHeight="1" x14ac:dyDescent="0.25">
      <c r="B535" s="1052"/>
      <c r="C535" s="1052"/>
      <c r="D535" s="1053"/>
      <c r="E535" s="1054"/>
      <c r="F535" s="1055"/>
      <c r="G535" s="1055"/>
      <c r="H535" s="1057"/>
      <c r="I535" s="1058"/>
      <c r="J535" s="1059"/>
      <c r="K535" s="1060"/>
      <c r="L535" s="1060"/>
      <c r="M535" s="1061">
        <f t="shared" si="106"/>
        <v>0</v>
      </c>
      <c r="N535" s="1060">
        <f t="shared" si="107"/>
        <v>0</v>
      </c>
      <c r="O535" s="1063"/>
      <c r="P535" s="1063"/>
      <c r="Q535" s="1063">
        <f t="shared" si="108"/>
        <v>0</v>
      </c>
      <c r="R535" s="1063">
        <f t="shared" si="109"/>
        <v>0</v>
      </c>
      <c r="S535" s="1064"/>
      <c r="T535" s="1064"/>
      <c r="U535" s="1064">
        <f t="shared" si="110"/>
        <v>0</v>
      </c>
      <c r="V535" s="1064">
        <f t="shared" si="111"/>
        <v>0</v>
      </c>
      <c r="W535" s="1065"/>
      <c r="X535" s="1065"/>
      <c r="Y535" s="1065">
        <f t="shared" si="112"/>
        <v>0</v>
      </c>
      <c r="Z535" s="1065">
        <f t="shared" si="113"/>
        <v>0</v>
      </c>
      <c r="AA535" s="1066"/>
      <c r="AB535" s="1066"/>
      <c r="AC535" s="1066">
        <f t="shared" si="114"/>
        <v>-45</v>
      </c>
      <c r="AD535" s="1066">
        <f t="shared" si="115"/>
        <v>-900</v>
      </c>
      <c r="AE535" s="1067"/>
      <c r="AF535" s="1067"/>
      <c r="AG535" s="1067">
        <v>31</v>
      </c>
      <c r="AH535" s="1067">
        <f t="shared" si="103"/>
        <v>620</v>
      </c>
      <c r="AI535" s="1068"/>
      <c r="AJ535" s="1068"/>
      <c r="AK535" s="1068">
        <v>31</v>
      </c>
      <c r="AL535" s="1068">
        <f t="shared" si="104"/>
        <v>620</v>
      </c>
      <c r="AM535" s="1069"/>
      <c r="AN535" s="1069"/>
      <c r="AO535" s="1069">
        <v>28</v>
      </c>
      <c r="AP535" s="1069">
        <f t="shared" si="105"/>
        <v>560</v>
      </c>
      <c r="AQ535" s="1064"/>
      <c r="AR535" s="1064"/>
      <c r="AS535" s="1064">
        <f t="shared" si="116"/>
        <v>-45</v>
      </c>
      <c r="AT535" s="1064">
        <f t="shared" si="117"/>
        <v>-900</v>
      </c>
      <c r="AU535" s="1070"/>
      <c r="AV535" s="1070"/>
      <c r="AW535" s="1070">
        <f t="shared" si="118"/>
        <v>0</v>
      </c>
      <c r="AX535" s="1070">
        <f t="shared" si="119"/>
        <v>0</v>
      </c>
      <c r="AY535" s="1071"/>
      <c r="AZ535" s="1071"/>
      <c r="BA535" s="1071">
        <f t="shared" si="120"/>
        <v>0</v>
      </c>
      <c r="BB535" s="1071">
        <f t="shared" si="121"/>
        <v>0</v>
      </c>
      <c r="BC535" s="1072"/>
      <c r="BD535" s="1072"/>
      <c r="BE535" s="1072"/>
      <c r="BF535" s="1072"/>
    </row>
    <row r="536" spans="1:58" ht="15.75" customHeight="1" x14ac:dyDescent="0.25">
      <c r="B536" s="1076"/>
      <c r="C536" s="1076"/>
      <c r="D536" s="1053"/>
      <c r="E536" s="1054"/>
      <c r="F536" s="1055"/>
      <c r="G536" s="1055"/>
      <c r="H536" s="1057"/>
      <c r="I536" s="1058"/>
      <c r="J536" s="1059"/>
      <c r="K536" s="1060"/>
      <c r="L536" s="1060"/>
      <c r="M536" s="1061">
        <f t="shared" si="106"/>
        <v>0</v>
      </c>
      <c r="N536" s="1060">
        <f t="shared" si="107"/>
        <v>0</v>
      </c>
      <c r="O536" s="1063"/>
      <c r="P536" s="1063"/>
      <c r="Q536" s="1063">
        <f t="shared" si="108"/>
        <v>0</v>
      </c>
      <c r="R536" s="1063">
        <f t="shared" si="109"/>
        <v>0</v>
      </c>
      <c r="S536" s="1064"/>
      <c r="T536" s="1064"/>
      <c r="U536" s="1064">
        <f t="shared" si="110"/>
        <v>0</v>
      </c>
      <c r="V536" s="1064">
        <f t="shared" si="111"/>
        <v>0</v>
      </c>
      <c r="W536" s="1065"/>
      <c r="X536" s="1065"/>
      <c r="Y536" s="1065">
        <f t="shared" si="112"/>
        <v>0</v>
      </c>
      <c r="Z536" s="1065">
        <f t="shared" si="113"/>
        <v>0</v>
      </c>
      <c r="AA536" s="1066"/>
      <c r="AB536" s="1066"/>
      <c r="AC536" s="1066">
        <f t="shared" si="114"/>
        <v>-45</v>
      </c>
      <c r="AD536" s="1066">
        <f t="shared" si="115"/>
        <v>-900</v>
      </c>
      <c r="AE536" s="1067"/>
      <c r="AF536" s="1067"/>
      <c r="AG536" s="1067">
        <v>31</v>
      </c>
      <c r="AH536" s="1067">
        <f t="shared" si="103"/>
        <v>620</v>
      </c>
      <c r="AI536" s="1068"/>
      <c r="AJ536" s="1068"/>
      <c r="AK536" s="1068">
        <v>31</v>
      </c>
      <c r="AL536" s="1068">
        <f t="shared" si="104"/>
        <v>620</v>
      </c>
      <c r="AM536" s="1069"/>
      <c r="AN536" s="1069"/>
      <c r="AO536" s="1069">
        <v>28</v>
      </c>
      <c r="AP536" s="1069">
        <f t="shared" si="105"/>
        <v>560</v>
      </c>
      <c r="AQ536" s="1064"/>
      <c r="AR536" s="1064"/>
      <c r="AS536" s="1064">
        <f t="shared" si="116"/>
        <v>-45</v>
      </c>
      <c r="AT536" s="1064">
        <f t="shared" si="117"/>
        <v>-900</v>
      </c>
      <c r="AU536" s="1070"/>
      <c r="AV536" s="1070"/>
      <c r="AW536" s="1070">
        <f t="shared" si="118"/>
        <v>0</v>
      </c>
      <c r="AX536" s="1070">
        <f t="shared" si="119"/>
        <v>0</v>
      </c>
      <c r="AY536" s="1071"/>
      <c r="AZ536" s="1071"/>
      <c r="BA536" s="1071">
        <f t="shared" si="120"/>
        <v>0</v>
      </c>
      <c r="BB536" s="1071">
        <f t="shared" si="121"/>
        <v>0</v>
      </c>
      <c r="BC536" s="1072"/>
      <c r="BD536" s="1072"/>
      <c r="BE536" s="1072"/>
      <c r="BF536" s="1072"/>
    </row>
    <row r="537" spans="1:58" ht="15.75" customHeight="1" x14ac:dyDescent="0.25">
      <c r="B537" s="1052"/>
      <c r="C537" s="1052"/>
      <c r="D537" s="1053"/>
      <c r="E537" s="1054"/>
      <c r="F537" s="1055"/>
      <c r="G537" s="1055"/>
      <c r="H537" s="1057"/>
      <c r="I537" s="1058"/>
      <c r="J537" s="1059"/>
      <c r="K537" s="1060"/>
      <c r="L537" s="1060"/>
      <c r="M537" s="1061">
        <f t="shared" si="106"/>
        <v>0</v>
      </c>
      <c r="N537" s="1060">
        <f t="shared" si="107"/>
        <v>0</v>
      </c>
      <c r="O537" s="1063"/>
      <c r="P537" s="1063"/>
      <c r="Q537" s="1063">
        <f t="shared" si="108"/>
        <v>0</v>
      </c>
      <c r="R537" s="1063">
        <f t="shared" si="109"/>
        <v>0</v>
      </c>
      <c r="S537" s="1064"/>
      <c r="T537" s="1064"/>
      <c r="U537" s="1064">
        <f t="shared" si="110"/>
        <v>0</v>
      </c>
      <c r="V537" s="1064">
        <f t="shared" si="111"/>
        <v>0</v>
      </c>
      <c r="W537" s="1065"/>
      <c r="X537" s="1065"/>
      <c r="Y537" s="1065">
        <f t="shared" si="112"/>
        <v>0</v>
      </c>
      <c r="Z537" s="1065">
        <f t="shared" si="113"/>
        <v>0</v>
      </c>
      <c r="AA537" s="1066"/>
      <c r="AB537" s="1066"/>
      <c r="AC537" s="1066">
        <f t="shared" si="114"/>
        <v>-45</v>
      </c>
      <c r="AD537" s="1066">
        <f t="shared" si="115"/>
        <v>-900</v>
      </c>
      <c r="AE537" s="1067"/>
      <c r="AF537" s="1067"/>
      <c r="AG537" s="1067">
        <v>31</v>
      </c>
      <c r="AH537" s="1067">
        <f t="shared" si="103"/>
        <v>620</v>
      </c>
      <c r="AI537" s="1068"/>
      <c r="AJ537" s="1068"/>
      <c r="AK537" s="1068">
        <v>31</v>
      </c>
      <c r="AL537" s="1068">
        <f t="shared" si="104"/>
        <v>620</v>
      </c>
      <c r="AM537" s="1069"/>
      <c r="AN537" s="1069"/>
      <c r="AO537" s="1069">
        <v>28</v>
      </c>
      <c r="AP537" s="1069">
        <f t="shared" si="105"/>
        <v>560</v>
      </c>
      <c r="AQ537" s="1064"/>
      <c r="AR537" s="1064"/>
      <c r="AS537" s="1064">
        <f t="shared" si="116"/>
        <v>-45</v>
      </c>
      <c r="AT537" s="1064">
        <f t="shared" si="117"/>
        <v>-900</v>
      </c>
      <c r="AU537" s="1070"/>
      <c r="AV537" s="1070"/>
      <c r="AW537" s="1070">
        <f t="shared" si="118"/>
        <v>0</v>
      </c>
      <c r="AX537" s="1070">
        <f t="shared" si="119"/>
        <v>0</v>
      </c>
      <c r="AY537" s="1071"/>
      <c r="AZ537" s="1071"/>
      <c r="BA537" s="1071">
        <f t="shared" si="120"/>
        <v>0</v>
      </c>
      <c r="BB537" s="1071">
        <f t="shared" si="121"/>
        <v>0</v>
      </c>
      <c r="BC537" s="1072"/>
      <c r="BD537" s="1072"/>
      <c r="BE537" s="1072"/>
      <c r="BF537" s="1072"/>
    </row>
    <row r="538" spans="1:58" ht="15.75" customHeight="1" x14ac:dyDescent="0.25">
      <c r="B538" s="1076"/>
      <c r="C538" s="1076"/>
      <c r="D538" s="1053"/>
      <c r="E538" s="1054"/>
      <c r="F538" s="1055"/>
      <c r="G538" s="1055"/>
      <c r="H538" s="1057"/>
      <c r="I538" s="1058"/>
      <c r="J538" s="1059"/>
      <c r="K538" s="1060"/>
      <c r="L538" s="1060"/>
      <c r="M538" s="1061">
        <f t="shared" si="106"/>
        <v>0</v>
      </c>
      <c r="N538" s="1060">
        <f t="shared" si="107"/>
        <v>0</v>
      </c>
      <c r="O538" s="1063"/>
      <c r="P538" s="1063"/>
      <c r="Q538" s="1063">
        <f t="shared" si="108"/>
        <v>0</v>
      </c>
      <c r="R538" s="1063">
        <f t="shared" si="109"/>
        <v>0</v>
      </c>
      <c r="S538" s="1064"/>
      <c r="T538" s="1064"/>
      <c r="U538" s="1064">
        <f t="shared" si="110"/>
        <v>0</v>
      </c>
      <c r="V538" s="1064">
        <f t="shared" si="111"/>
        <v>0</v>
      </c>
      <c r="W538" s="1065"/>
      <c r="X538" s="1065"/>
      <c r="Y538" s="1065">
        <f t="shared" si="112"/>
        <v>0</v>
      </c>
      <c r="Z538" s="1065">
        <f t="shared" si="113"/>
        <v>0</v>
      </c>
      <c r="AA538" s="1066"/>
      <c r="AB538" s="1066"/>
      <c r="AC538" s="1066">
        <f t="shared" si="114"/>
        <v>-45</v>
      </c>
      <c r="AD538" s="1066">
        <f t="shared" si="115"/>
        <v>-900</v>
      </c>
      <c r="AE538" s="1067"/>
      <c r="AF538" s="1067"/>
      <c r="AG538" s="1067">
        <v>31</v>
      </c>
      <c r="AH538" s="1067">
        <f t="shared" si="103"/>
        <v>620</v>
      </c>
      <c r="AI538" s="1068"/>
      <c r="AJ538" s="1068"/>
      <c r="AK538" s="1068">
        <v>31</v>
      </c>
      <c r="AL538" s="1068">
        <f t="shared" si="104"/>
        <v>620</v>
      </c>
      <c r="AM538" s="1069"/>
      <c r="AN538" s="1069"/>
      <c r="AO538" s="1069">
        <v>28</v>
      </c>
      <c r="AP538" s="1069">
        <f t="shared" si="105"/>
        <v>560</v>
      </c>
      <c r="AQ538" s="1064"/>
      <c r="AR538" s="1064"/>
      <c r="AS538" s="1064">
        <f t="shared" si="116"/>
        <v>-45</v>
      </c>
      <c r="AT538" s="1064">
        <f t="shared" si="117"/>
        <v>-900</v>
      </c>
      <c r="AU538" s="1070"/>
      <c r="AV538" s="1070"/>
      <c r="AW538" s="1070">
        <f t="shared" si="118"/>
        <v>0</v>
      </c>
      <c r="AX538" s="1070">
        <f t="shared" si="119"/>
        <v>0</v>
      </c>
      <c r="AY538" s="1071"/>
      <c r="AZ538" s="1071"/>
      <c r="BA538" s="1071">
        <f t="shared" si="120"/>
        <v>0</v>
      </c>
      <c r="BB538" s="1071">
        <f t="shared" si="121"/>
        <v>0</v>
      </c>
      <c r="BC538" s="1072"/>
      <c r="BD538" s="1072"/>
      <c r="BE538" s="1072"/>
      <c r="BF538" s="1072"/>
    </row>
    <row r="539" spans="1:58" ht="15.75" customHeight="1" x14ac:dyDescent="0.25">
      <c r="B539" s="1052"/>
      <c r="C539" s="1052"/>
      <c r="D539" s="1053"/>
      <c r="E539" s="1054"/>
      <c r="F539" s="1055"/>
      <c r="G539" s="1055"/>
      <c r="H539" s="1057"/>
      <c r="I539" s="1058"/>
      <c r="J539" s="1059"/>
      <c r="K539" s="1060"/>
      <c r="L539" s="1060"/>
      <c r="M539" s="1061">
        <f t="shared" si="106"/>
        <v>0</v>
      </c>
      <c r="N539" s="1060">
        <f t="shared" si="107"/>
        <v>0</v>
      </c>
      <c r="O539" s="1063"/>
      <c r="P539" s="1063"/>
      <c r="Q539" s="1063">
        <f t="shared" si="108"/>
        <v>0</v>
      </c>
      <c r="R539" s="1063">
        <f t="shared" si="109"/>
        <v>0</v>
      </c>
      <c r="S539" s="1064"/>
      <c r="T539" s="1064"/>
      <c r="U539" s="1064">
        <f t="shared" si="110"/>
        <v>0</v>
      </c>
      <c r="V539" s="1064">
        <f t="shared" si="111"/>
        <v>0</v>
      </c>
      <c r="W539" s="1065"/>
      <c r="X539" s="1065"/>
      <c r="Y539" s="1065">
        <f t="shared" si="112"/>
        <v>0</v>
      </c>
      <c r="Z539" s="1065">
        <f t="shared" si="113"/>
        <v>0</v>
      </c>
      <c r="AA539" s="1066"/>
      <c r="AB539" s="1066"/>
      <c r="AC539" s="1066">
        <f t="shared" si="114"/>
        <v>-45</v>
      </c>
      <c r="AD539" s="1066">
        <f t="shared" si="115"/>
        <v>-900</v>
      </c>
      <c r="AE539" s="1067"/>
      <c r="AF539" s="1067"/>
      <c r="AG539" s="1067">
        <v>31</v>
      </c>
      <c r="AH539" s="1067">
        <f t="shared" si="103"/>
        <v>620</v>
      </c>
      <c r="AI539" s="1068"/>
      <c r="AJ539" s="1068"/>
      <c r="AK539" s="1068">
        <v>31</v>
      </c>
      <c r="AL539" s="1068">
        <f t="shared" si="104"/>
        <v>620</v>
      </c>
      <c r="AM539" s="1069"/>
      <c r="AN539" s="1069"/>
      <c r="AO539" s="1069">
        <v>28</v>
      </c>
      <c r="AP539" s="1069">
        <f t="shared" si="105"/>
        <v>560</v>
      </c>
      <c r="AQ539" s="1064"/>
      <c r="AR539" s="1064"/>
      <c r="AS539" s="1064">
        <f t="shared" si="116"/>
        <v>-45</v>
      </c>
      <c r="AT539" s="1064">
        <f t="shared" si="117"/>
        <v>-900</v>
      </c>
      <c r="AU539" s="1070"/>
      <c r="AV539" s="1070"/>
      <c r="AW539" s="1070">
        <f t="shared" si="118"/>
        <v>0</v>
      </c>
      <c r="AX539" s="1070">
        <f t="shared" si="119"/>
        <v>0</v>
      </c>
      <c r="AY539" s="1071"/>
      <c r="AZ539" s="1071"/>
      <c r="BA539" s="1071">
        <f t="shared" si="120"/>
        <v>0</v>
      </c>
      <c r="BB539" s="1071">
        <f t="shared" si="121"/>
        <v>0</v>
      </c>
      <c r="BC539" s="1072"/>
      <c r="BD539" s="1072"/>
      <c r="BE539" s="1072"/>
      <c r="BF539" s="1072"/>
    </row>
    <row r="540" spans="1:58" ht="15.75" customHeight="1" x14ac:dyDescent="0.25">
      <c r="B540" s="1076"/>
      <c r="C540" s="1076"/>
      <c r="D540" s="1053"/>
      <c r="E540" s="1054"/>
      <c r="F540" s="1055"/>
      <c r="G540" s="1055"/>
      <c r="H540" s="1057"/>
      <c r="I540" s="1058"/>
      <c r="J540" s="1059"/>
      <c r="K540" s="1060"/>
      <c r="L540" s="1060"/>
      <c r="M540" s="1061">
        <f t="shared" si="106"/>
        <v>0</v>
      </c>
      <c r="N540" s="1060">
        <f t="shared" si="107"/>
        <v>0</v>
      </c>
      <c r="O540" s="1063"/>
      <c r="P540" s="1063"/>
      <c r="Q540" s="1063">
        <f t="shared" si="108"/>
        <v>0</v>
      </c>
      <c r="R540" s="1063">
        <f t="shared" si="109"/>
        <v>0</v>
      </c>
      <c r="S540" s="1064"/>
      <c r="T540" s="1064"/>
      <c r="U540" s="1064">
        <f t="shared" si="110"/>
        <v>0</v>
      </c>
      <c r="V540" s="1064">
        <f t="shared" si="111"/>
        <v>0</v>
      </c>
      <c r="W540" s="1065"/>
      <c r="X540" s="1065"/>
      <c r="Y540" s="1065">
        <f t="shared" si="112"/>
        <v>0</v>
      </c>
      <c r="Z540" s="1065">
        <f t="shared" si="113"/>
        <v>0</v>
      </c>
      <c r="AA540" s="1066"/>
      <c r="AB540" s="1066"/>
      <c r="AC540" s="1066">
        <f t="shared" si="114"/>
        <v>-45</v>
      </c>
      <c r="AD540" s="1066">
        <f t="shared" si="115"/>
        <v>-900</v>
      </c>
      <c r="AE540" s="1067"/>
      <c r="AF540" s="1067"/>
      <c r="AG540" s="1067">
        <v>31</v>
      </c>
      <c r="AH540" s="1067">
        <f t="shared" si="103"/>
        <v>620</v>
      </c>
      <c r="AI540" s="1068"/>
      <c r="AJ540" s="1068"/>
      <c r="AK540" s="1068">
        <v>31</v>
      </c>
      <c r="AL540" s="1068">
        <f t="shared" si="104"/>
        <v>620</v>
      </c>
      <c r="AM540" s="1069"/>
      <c r="AN540" s="1069"/>
      <c r="AO540" s="1069">
        <v>28</v>
      </c>
      <c r="AP540" s="1069">
        <f t="shared" si="105"/>
        <v>560</v>
      </c>
      <c r="AQ540" s="1064"/>
      <c r="AR540" s="1064"/>
      <c r="AS540" s="1064">
        <f t="shared" si="116"/>
        <v>-45</v>
      </c>
      <c r="AT540" s="1064">
        <f t="shared" si="117"/>
        <v>-900</v>
      </c>
      <c r="AU540" s="1070"/>
      <c r="AV540" s="1070"/>
      <c r="AW540" s="1070">
        <f t="shared" si="118"/>
        <v>0</v>
      </c>
      <c r="AX540" s="1070">
        <f t="shared" si="119"/>
        <v>0</v>
      </c>
      <c r="AY540" s="1071"/>
      <c r="AZ540" s="1071"/>
      <c r="BA540" s="1071">
        <f t="shared" si="120"/>
        <v>0</v>
      </c>
      <c r="BB540" s="1071">
        <f t="shared" si="121"/>
        <v>0</v>
      </c>
      <c r="BC540" s="1072"/>
      <c r="BD540" s="1072"/>
      <c r="BE540" s="1072"/>
      <c r="BF540" s="1072"/>
    </row>
    <row r="541" spans="1:58" ht="15.75" customHeight="1" x14ac:dyDescent="0.25">
      <c r="B541" s="1052"/>
      <c r="C541" s="1089"/>
      <c r="D541" s="1053"/>
      <c r="E541" s="1054"/>
      <c r="F541" s="1055"/>
      <c r="G541" s="1055"/>
      <c r="H541" s="1057"/>
      <c r="I541" s="1058"/>
      <c r="J541" s="1059"/>
      <c r="K541" s="1060"/>
      <c r="L541" s="1060"/>
      <c r="M541" s="1061">
        <f t="shared" si="106"/>
        <v>0</v>
      </c>
      <c r="N541" s="1060">
        <f t="shared" si="107"/>
        <v>0</v>
      </c>
      <c r="O541" s="1063"/>
      <c r="P541" s="1063"/>
      <c r="Q541" s="1063">
        <f t="shared" si="108"/>
        <v>0</v>
      </c>
      <c r="R541" s="1063">
        <f t="shared" si="109"/>
        <v>0</v>
      </c>
      <c r="S541" s="1064"/>
      <c r="T541" s="1064"/>
      <c r="U541" s="1064">
        <f t="shared" si="110"/>
        <v>0</v>
      </c>
      <c r="V541" s="1064">
        <f t="shared" si="111"/>
        <v>0</v>
      </c>
      <c r="W541" s="1065"/>
      <c r="X541" s="1065"/>
      <c r="Y541" s="1065">
        <f t="shared" si="112"/>
        <v>0</v>
      </c>
      <c r="Z541" s="1065">
        <f t="shared" si="113"/>
        <v>0</v>
      </c>
      <c r="AA541" s="1066"/>
      <c r="AB541" s="1066"/>
      <c r="AC541" s="1066">
        <f t="shared" si="114"/>
        <v>-45</v>
      </c>
      <c r="AD541" s="1066">
        <f t="shared" si="115"/>
        <v>-900</v>
      </c>
      <c r="AE541" s="1067"/>
      <c r="AF541" s="1067"/>
      <c r="AG541" s="1067">
        <v>31</v>
      </c>
      <c r="AH541" s="1067">
        <f t="shared" si="103"/>
        <v>620</v>
      </c>
      <c r="AI541" s="1068"/>
      <c r="AJ541" s="1068"/>
      <c r="AK541" s="1068">
        <v>31</v>
      </c>
      <c r="AL541" s="1068">
        <f t="shared" si="104"/>
        <v>620</v>
      </c>
      <c r="AM541" s="1069"/>
      <c r="AN541" s="1069"/>
      <c r="AO541" s="1069">
        <v>28</v>
      </c>
      <c r="AP541" s="1069">
        <f t="shared" si="105"/>
        <v>560</v>
      </c>
      <c r="AQ541" s="1064"/>
      <c r="AR541" s="1064"/>
      <c r="AS541" s="1064">
        <f t="shared" si="116"/>
        <v>-45</v>
      </c>
      <c r="AT541" s="1064">
        <f t="shared" si="117"/>
        <v>-900</v>
      </c>
      <c r="AU541" s="1070"/>
      <c r="AV541" s="1070"/>
      <c r="AW541" s="1070">
        <f t="shared" si="118"/>
        <v>0</v>
      </c>
      <c r="AX541" s="1070">
        <f t="shared" si="119"/>
        <v>0</v>
      </c>
      <c r="AY541" s="1071"/>
      <c r="AZ541" s="1071"/>
      <c r="BA541" s="1071">
        <f t="shared" si="120"/>
        <v>0</v>
      </c>
      <c r="BB541" s="1071">
        <f t="shared" si="121"/>
        <v>0</v>
      </c>
      <c r="BC541" s="1072"/>
      <c r="BD541" s="1072"/>
      <c r="BE541" s="1072"/>
      <c r="BF541" s="1072"/>
    </row>
    <row r="542" spans="1:58" ht="15.75" customHeight="1" x14ac:dyDescent="0.25">
      <c r="B542" s="1076"/>
      <c r="C542" s="1076"/>
      <c r="D542" s="1053"/>
      <c r="E542" s="1054"/>
      <c r="F542" s="1055"/>
      <c r="G542" s="1055"/>
      <c r="H542" s="1057"/>
      <c r="I542" s="1058"/>
      <c r="J542" s="1059"/>
      <c r="K542" s="1060"/>
      <c r="L542" s="1060"/>
      <c r="M542" s="1061">
        <f t="shared" si="106"/>
        <v>0</v>
      </c>
      <c r="N542" s="1060">
        <f t="shared" si="107"/>
        <v>0</v>
      </c>
      <c r="O542" s="1063"/>
      <c r="P542" s="1063"/>
      <c r="Q542" s="1063">
        <f t="shared" si="108"/>
        <v>0</v>
      </c>
      <c r="R542" s="1063">
        <f t="shared" si="109"/>
        <v>0</v>
      </c>
      <c r="S542" s="1064"/>
      <c r="T542" s="1064"/>
      <c r="U542" s="1064">
        <f t="shared" si="110"/>
        <v>0</v>
      </c>
      <c r="V542" s="1064">
        <f t="shared" si="111"/>
        <v>0</v>
      </c>
      <c r="W542" s="1065"/>
      <c r="X542" s="1065"/>
      <c r="Y542" s="1065">
        <f t="shared" si="112"/>
        <v>0</v>
      </c>
      <c r="Z542" s="1065">
        <f t="shared" si="113"/>
        <v>0</v>
      </c>
      <c r="AA542" s="1066"/>
      <c r="AB542" s="1066"/>
      <c r="AC542" s="1066">
        <f t="shared" si="114"/>
        <v>-45</v>
      </c>
      <c r="AD542" s="1066">
        <f t="shared" si="115"/>
        <v>-900</v>
      </c>
      <c r="AE542" s="1067"/>
      <c r="AF542" s="1067"/>
      <c r="AG542" s="1067">
        <v>31</v>
      </c>
      <c r="AH542" s="1067">
        <f t="shared" si="103"/>
        <v>620</v>
      </c>
      <c r="AI542" s="1068"/>
      <c r="AJ542" s="1068"/>
      <c r="AK542" s="1068">
        <v>31</v>
      </c>
      <c r="AL542" s="1068">
        <f t="shared" si="104"/>
        <v>620</v>
      </c>
      <c r="AM542" s="1069"/>
      <c r="AN542" s="1069"/>
      <c r="AO542" s="1069">
        <v>28</v>
      </c>
      <c r="AP542" s="1069">
        <f t="shared" si="105"/>
        <v>560</v>
      </c>
      <c r="AQ542" s="1064"/>
      <c r="AR542" s="1064"/>
      <c r="AS542" s="1064">
        <f t="shared" si="116"/>
        <v>-45</v>
      </c>
      <c r="AT542" s="1064">
        <f t="shared" si="117"/>
        <v>-900</v>
      </c>
      <c r="AU542" s="1070"/>
      <c r="AV542" s="1070"/>
      <c r="AW542" s="1070">
        <f t="shared" si="118"/>
        <v>0</v>
      </c>
      <c r="AX542" s="1070">
        <f t="shared" si="119"/>
        <v>0</v>
      </c>
      <c r="AY542" s="1071"/>
      <c r="AZ542" s="1071"/>
      <c r="BA542" s="1071">
        <f t="shared" si="120"/>
        <v>0</v>
      </c>
      <c r="BB542" s="1071">
        <f t="shared" si="121"/>
        <v>0</v>
      </c>
      <c r="BC542" s="1072"/>
      <c r="BD542" s="1072"/>
      <c r="BE542" s="1072"/>
      <c r="BF542" s="1072"/>
    </row>
    <row r="543" spans="1:58" ht="15.75" customHeight="1" x14ac:dyDescent="0.25">
      <c r="B543" s="1052"/>
      <c r="C543" s="1052"/>
      <c r="D543" s="1053"/>
      <c r="E543" s="1054"/>
      <c r="F543" s="1055"/>
      <c r="G543" s="1055"/>
      <c r="H543" s="1057"/>
      <c r="I543" s="1058"/>
      <c r="J543" s="1059"/>
      <c r="K543" s="1060"/>
      <c r="L543" s="1060"/>
      <c r="M543" s="1061">
        <f t="shared" si="106"/>
        <v>0</v>
      </c>
      <c r="N543" s="1060">
        <f t="shared" si="107"/>
        <v>0</v>
      </c>
      <c r="O543" s="1063"/>
      <c r="P543" s="1063"/>
      <c r="Q543" s="1063">
        <f t="shared" si="108"/>
        <v>0</v>
      </c>
      <c r="R543" s="1063">
        <f t="shared" si="109"/>
        <v>0</v>
      </c>
      <c r="S543" s="1064"/>
      <c r="T543" s="1064"/>
      <c r="U543" s="1064">
        <f t="shared" si="110"/>
        <v>0</v>
      </c>
      <c r="V543" s="1064">
        <f t="shared" si="111"/>
        <v>0</v>
      </c>
      <c r="W543" s="1065"/>
      <c r="X543" s="1065"/>
      <c r="Y543" s="1065">
        <f t="shared" si="112"/>
        <v>0</v>
      </c>
      <c r="Z543" s="1065">
        <f t="shared" si="113"/>
        <v>0</v>
      </c>
      <c r="AA543" s="1066"/>
      <c r="AB543" s="1066"/>
      <c r="AC543" s="1066">
        <f t="shared" si="114"/>
        <v>-45</v>
      </c>
      <c r="AD543" s="1066">
        <f t="shared" si="115"/>
        <v>-900</v>
      </c>
      <c r="AE543" s="1067"/>
      <c r="AF543" s="1067"/>
      <c r="AG543" s="1067">
        <v>31</v>
      </c>
      <c r="AH543" s="1067">
        <f t="shared" si="103"/>
        <v>620</v>
      </c>
      <c r="AI543" s="1068"/>
      <c r="AJ543" s="1068"/>
      <c r="AK543" s="1068">
        <v>31</v>
      </c>
      <c r="AL543" s="1068">
        <f t="shared" si="104"/>
        <v>620</v>
      </c>
      <c r="AM543" s="1069"/>
      <c r="AN543" s="1069"/>
      <c r="AO543" s="1069">
        <v>28</v>
      </c>
      <c r="AP543" s="1069">
        <f t="shared" si="105"/>
        <v>560</v>
      </c>
      <c r="AQ543" s="1064"/>
      <c r="AR543" s="1064"/>
      <c r="AS543" s="1064">
        <f t="shared" si="116"/>
        <v>-45</v>
      </c>
      <c r="AT543" s="1064">
        <f t="shared" si="117"/>
        <v>-900</v>
      </c>
      <c r="AU543" s="1070"/>
      <c r="AV543" s="1070"/>
      <c r="AW543" s="1070">
        <f t="shared" si="118"/>
        <v>0</v>
      </c>
      <c r="AX543" s="1070">
        <f t="shared" si="119"/>
        <v>0</v>
      </c>
      <c r="AY543" s="1071"/>
      <c r="AZ543" s="1071"/>
      <c r="BA543" s="1071">
        <f t="shared" si="120"/>
        <v>0</v>
      </c>
      <c r="BB543" s="1071">
        <f t="shared" si="121"/>
        <v>0</v>
      </c>
      <c r="BC543" s="1072"/>
      <c r="BD543" s="1072"/>
      <c r="BE543" s="1072"/>
      <c r="BF543" s="1072"/>
    </row>
    <row r="544" spans="1:58" ht="15.75" customHeight="1" x14ac:dyDescent="0.25">
      <c r="B544" s="1076"/>
      <c r="C544" s="1076"/>
      <c r="D544" s="1053"/>
      <c r="E544" s="1054"/>
      <c r="F544" s="1055"/>
      <c r="G544" s="1055"/>
      <c r="H544" s="1057"/>
      <c r="I544" s="1058"/>
      <c r="J544" s="1059"/>
      <c r="K544" s="1060"/>
      <c r="L544" s="1060"/>
      <c r="M544" s="1061">
        <f t="shared" si="106"/>
        <v>0</v>
      </c>
      <c r="N544" s="1060">
        <f t="shared" si="107"/>
        <v>0</v>
      </c>
      <c r="O544" s="1063"/>
      <c r="P544" s="1063"/>
      <c r="Q544" s="1063">
        <f t="shared" si="108"/>
        <v>0</v>
      </c>
      <c r="R544" s="1063">
        <f t="shared" si="109"/>
        <v>0</v>
      </c>
      <c r="S544" s="1064"/>
      <c r="T544" s="1064"/>
      <c r="U544" s="1064">
        <f t="shared" si="110"/>
        <v>0</v>
      </c>
      <c r="V544" s="1064">
        <f t="shared" si="111"/>
        <v>0</v>
      </c>
      <c r="W544" s="1065"/>
      <c r="X544" s="1065"/>
      <c r="Y544" s="1065">
        <f t="shared" si="112"/>
        <v>0</v>
      </c>
      <c r="Z544" s="1065">
        <f t="shared" si="113"/>
        <v>0</v>
      </c>
      <c r="AA544" s="1066"/>
      <c r="AB544" s="1066"/>
      <c r="AC544" s="1066">
        <f t="shared" si="114"/>
        <v>-45</v>
      </c>
      <c r="AD544" s="1066">
        <f t="shared" si="115"/>
        <v>-900</v>
      </c>
      <c r="AE544" s="1067"/>
      <c r="AF544" s="1067"/>
      <c r="AG544" s="1067">
        <v>31</v>
      </c>
      <c r="AH544" s="1067">
        <f t="shared" si="103"/>
        <v>620</v>
      </c>
      <c r="AI544" s="1068"/>
      <c r="AJ544" s="1068"/>
      <c r="AK544" s="1068">
        <v>31</v>
      </c>
      <c r="AL544" s="1068">
        <f t="shared" si="104"/>
        <v>620</v>
      </c>
      <c r="AM544" s="1069"/>
      <c r="AN544" s="1069"/>
      <c r="AO544" s="1069">
        <v>28</v>
      </c>
      <c r="AP544" s="1069">
        <f t="shared" si="105"/>
        <v>560</v>
      </c>
      <c r="AQ544" s="1064"/>
      <c r="AR544" s="1064"/>
      <c r="AS544" s="1064">
        <f t="shared" si="116"/>
        <v>-45</v>
      </c>
      <c r="AT544" s="1064">
        <f t="shared" si="117"/>
        <v>-900</v>
      </c>
      <c r="AU544" s="1070"/>
      <c r="AV544" s="1070"/>
      <c r="AW544" s="1070">
        <f t="shared" si="118"/>
        <v>0</v>
      </c>
      <c r="AX544" s="1070">
        <f t="shared" si="119"/>
        <v>0</v>
      </c>
      <c r="AY544" s="1071"/>
      <c r="AZ544" s="1071"/>
      <c r="BA544" s="1071">
        <f t="shared" si="120"/>
        <v>0</v>
      </c>
      <c r="BB544" s="1071">
        <f t="shared" si="121"/>
        <v>0</v>
      </c>
      <c r="BC544" s="1072"/>
      <c r="BD544" s="1072"/>
      <c r="BE544" s="1072"/>
      <c r="BF544" s="1072"/>
    </row>
    <row r="545" spans="2:58" ht="15.75" customHeight="1" x14ac:dyDescent="0.25">
      <c r="B545" s="1052"/>
      <c r="C545" s="1052"/>
      <c r="D545" s="1053"/>
      <c r="E545" s="1054"/>
      <c r="F545" s="1055"/>
      <c r="G545" s="1055"/>
      <c r="H545" s="1057"/>
      <c r="I545" s="1058"/>
      <c r="J545" s="1059"/>
      <c r="K545" s="1060"/>
      <c r="L545" s="1060"/>
      <c r="M545" s="1061">
        <f t="shared" si="106"/>
        <v>0</v>
      </c>
      <c r="N545" s="1060">
        <f t="shared" si="107"/>
        <v>0</v>
      </c>
      <c r="O545" s="1063"/>
      <c r="P545" s="1063"/>
      <c r="Q545" s="1063">
        <f t="shared" si="108"/>
        <v>0</v>
      </c>
      <c r="R545" s="1063">
        <f t="shared" si="109"/>
        <v>0</v>
      </c>
      <c r="S545" s="1064"/>
      <c r="T545" s="1064"/>
      <c r="U545" s="1064">
        <f t="shared" si="110"/>
        <v>0</v>
      </c>
      <c r="V545" s="1064">
        <f t="shared" si="111"/>
        <v>0</v>
      </c>
      <c r="W545" s="1065"/>
      <c r="X545" s="1065"/>
      <c r="Y545" s="1065">
        <f t="shared" si="112"/>
        <v>0</v>
      </c>
      <c r="Z545" s="1065">
        <f t="shared" si="113"/>
        <v>0</v>
      </c>
      <c r="AA545" s="1066"/>
      <c r="AB545" s="1066"/>
      <c r="AC545" s="1066">
        <f t="shared" si="114"/>
        <v>-45</v>
      </c>
      <c r="AD545" s="1066">
        <f t="shared" si="115"/>
        <v>-900</v>
      </c>
      <c r="AE545" s="1067"/>
      <c r="AF545" s="1067"/>
      <c r="AG545" s="1067">
        <v>31</v>
      </c>
      <c r="AH545" s="1067">
        <f t="shared" si="103"/>
        <v>620</v>
      </c>
      <c r="AI545" s="1068"/>
      <c r="AJ545" s="1068"/>
      <c r="AK545" s="1068">
        <v>31</v>
      </c>
      <c r="AL545" s="1068">
        <f t="shared" si="104"/>
        <v>620</v>
      </c>
      <c r="AM545" s="1069"/>
      <c r="AN545" s="1069"/>
      <c r="AO545" s="1069">
        <v>28</v>
      </c>
      <c r="AP545" s="1069">
        <f t="shared" si="105"/>
        <v>560</v>
      </c>
      <c r="AQ545" s="1064"/>
      <c r="AR545" s="1064"/>
      <c r="AS545" s="1064">
        <f t="shared" si="116"/>
        <v>-45</v>
      </c>
      <c r="AT545" s="1064">
        <f t="shared" si="117"/>
        <v>-900</v>
      </c>
      <c r="AU545" s="1070"/>
      <c r="AV545" s="1070"/>
      <c r="AW545" s="1070">
        <f t="shared" si="118"/>
        <v>0</v>
      </c>
      <c r="AX545" s="1070">
        <f t="shared" si="119"/>
        <v>0</v>
      </c>
      <c r="AY545" s="1071"/>
      <c r="AZ545" s="1071"/>
      <c r="BA545" s="1071">
        <f t="shared" si="120"/>
        <v>0</v>
      </c>
      <c r="BB545" s="1071">
        <f t="shared" si="121"/>
        <v>0</v>
      </c>
      <c r="BC545" s="1072"/>
      <c r="BD545" s="1072"/>
      <c r="BE545" s="1072"/>
      <c r="BF545" s="1072"/>
    </row>
    <row r="546" spans="2:58" ht="15.75" customHeight="1" x14ac:dyDescent="0.25">
      <c r="B546" s="1076"/>
      <c r="C546" s="1076"/>
      <c r="D546" s="1053"/>
      <c r="E546" s="1054"/>
      <c r="F546" s="1055"/>
      <c r="G546" s="1055"/>
      <c r="H546" s="1057"/>
      <c r="I546" s="1058"/>
      <c r="J546" s="1059"/>
      <c r="K546" s="1060"/>
      <c r="L546" s="1060"/>
      <c r="M546" s="1061">
        <f t="shared" si="106"/>
        <v>0</v>
      </c>
      <c r="N546" s="1060">
        <f t="shared" si="107"/>
        <v>0</v>
      </c>
      <c r="O546" s="1063"/>
      <c r="P546" s="1063"/>
      <c r="Q546" s="1063">
        <f t="shared" si="108"/>
        <v>0</v>
      </c>
      <c r="R546" s="1063">
        <f t="shared" si="109"/>
        <v>0</v>
      </c>
      <c r="S546" s="1064"/>
      <c r="T546" s="1064"/>
      <c r="U546" s="1064">
        <f t="shared" si="110"/>
        <v>0</v>
      </c>
      <c r="V546" s="1064">
        <f t="shared" si="111"/>
        <v>0</v>
      </c>
      <c r="W546" s="1065"/>
      <c r="X546" s="1065"/>
      <c r="Y546" s="1065">
        <f t="shared" si="112"/>
        <v>0</v>
      </c>
      <c r="Z546" s="1065">
        <f t="shared" si="113"/>
        <v>0</v>
      </c>
      <c r="AA546" s="1066"/>
      <c r="AB546" s="1066"/>
      <c r="AC546" s="1066">
        <f t="shared" si="114"/>
        <v>-45</v>
      </c>
      <c r="AD546" s="1066">
        <f t="shared" si="115"/>
        <v>-900</v>
      </c>
      <c r="AE546" s="1067"/>
      <c r="AF546" s="1067"/>
      <c r="AG546" s="1067">
        <v>31</v>
      </c>
      <c r="AH546" s="1067">
        <f t="shared" si="103"/>
        <v>620</v>
      </c>
      <c r="AI546" s="1068"/>
      <c r="AJ546" s="1068"/>
      <c r="AK546" s="1068">
        <v>31</v>
      </c>
      <c r="AL546" s="1068">
        <f t="shared" si="104"/>
        <v>620</v>
      </c>
      <c r="AM546" s="1069"/>
      <c r="AN546" s="1069"/>
      <c r="AO546" s="1069">
        <v>28</v>
      </c>
      <c r="AP546" s="1069">
        <f t="shared" si="105"/>
        <v>560</v>
      </c>
      <c r="AQ546" s="1064"/>
      <c r="AR546" s="1064"/>
      <c r="AS546" s="1064">
        <f t="shared" si="116"/>
        <v>-45</v>
      </c>
      <c r="AT546" s="1064">
        <f t="shared" si="117"/>
        <v>-900</v>
      </c>
      <c r="AU546" s="1070"/>
      <c r="AV546" s="1070"/>
      <c r="AW546" s="1070">
        <f t="shared" si="118"/>
        <v>0</v>
      </c>
      <c r="AX546" s="1070">
        <f t="shared" si="119"/>
        <v>0</v>
      </c>
      <c r="AY546" s="1071"/>
      <c r="AZ546" s="1071"/>
      <c r="BA546" s="1071">
        <f t="shared" si="120"/>
        <v>0</v>
      </c>
      <c r="BB546" s="1071">
        <f t="shared" si="121"/>
        <v>0</v>
      </c>
      <c r="BC546" s="1072"/>
      <c r="BD546" s="1072"/>
      <c r="BE546" s="1072"/>
      <c r="BF546" s="1072"/>
    </row>
    <row r="547" spans="2:58" ht="15.75" customHeight="1" x14ac:dyDescent="0.25">
      <c r="B547" s="1052"/>
      <c r="C547" s="1052"/>
      <c r="D547" s="1053"/>
      <c r="E547" s="1054"/>
      <c r="F547" s="1055"/>
      <c r="G547" s="1055"/>
      <c r="H547" s="1057"/>
      <c r="I547" s="1058"/>
      <c r="J547" s="1059"/>
      <c r="K547" s="1060"/>
      <c r="L547" s="1060"/>
      <c r="M547" s="1061">
        <f t="shared" si="106"/>
        <v>0</v>
      </c>
      <c r="N547" s="1060">
        <f t="shared" si="107"/>
        <v>0</v>
      </c>
      <c r="O547" s="1063"/>
      <c r="P547" s="1063"/>
      <c r="Q547" s="1063">
        <f t="shared" si="108"/>
        <v>0</v>
      </c>
      <c r="R547" s="1063">
        <f t="shared" si="109"/>
        <v>0</v>
      </c>
      <c r="S547" s="1064"/>
      <c r="T547" s="1064"/>
      <c r="U547" s="1064">
        <f t="shared" si="110"/>
        <v>0</v>
      </c>
      <c r="V547" s="1064">
        <f t="shared" si="111"/>
        <v>0</v>
      </c>
      <c r="W547" s="1065"/>
      <c r="X547" s="1065"/>
      <c r="Y547" s="1065">
        <f t="shared" si="112"/>
        <v>0</v>
      </c>
      <c r="Z547" s="1065">
        <f t="shared" si="113"/>
        <v>0</v>
      </c>
      <c r="AA547" s="1066"/>
      <c r="AB547" s="1066"/>
      <c r="AC547" s="1066">
        <f t="shared" si="114"/>
        <v>-45</v>
      </c>
      <c r="AD547" s="1066">
        <f t="shared" si="115"/>
        <v>-900</v>
      </c>
      <c r="AE547" s="1067"/>
      <c r="AF547" s="1067"/>
      <c r="AG547" s="1067">
        <v>31</v>
      </c>
      <c r="AH547" s="1067">
        <f t="shared" si="103"/>
        <v>620</v>
      </c>
      <c r="AI547" s="1068"/>
      <c r="AJ547" s="1068"/>
      <c r="AK547" s="1068">
        <v>31</v>
      </c>
      <c r="AL547" s="1068">
        <f t="shared" si="104"/>
        <v>620</v>
      </c>
      <c r="AM547" s="1069"/>
      <c r="AN547" s="1069"/>
      <c r="AO547" s="1069">
        <v>28</v>
      </c>
      <c r="AP547" s="1069">
        <f t="shared" si="105"/>
        <v>560</v>
      </c>
      <c r="AQ547" s="1064"/>
      <c r="AR547" s="1064"/>
      <c r="AS547" s="1064">
        <f t="shared" si="116"/>
        <v>-45</v>
      </c>
      <c r="AT547" s="1064">
        <f t="shared" si="117"/>
        <v>-900</v>
      </c>
      <c r="AU547" s="1070"/>
      <c r="AV547" s="1070"/>
      <c r="AW547" s="1070">
        <f t="shared" si="118"/>
        <v>0</v>
      </c>
      <c r="AX547" s="1070">
        <f t="shared" si="119"/>
        <v>0</v>
      </c>
      <c r="AY547" s="1071"/>
      <c r="AZ547" s="1071"/>
      <c r="BA547" s="1071">
        <f t="shared" si="120"/>
        <v>0</v>
      </c>
      <c r="BB547" s="1071">
        <f t="shared" si="121"/>
        <v>0</v>
      </c>
      <c r="BC547" s="1072"/>
      <c r="BD547" s="1072"/>
      <c r="BE547" s="1072"/>
      <c r="BF547" s="1072"/>
    </row>
    <row r="548" spans="2:58" ht="15.75" customHeight="1" x14ac:dyDescent="0.25">
      <c r="B548" s="1076"/>
      <c r="C548" s="1076"/>
      <c r="D548" s="1053"/>
      <c r="E548" s="1054"/>
      <c r="F548" s="1055"/>
      <c r="G548" s="1055"/>
      <c r="H548" s="1057"/>
      <c r="I548" s="1058"/>
      <c r="J548" s="1059"/>
      <c r="K548" s="1060"/>
      <c r="L548" s="1060"/>
      <c r="M548" s="1061">
        <f t="shared" si="106"/>
        <v>0</v>
      </c>
      <c r="N548" s="1060">
        <f t="shared" si="107"/>
        <v>0</v>
      </c>
      <c r="O548" s="1063"/>
      <c r="P548" s="1063"/>
      <c r="Q548" s="1063">
        <f t="shared" si="108"/>
        <v>0</v>
      </c>
      <c r="R548" s="1063">
        <f t="shared" si="109"/>
        <v>0</v>
      </c>
      <c r="S548" s="1064"/>
      <c r="T548" s="1064"/>
      <c r="U548" s="1064">
        <f t="shared" si="110"/>
        <v>0</v>
      </c>
      <c r="V548" s="1064">
        <f t="shared" si="111"/>
        <v>0</v>
      </c>
      <c r="W548" s="1065"/>
      <c r="X548" s="1065"/>
      <c r="Y548" s="1065">
        <f t="shared" si="112"/>
        <v>0</v>
      </c>
      <c r="Z548" s="1065">
        <f t="shared" si="113"/>
        <v>0</v>
      </c>
      <c r="AA548" s="1066"/>
      <c r="AB548" s="1066"/>
      <c r="AC548" s="1066">
        <f t="shared" si="114"/>
        <v>-45</v>
      </c>
      <c r="AD548" s="1066">
        <f t="shared" si="115"/>
        <v>-900</v>
      </c>
      <c r="AE548" s="1067"/>
      <c r="AF548" s="1067"/>
      <c r="AG548" s="1067">
        <v>31</v>
      </c>
      <c r="AH548" s="1067">
        <f t="shared" si="103"/>
        <v>620</v>
      </c>
      <c r="AI548" s="1068"/>
      <c r="AJ548" s="1068"/>
      <c r="AK548" s="1068">
        <v>31</v>
      </c>
      <c r="AL548" s="1068">
        <f t="shared" si="104"/>
        <v>620</v>
      </c>
      <c r="AM548" s="1069"/>
      <c r="AN548" s="1069"/>
      <c r="AO548" s="1069">
        <v>28</v>
      </c>
      <c r="AP548" s="1069">
        <f t="shared" si="105"/>
        <v>560</v>
      </c>
      <c r="AQ548" s="1064"/>
      <c r="AR548" s="1064"/>
      <c r="AS548" s="1064">
        <f t="shared" si="116"/>
        <v>-45</v>
      </c>
      <c r="AT548" s="1064">
        <f t="shared" si="117"/>
        <v>-900</v>
      </c>
      <c r="AU548" s="1070"/>
      <c r="AV548" s="1070"/>
      <c r="AW548" s="1070">
        <f t="shared" si="118"/>
        <v>0</v>
      </c>
      <c r="AX548" s="1070">
        <f t="shared" si="119"/>
        <v>0</v>
      </c>
      <c r="AY548" s="1071"/>
      <c r="AZ548" s="1071"/>
      <c r="BA548" s="1071">
        <f t="shared" si="120"/>
        <v>0</v>
      </c>
      <c r="BB548" s="1071">
        <f t="shared" si="121"/>
        <v>0</v>
      </c>
      <c r="BC548" s="1072"/>
      <c r="BD548" s="1072"/>
      <c r="BE548" s="1072"/>
      <c r="BF548" s="1072"/>
    </row>
    <row r="549" spans="2:58" ht="15.75" customHeight="1" x14ac:dyDescent="0.25">
      <c r="C549" s="1090"/>
      <c r="D549" s="1090"/>
      <c r="E549" s="1090"/>
      <c r="F549" s="1090"/>
      <c r="G549" s="1090"/>
      <c r="H549" s="1090"/>
    </row>
    <row r="551" spans="2:58" ht="15.75" customHeight="1" x14ac:dyDescent="0.25">
      <c r="D551" s="1023"/>
    </row>
    <row r="596" spans="2:2" ht="15.75" customHeight="1" x14ac:dyDescent="0.25">
      <c r="B596" s="1091" t="s">
        <v>918</v>
      </c>
    </row>
  </sheetData>
  <sheetProtection algorithmName="SHA-512" hashValue="tP2YNdhTD03WikTsOXatOcrNAN3bWunp5garmiUUXqiX8Ss7rIbtj6dSVy2k4mmRQB+YC5yedLALaKNxz9hlxg==" saltValue="Sjf2jC/idO7tH51ttA/6hA==" spinCount="100000" sheet="1" objects="1" scenarios="1"/>
  <mergeCells count="12">
    <mergeCell ref="K6:N6"/>
    <mergeCell ref="O6:R6"/>
    <mergeCell ref="S6:V6"/>
    <mergeCell ref="AY6:BB6"/>
    <mergeCell ref="BC6:BF6"/>
    <mergeCell ref="AU6:AX6"/>
    <mergeCell ref="W6:Z6"/>
    <mergeCell ref="AA6:AD6"/>
    <mergeCell ref="AE6:AH6"/>
    <mergeCell ref="AQ6:AT6"/>
    <mergeCell ref="AI6:AL6"/>
    <mergeCell ref="AM6:AP6"/>
  </mergeCells>
  <pageMargins left="0.7" right="0.7" top="0.75" bottom="0.75" header="0.3" footer="0.3"/>
  <pageSetup paperSize="9" orientation="portrait" horizontalDpi="300" verticalDpi="300"/>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7">
    <tabColor theme="0" tint="-0.249977111117893"/>
  </sheetPr>
  <dimension ref="A1:BG415"/>
  <sheetViews>
    <sheetView topLeftCell="A7" workbookViewId="0">
      <selection activeCell="A18" sqref="A18"/>
    </sheetView>
  </sheetViews>
  <sheetFormatPr defaultColWidth="9.140625" defaultRowHeight="15" x14ac:dyDescent="0.25"/>
  <cols>
    <col min="1" max="1" width="43.7109375" style="75" customWidth="1"/>
    <col min="2" max="2" width="22.5703125" style="75" customWidth="1"/>
    <col min="3" max="3" width="27.28515625" style="75" customWidth="1"/>
    <col min="4" max="4" width="9.140625" style="75" customWidth="1"/>
    <col min="5" max="5" width="7.5703125" style="75" customWidth="1"/>
    <col min="6" max="6" width="4.140625" style="75" customWidth="1"/>
    <col min="7" max="8" width="7.5703125" style="75" customWidth="1"/>
    <col min="9" max="9" width="9.140625" style="75"/>
    <col min="10" max="10" width="11" style="75" customWidth="1"/>
    <col min="11" max="16" width="9.140625" style="75"/>
    <col min="17" max="17" width="17.28515625" style="75" customWidth="1"/>
    <col min="18" max="18" width="9.140625" style="75"/>
    <col min="19" max="19" width="9.5703125" style="75" bestFit="1" customWidth="1"/>
    <col min="20" max="20" width="9.140625" style="75"/>
    <col min="21" max="21" width="7.28515625" style="75" customWidth="1"/>
    <col min="22" max="27" width="9.140625" style="75"/>
    <col min="28" max="28" width="8.85546875" style="75" customWidth="1"/>
    <col min="29" max="34" width="9.140625" style="75"/>
    <col min="35" max="35" width="11.5703125" style="75" bestFit="1" customWidth="1"/>
    <col min="36" max="41" width="9.140625" style="75"/>
    <col min="42" max="42" width="7" style="75" customWidth="1"/>
    <col min="43" max="48" width="9.140625" style="75"/>
    <col min="49" max="49" width="8" style="75" customWidth="1"/>
    <col min="50" max="16384" width="9.140625" style="75"/>
  </cols>
  <sheetData>
    <row r="1" spans="1:59" ht="62.25" customHeight="1" x14ac:dyDescent="0.45">
      <c r="A1" s="1762" t="s">
        <v>1240</v>
      </c>
      <c r="B1" s="1762"/>
      <c r="C1" s="1762"/>
      <c r="D1" s="1762"/>
      <c r="E1" s="1762"/>
      <c r="F1" s="1762"/>
      <c r="G1" s="1762"/>
      <c r="H1" s="1762"/>
      <c r="I1" s="1762"/>
      <c r="J1" s="1762"/>
      <c r="K1" s="1762"/>
      <c r="L1" s="1762"/>
      <c r="M1" s="1762"/>
      <c r="N1" s="1762"/>
      <c r="O1" s="1762"/>
      <c r="P1" s="1762"/>
      <c r="Q1" s="1762"/>
      <c r="R1" s="1762"/>
      <c r="S1" s="1762"/>
      <c r="T1" s="1762"/>
      <c r="U1" s="1762"/>
      <c r="V1" s="74"/>
      <c r="W1" s="74"/>
      <c r="X1" s="74"/>
      <c r="Y1" s="74"/>
      <c r="Z1" s="74"/>
      <c r="AA1" s="74"/>
      <c r="AB1" s="74"/>
      <c r="AC1" s="74"/>
      <c r="AD1" s="74"/>
      <c r="AE1" s="74"/>
      <c r="AF1" s="74"/>
      <c r="AG1" s="74"/>
      <c r="AH1" s="74"/>
      <c r="AI1" s="74"/>
      <c r="AJ1" s="74"/>
      <c r="AK1" s="74"/>
      <c r="AL1" s="74"/>
      <c r="AM1" s="74"/>
      <c r="AN1" s="74"/>
      <c r="AO1" s="74"/>
      <c r="AP1" s="74"/>
      <c r="AQ1" s="74"/>
      <c r="AR1" s="74"/>
      <c r="AS1" s="74"/>
      <c r="AT1" s="74"/>
      <c r="AU1" s="74"/>
      <c r="AV1" s="74"/>
      <c r="AW1" s="74"/>
      <c r="AX1" s="74"/>
      <c r="AY1" s="74"/>
      <c r="AZ1" s="74"/>
      <c r="BA1" s="74"/>
      <c r="BB1" s="74"/>
      <c r="BC1" s="74"/>
      <c r="BD1" s="74"/>
      <c r="BE1" s="74"/>
      <c r="BF1" s="74"/>
      <c r="BG1" s="74"/>
    </row>
    <row r="2" spans="1:59" ht="15.75" thickBot="1" x14ac:dyDescent="0.3">
      <c r="A2" s="1092"/>
      <c r="B2" s="95" t="s">
        <v>1538</v>
      </c>
      <c r="C2" s="1093" t="e">
        <f>'Ввод исходных данных'!$D$83-'Расчет базового уровня'!$D$145</f>
        <v>#N/A</v>
      </c>
      <c r="D2" s="74"/>
      <c r="E2" s="74"/>
      <c r="F2" s="74"/>
      <c r="G2" s="74"/>
      <c r="H2" s="74"/>
      <c r="I2" s="74"/>
      <c r="J2" s="74"/>
      <c r="K2" s="74"/>
      <c r="L2" s="74"/>
      <c r="M2" s="74"/>
      <c r="N2" s="74"/>
      <c r="O2" s="74"/>
      <c r="P2" s="74"/>
      <c r="Q2" s="74"/>
      <c r="R2" s="74"/>
      <c r="S2" s="74"/>
      <c r="T2" s="74"/>
      <c r="U2" s="74"/>
      <c r="V2" s="74"/>
    </row>
    <row r="3" spans="1:59" ht="37.5" customHeight="1" x14ac:dyDescent="0.25">
      <c r="A3" s="1861" t="s">
        <v>757</v>
      </c>
      <c r="B3" s="1863" t="s">
        <v>1380</v>
      </c>
      <c r="C3" s="1865" t="s">
        <v>1370</v>
      </c>
      <c r="D3" s="1866"/>
      <c r="E3" s="1866"/>
      <c r="F3" s="1866"/>
      <c r="G3" s="1866"/>
      <c r="H3" s="1867"/>
      <c r="I3" s="1868" t="s">
        <v>1371</v>
      </c>
      <c r="J3" s="1868"/>
      <c r="K3" s="1869"/>
      <c r="L3" s="74"/>
      <c r="M3" s="74"/>
      <c r="N3" s="74"/>
      <c r="O3" s="74"/>
      <c r="P3" s="74"/>
      <c r="Q3" s="74"/>
      <c r="R3" s="74"/>
      <c r="S3" s="74"/>
      <c r="T3" s="74"/>
      <c r="U3" s="74"/>
      <c r="V3" s="74"/>
    </row>
    <row r="4" spans="1:59" ht="45.95" customHeight="1" x14ac:dyDescent="0.25">
      <c r="A4" s="1862"/>
      <c r="B4" s="1864"/>
      <c r="C4" s="1094" t="s">
        <v>1372</v>
      </c>
      <c r="D4" s="1095" t="s">
        <v>1373</v>
      </c>
      <c r="E4" s="1095" t="s">
        <v>1374</v>
      </c>
      <c r="F4" s="1096" t="s">
        <v>1375</v>
      </c>
      <c r="G4" s="1096" t="s">
        <v>1376</v>
      </c>
      <c r="H4" s="1096" t="s">
        <v>1377</v>
      </c>
      <c r="I4" s="1095" t="s">
        <v>1378</v>
      </c>
      <c r="J4" s="1095" t="s">
        <v>1509</v>
      </c>
      <c r="K4" s="1097" t="s">
        <v>1379</v>
      </c>
      <c r="L4" s="74"/>
      <c r="M4" s="74"/>
      <c r="N4" s="74"/>
      <c r="O4" s="74"/>
      <c r="P4" s="74"/>
      <c r="Q4" s="74"/>
      <c r="R4" s="74"/>
      <c r="S4" s="74"/>
      <c r="T4" s="74"/>
      <c r="U4" s="74"/>
      <c r="V4" s="74"/>
      <c r="W4" s="84"/>
    </row>
    <row r="5" spans="1:59" s="1106" customFormat="1" ht="27" customHeight="1" x14ac:dyDescent="0.25">
      <c r="A5" s="1098" t="s">
        <v>1438</v>
      </c>
      <c r="B5" s="1099" t="str">
        <f>CONCATENATE(A5,C5)</f>
        <v>II-18керамзитобетон (блоки)</v>
      </c>
      <c r="C5" s="951" t="s">
        <v>1165</v>
      </c>
      <c r="D5" s="1100"/>
      <c r="E5" s="1100"/>
      <c r="F5" s="1101">
        <v>0.4</v>
      </c>
      <c r="G5" s="1100"/>
      <c r="H5" s="1100"/>
      <c r="I5" s="1102">
        <f>0.4/AVERAGE(H262:H269)+1/23+1/8.7</f>
        <v>0.94081687762475719</v>
      </c>
      <c r="J5" s="1103" t="e">
        <f>1*('Ввод исходных данных'!$D$83-'Расчет базового уровня'!$D$145)/(6*8.7)</f>
        <v>#N/A</v>
      </c>
      <c r="K5" s="1104" t="e">
        <f>MAX(I5:J5)</f>
        <v>#N/A</v>
      </c>
      <c r="L5" s="74"/>
      <c r="M5" s="74"/>
      <c r="N5" s="74"/>
      <c r="O5" s="74"/>
      <c r="P5" s="74"/>
      <c r="Q5" s="74"/>
      <c r="R5" s="74"/>
      <c r="S5" s="74"/>
      <c r="T5" s="74"/>
      <c r="U5" s="74"/>
      <c r="V5" s="74"/>
      <c r="W5" s="1105"/>
    </row>
    <row r="6" spans="1:59" s="1106" customFormat="1" ht="17.100000000000001" customHeight="1" x14ac:dyDescent="0.25">
      <c r="A6" s="1098" t="s">
        <v>1438</v>
      </c>
      <c r="B6" s="1099" t="str">
        <f t="shared" ref="B6:B33" si="0">CONCATENATE(A6,C6)</f>
        <v>II-18кирпич</v>
      </c>
      <c r="C6" s="951" t="s">
        <v>926</v>
      </c>
      <c r="D6" s="1100"/>
      <c r="E6" s="1100"/>
      <c r="F6" s="1101">
        <v>0.51</v>
      </c>
      <c r="G6" s="1100"/>
      <c r="H6" s="1100"/>
      <c r="I6" s="1102">
        <f>F6/H327+1/23+1/8.7</f>
        <v>0.88699221817662599</v>
      </c>
      <c r="J6" s="1103" t="e">
        <f>1*('Ввод исходных данных'!$D$83-'Расчет базового уровня'!$D$145)/(6*8.7)</f>
        <v>#N/A</v>
      </c>
      <c r="K6" s="1104" t="e">
        <f t="shared" ref="K6:K33" si="1">MAX(I6:J6)</f>
        <v>#N/A</v>
      </c>
      <c r="L6" s="74"/>
      <c r="M6" s="74"/>
      <c r="N6" s="74"/>
      <c r="O6" s="74"/>
      <c r="P6" s="74"/>
      <c r="Q6" s="74"/>
      <c r="R6" s="74"/>
      <c r="S6" s="74"/>
      <c r="T6" s="74"/>
      <c r="U6" s="74"/>
      <c r="V6" s="74"/>
      <c r="W6" s="1105"/>
    </row>
    <row r="7" spans="1:59" s="1106" customFormat="1" ht="17.100000000000001" customHeight="1" x14ac:dyDescent="0.25">
      <c r="A7" s="1098" t="s">
        <v>1440</v>
      </c>
      <c r="B7" s="1099" t="str">
        <f t="shared" si="0"/>
        <v>II-49железобетон</v>
      </c>
      <c r="C7" s="947" t="s">
        <v>1163</v>
      </c>
      <c r="D7" s="1107"/>
      <c r="E7" s="1107">
        <v>0.3</v>
      </c>
      <c r="F7" s="1101">
        <v>0.25</v>
      </c>
      <c r="G7" s="1107">
        <v>0.05</v>
      </c>
      <c r="H7" s="1107"/>
      <c r="I7" s="1108">
        <f>0.25/H349+0.05/H125+1/23+1/8.7</f>
        <v>1.0622198092130406</v>
      </c>
      <c r="J7" s="1103" t="e">
        <f>1*('Ввод исходных данных'!$D$83-'Расчет базового уровня'!$D$145)/(6*8.7)</f>
        <v>#N/A</v>
      </c>
      <c r="K7" s="1104" t="e">
        <f t="shared" si="1"/>
        <v>#N/A</v>
      </c>
      <c r="L7" s="74"/>
      <c r="M7" s="74"/>
      <c r="N7" s="74"/>
      <c r="O7" s="74"/>
      <c r="P7" s="74"/>
      <c r="Q7" s="74"/>
      <c r="R7" s="74"/>
      <c r="S7" s="74"/>
      <c r="T7" s="74"/>
      <c r="U7" s="74"/>
      <c r="V7" s="74"/>
      <c r="W7" s="1105"/>
    </row>
    <row r="8" spans="1:59" s="1106" customFormat="1" ht="17.100000000000001" customHeight="1" x14ac:dyDescent="0.25">
      <c r="A8" s="1098" t="s">
        <v>1440</v>
      </c>
      <c r="B8" s="1099" t="str">
        <f t="shared" si="0"/>
        <v>II-49керамзитобетон</v>
      </c>
      <c r="C8" s="947" t="s">
        <v>1164</v>
      </c>
      <c r="D8" s="1107"/>
      <c r="E8" s="1107">
        <v>0.34</v>
      </c>
      <c r="F8" s="1101"/>
      <c r="G8" s="1107"/>
      <c r="H8" s="1107"/>
      <c r="I8" s="1108">
        <f>0.34/AVERAGE($H$262:$H$269)+1/23+1/8.7</f>
        <v>0.82345746442182322</v>
      </c>
      <c r="J8" s="1103" t="e">
        <f>1*('Ввод исходных данных'!$D$83-'Расчет базового уровня'!$D$145)/(6*8.7)</f>
        <v>#N/A</v>
      </c>
      <c r="K8" s="1104" t="e">
        <f t="shared" si="1"/>
        <v>#N/A</v>
      </c>
      <c r="L8" s="74"/>
      <c r="M8" s="74"/>
      <c r="N8" s="74"/>
      <c r="O8" s="74"/>
      <c r="P8" s="74"/>
      <c r="Q8" s="74"/>
      <c r="R8" s="74"/>
      <c r="S8" s="74"/>
      <c r="T8" s="74"/>
      <c r="U8" s="74"/>
      <c r="V8" s="74"/>
      <c r="W8" s="1105"/>
    </row>
    <row r="9" spans="1:59" s="1106" customFormat="1" ht="17.100000000000001" customHeight="1" x14ac:dyDescent="0.25">
      <c r="A9" s="1098" t="s">
        <v>1489</v>
      </c>
      <c r="B9" s="1099" t="str">
        <f t="shared" si="0"/>
        <v>II-68 (-01, -02) 1 или 2 секциижелезобетонная панель</v>
      </c>
      <c r="C9" s="947" t="s">
        <v>1442</v>
      </c>
      <c r="D9" s="1107"/>
      <c r="E9" s="1107"/>
      <c r="F9" s="1101"/>
      <c r="G9" s="1107"/>
      <c r="H9" s="1107"/>
      <c r="I9" s="1108">
        <f>(0.25/$H$349+0.05/$H$125+1/23+1/8.7)*0.8</f>
        <v>0.84977584737043255</v>
      </c>
      <c r="J9" s="1103" t="e">
        <f>1*('Ввод исходных данных'!$D$83-'Расчет базового уровня'!$D$145)/(6*8.7)</f>
        <v>#N/A</v>
      </c>
      <c r="K9" s="1104" t="e">
        <f t="shared" si="1"/>
        <v>#N/A</v>
      </c>
      <c r="L9" s="74"/>
      <c r="M9" s="74"/>
      <c r="N9" s="74"/>
      <c r="O9" s="74"/>
      <c r="P9" s="74"/>
      <c r="Q9" s="74"/>
      <c r="R9" s="74"/>
      <c r="S9" s="74"/>
      <c r="T9" s="74"/>
      <c r="U9" s="74"/>
      <c r="V9" s="74"/>
      <c r="W9" s="1105"/>
    </row>
    <row r="10" spans="1:59" s="1106" customFormat="1" ht="17.100000000000001" customHeight="1" x14ac:dyDescent="0.25">
      <c r="A10" s="1098" t="s">
        <v>1629</v>
      </c>
      <c r="B10" s="1099" t="str">
        <f t="shared" si="0"/>
        <v>121 (-041,-042,-043) (9-10 эт)железобетонная панель</v>
      </c>
      <c r="C10" s="947" t="s">
        <v>1442</v>
      </c>
      <c r="D10" s="1107"/>
      <c r="E10" s="1107"/>
      <c r="F10" s="1101"/>
      <c r="G10" s="1107"/>
      <c r="H10" s="1107"/>
      <c r="I10" s="1108">
        <f>(0.25/$H$349+0.05/$H$125+1/23+1/8.7)*0.8</f>
        <v>0.84977584737043255</v>
      </c>
      <c r="J10" s="1103" t="e">
        <f>IF('Ввод исходных данных'!$D$13=списки!$Y$49,1*('Ввод исходных данных'!$D$83-'Расчет базового уровня'!$D$145)/(6*8.7),IF('Ввод исходных данных'!$D$13=списки!$Y$50,'Серии теплотехника'!$B$412,'Серии теплотехника'!$C$412))</f>
        <v>#N/A</v>
      </c>
      <c r="K10" s="1104" t="e">
        <f t="shared" si="1"/>
        <v>#N/A</v>
      </c>
      <c r="L10" s="74"/>
      <c r="M10" s="74"/>
      <c r="N10" s="74"/>
      <c r="O10" s="74"/>
      <c r="P10" s="74"/>
      <c r="Q10" s="74"/>
      <c r="R10" s="74"/>
      <c r="S10" s="74"/>
      <c r="T10" s="74"/>
      <c r="U10" s="74"/>
      <c r="V10" s="74"/>
      <c r="W10" s="1105"/>
    </row>
    <row r="11" spans="1:59" s="1106" customFormat="1" ht="17.100000000000001" customHeight="1" x14ac:dyDescent="0.25">
      <c r="A11" s="1098" t="s">
        <v>1630</v>
      </c>
      <c r="B11" s="1099" t="str">
        <f t="shared" si="0"/>
        <v>121 (-014,-016,-017) (5,9,10 эт)железобетонная панель</v>
      </c>
      <c r="C11" s="947" t="s">
        <v>1442</v>
      </c>
      <c r="D11" s="1107"/>
      <c r="E11" s="1107"/>
      <c r="F11" s="1101"/>
      <c r="G11" s="1107"/>
      <c r="H11" s="1107"/>
      <c r="I11" s="1108">
        <f>(0.25/$H$349+0.05/$H$125+1/23+1/8.7)*0.8</f>
        <v>0.84977584737043255</v>
      </c>
      <c r="J11" s="1103" t="e">
        <f>IF('Ввод исходных данных'!$D$13=списки!$Y$49,1*('Ввод исходных данных'!$D$83-'Расчет базового уровня'!$D$145)/(6*8.7),IF('Ввод исходных данных'!$D$13=списки!$Y$50,'Серии теплотехника'!$B$412,'Серии теплотехника'!$C$412))</f>
        <v>#N/A</v>
      </c>
      <c r="K11" s="1104" t="e">
        <f t="shared" si="1"/>
        <v>#N/A</v>
      </c>
      <c r="L11" s="74"/>
      <c r="M11" s="74"/>
      <c r="N11" s="74"/>
      <c r="O11" s="74"/>
      <c r="P11" s="74"/>
      <c r="Q11" s="74"/>
      <c r="R11" s="74"/>
      <c r="S11" s="74"/>
      <c r="T11" s="74"/>
      <c r="U11" s="74"/>
      <c r="V11" s="74"/>
      <c r="W11" s="1105"/>
    </row>
    <row r="12" spans="1:59" s="1106" customFormat="1" ht="17.100000000000001" customHeight="1" x14ac:dyDescent="0.25">
      <c r="A12" s="977" t="s">
        <v>1437</v>
      </c>
      <c r="B12" s="1099" t="str">
        <f t="shared" si="0"/>
        <v>I-125железобетонная панель</v>
      </c>
      <c r="C12" s="947" t="s">
        <v>1442</v>
      </c>
      <c r="D12" s="1107"/>
      <c r="E12" s="1107"/>
      <c r="F12" s="1101"/>
      <c r="G12" s="1107"/>
      <c r="H12" s="1107"/>
      <c r="I12" s="1108">
        <f>(0.25/$H$349+0.05/$H$125+1/23+1/8.7)*0.8</f>
        <v>0.84977584737043255</v>
      </c>
      <c r="J12" s="1103" t="e">
        <f>1*('Ввод исходных данных'!$D$83-'Расчет базового уровня'!$D$145)/(6*8.7)</f>
        <v>#N/A</v>
      </c>
      <c r="K12" s="1104" t="e">
        <f t="shared" si="1"/>
        <v>#N/A</v>
      </c>
      <c r="L12" s="74"/>
      <c r="M12" s="74"/>
      <c r="N12" s="74"/>
      <c r="O12" s="74"/>
      <c r="P12" s="74"/>
      <c r="Q12" s="74"/>
      <c r="R12" s="74"/>
      <c r="S12" s="74"/>
      <c r="T12" s="74"/>
      <c r="U12" s="74"/>
      <c r="V12" s="74"/>
      <c r="W12" s="1105"/>
    </row>
    <row r="13" spans="1:59" s="1106" customFormat="1" ht="17.100000000000001" customHeight="1" x14ac:dyDescent="0.25">
      <c r="A13" s="977" t="s">
        <v>1432</v>
      </c>
      <c r="B13" s="1099" t="str">
        <f t="shared" si="0"/>
        <v>I-335керамзитобетонная 1-слойная панель</v>
      </c>
      <c r="C13" s="1109" t="s">
        <v>927</v>
      </c>
      <c r="D13" s="1107"/>
      <c r="E13" s="1107"/>
      <c r="F13" s="1101"/>
      <c r="G13" s="1107"/>
      <c r="H13" s="1107"/>
      <c r="I13" s="1108">
        <f>(0.4/AVERAGE($H$262:$H$269)+1/23+1/8.7)*0.8</f>
        <v>0.75265350209980575</v>
      </c>
      <c r="J13" s="1103" t="e">
        <f>1*('Ввод исходных данных'!$D$83-'Расчет базового уровня'!$D$145)/(6*8.7)</f>
        <v>#N/A</v>
      </c>
      <c r="K13" s="1104" t="e">
        <f t="shared" si="1"/>
        <v>#N/A</v>
      </c>
      <c r="L13" s="74"/>
      <c r="M13" s="74"/>
      <c r="N13" s="74"/>
      <c r="O13" s="74"/>
      <c r="P13" s="74"/>
      <c r="Q13" s="74"/>
      <c r="R13" s="74"/>
      <c r="S13" s="74"/>
      <c r="T13" s="74"/>
      <c r="U13" s="74"/>
      <c r="V13" s="74"/>
      <c r="W13" s="1105"/>
    </row>
    <row r="14" spans="1:59" s="1106" customFormat="1" ht="17.100000000000001" customHeight="1" x14ac:dyDescent="0.25">
      <c r="A14" s="977" t="s">
        <v>1631</v>
      </c>
      <c r="B14" s="1099" t="str">
        <f t="shared" si="0"/>
        <v>I-447 (4,5 эт)кирпич</v>
      </c>
      <c r="C14" s="947" t="s">
        <v>926</v>
      </c>
      <c r="D14" s="1107"/>
      <c r="E14" s="1107"/>
      <c r="F14" s="1101"/>
      <c r="G14" s="1107"/>
      <c r="H14" s="1107"/>
      <c r="I14" s="1108">
        <f>0.4/H327+1/23+1/8.7</f>
        <v>0.72984936103376885</v>
      </c>
      <c r="J14" s="1103" t="e">
        <f>1*('Ввод исходных данных'!$D$83-'Расчет базового уровня'!$D$145)/(6*8.7)</f>
        <v>#N/A</v>
      </c>
      <c r="K14" s="1104" t="e">
        <f t="shared" si="1"/>
        <v>#N/A</v>
      </c>
      <c r="L14" s="74"/>
      <c r="M14" s="74"/>
      <c r="N14" s="74"/>
      <c r="O14" s="74"/>
      <c r="P14" s="74"/>
      <c r="Q14" s="74"/>
      <c r="R14" s="74"/>
      <c r="S14" s="74"/>
      <c r="T14" s="74"/>
      <c r="U14" s="74"/>
      <c r="V14" s="74"/>
      <c r="W14" s="1105"/>
    </row>
    <row r="15" spans="1:59" s="1106" customFormat="1" ht="17.100000000000001" customHeight="1" x14ac:dyDescent="0.25">
      <c r="A15" s="977" t="s">
        <v>1441</v>
      </c>
      <c r="B15" s="1099" t="str">
        <f t="shared" ref="B15" si="2">CONCATENATE(A15,C15)</f>
        <v>I-447С-26 (башня)кирпич</v>
      </c>
      <c r="C15" s="947" t="s">
        <v>926</v>
      </c>
      <c r="D15" s="1107"/>
      <c r="E15" s="1107"/>
      <c r="F15" s="1101"/>
      <c r="G15" s="1107"/>
      <c r="H15" s="1107"/>
      <c r="I15" s="1108">
        <f>0.4/H327+1/23+1/8.7</f>
        <v>0.72984936103376885</v>
      </c>
      <c r="J15" s="1103" t="e">
        <f>1*('Ввод исходных данных'!$D$83-'Расчет базового уровня'!$D$145)/(6*8.7)</f>
        <v>#N/A</v>
      </c>
      <c r="K15" s="1104" t="e">
        <f t="shared" ref="K15" si="3">MAX(I15:J15)</f>
        <v>#N/A</v>
      </c>
      <c r="L15" s="74"/>
      <c r="M15" s="74"/>
      <c r="N15" s="74"/>
      <c r="O15" s="74"/>
      <c r="P15" s="74"/>
      <c r="Q15" s="74"/>
      <c r="R15" s="74"/>
      <c r="S15" s="74"/>
      <c r="T15" s="74"/>
      <c r="U15" s="74"/>
      <c r="V15" s="74"/>
      <c r="W15" s="1105"/>
    </row>
    <row r="16" spans="1:59" s="1106" customFormat="1" ht="17.100000000000001" customHeight="1" x14ac:dyDescent="0.25">
      <c r="A16" s="977" t="s">
        <v>1940</v>
      </c>
      <c r="B16" s="1099" t="str">
        <f t="shared" si="0"/>
        <v>I-464А (3,4,5 эт) ж/б 3-х слойная панель с утеплителем</v>
      </c>
      <c r="C16" s="1109" t="s">
        <v>928</v>
      </c>
      <c r="D16" s="1107"/>
      <c r="E16" s="1107">
        <v>0.3</v>
      </c>
      <c r="F16" s="1101">
        <v>0.25</v>
      </c>
      <c r="G16" s="1107">
        <v>0.05</v>
      </c>
      <c r="H16" s="1107"/>
      <c r="I16" s="1108">
        <f>(0.25/$H$349+0.05/$H$125+1/23+1/8.7)*0.8</f>
        <v>0.84977584737043255</v>
      </c>
      <c r="J16" s="1103" t="e">
        <f>1*('Ввод исходных данных'!$D$83-'Расчет базового уровня'!$D$145)/(6*8.7)</f>
        <v>#N/A</v>
      </c>
      <c r="K16" s="1104" t="e">
        <f t="shared" si="1"/>
        <v>#N/A</v>
      </c>
      <c r="L16" s="74"/>
      <c r="M16" s="74"/>
      <c r="N16" s="74"/>
      <c r="O16" s="74"/>
      <c r="P16" s="74"/>
      <c r="Q16" s="74"/>
      <c r="R16" s="74"/>
      <c r="S16" s="74"/>
      <c r="T16" s="74"/>
      <c r="U16" s="74"/>
      <c r="V16" s="74"/>
      <c r="W16" s="1105"/>
    </row>
    <row r="17" spans="1:23" s="1106" customFormat="1" ht="17.100000000000001" customHeight="1" x14ac:dyDescent="0.25">
      <c r="A17" s="977" t="s">
        <v>1941</v>
      </c>
      <c r="B17" s="1099" t="str">
        <f t="shared" si="0"/>
        <v>I-464А17 (5 эт, 60 кв) ж/б 3-х слойная панель с утеплителем</v>
      </c>
      <c r="C17" s="1109" t="s">
        <v>928</v>
      </c>
      <c r="D17" s="1107"/>
      <c r="E17" s="1107">
        <v>0.3</v>
      </c>
      <c r="F17" s="1101">
        <v>0.25</v>
      </c>
      <c r="G17" s="1107">
        <v>0.05</v>
      </c>
      <c r="H17" s="1107"/>
      <c r="I17" s="1108">
        <f>(0.25/$H$349+0.05/$H$125+1/23+1/8.7)*0.8</f>
        <v>0.84977584737043255</v>
      </c>
      <c r="J17" s="1103" t="e">
        <f>1*('Ввод исходных данных'!$D$83-'Расчет базового уровня'!$D$145)/(6*8.7)</f>
        <v>#N/A</v>
      </c>
      <c r="K17" s="1104" t="e">
        <f t="shared" si="1"/>
        <v>#N/A</v>
      </c>
      <c r="L17" s="74"/>
      <c r="M17" s="74"/>
      <c r="N17" s="74"/>
      <c r="O17" s="74"/>
      <c r="P17" s="74"/>
      <c r="Q17" s="74"/>
      <c r="R17" s="74"/>
      <c r="S17" s="74"/>
      <c r="T17" s="74"/>
      <c r="U17" s="74"/>
      <c r="V17" s="74"/>
      <c r="W17" s="1105"/>
    </row>
    <row r="18" spans="1:23" s="1106" customFormat="1" ht="17.100000000000001" customHeight="1" x14ac:dyDescent="0.25">
      <c r="A18" s="977" t="s">
        <v>1490</v>
      </c>
      <c r="B18" s="1099" t="str">
        <f t="shared" ref="B18" si="4">CONCATENATE(A18,C18)</f>
        <v>I-464Д (9эт)-83,-101 ж/б 3-х слойная панель с утеплителем</v>
      </c>
      <c r="C18" s="1109" t="s">
        <v>928</v>
      </c>
      <c r="D18" s="1107"/>
      <c r="E18" s="1107">
        <v>0.3</v>
      </c>
      <c r="F18" s="1101">
        <v>0.25</v>
      </c>
      <c r="G18" s="1107">
        <v>0.05</v>
      </c>
      <c r="H18" s="1107"/>
      <c r="I18" s="1108">
        <f>(0.25/$H$349+0.05/$H$125+1/23+1/8.7)*0.8</f>
        <v>0.84977584737043255</v>
      </c>
      <c r="J18" s="1103" t="e">
        <f>1*('Ввод исходных данных'!$D$83-'Расчет базового уровня'!$D$145)/(6*8.7)</f>
        <v>#N/A</v>
      </c>
      <c r="K18" s="1104" t="e">
        <f t="shared" ref="K18" si="5">MAX(I18:J18)</f>
        <v>#N/A</v>
      </c>
      <c r="L18" s="74"/>
      <c r="M18" s="74"/>
      <c r="N18" s="74"/>
      <c r="O18" s="74"/>
      <c r="P18" s="74"/>
      <c r="Q18" s="74"/>
      <c r="R18" s="74"/>
      <c r="S18" s="74"/>
      <c r="T18" s="74"/>
      <c r="U18" s="74"/>
      <c r="V18" s="74"/>
      <c r="W18" s="1105"/>
    </row>
    <row r="19" spans="1:23" s="1106" customFormat="1" ht="17.100000000000001" customHeight="1" x14ac:dyDescent="0.25">
      <c r="A19" s="977" t="s">
        <v>1433</v>
      </c>
      <c r="B19" s="1099" t="str">
        <f t="shared" si="0"/>
        <v>I-510шлакобетон (блоки)</v>
      </c>
      <c r="C19" s="947" t="s">
        <v>1166</v>
      </c>
      <c r="D19" s="1107"/>
      <c r="E19" s="1107"/>
      <c r="F19" s="1101"/>
      <c r="G19" s="1107"/>
      <c r="H19" s="1107"/>
      <c r="I19" s="1108">
        <f>0.4/AVERAGE(H282:H286)+1/23+1/8.7</f>
        <v>0.89371490725225611</v>
      </c>
      <c r="J19" s="1103" t="e">
        <f>1*('Ввод исходных данных'!$D$83-'Расчет базового уровня'!$D$145)/(6*8.7)</f>
        <v>#N/A</v>
      </c>
      <c r="K19" s="1104" t="e">
        <f t="shared" si="1"/>
        <v>#N/A</v>
      </c>
      <c r="L19" s="74"/>
      <c r="M19" s="74"/>
      <c r="N19" s="74"/>
      <c r="O19" s="74"/>
      <c r="P19" s="74"/>
      <c r="Q19" s="74"/>
      <c r="R19" s="74"/>
      <c r="S19" s="74"/>
      <c r="T19" s="74"/>
      <c r="U19" s="74"/>
      <c r="V19" s="74"/>
      <c r="W19" s="1105"/>
    </row>
    <row r="20" spans="1:23" s="1106" customFormat="1" ht="17.100000000000001" customHeight="1" x14ac:dyDescent="0.25">
      <c r="A20" s="977" t="s">
        <v>1434</v>
      </c>
      <c r="B20" s="1099" t="str">
        <f t="shared" si="0"/>
        <v>I-511кирпич</v>
      </c>
      <c r="C20" s="947" t="s">
        <v>926</v>
      </c>
      <c r="D20" s="1107"/>
      <c r="E20" s="1107">
        <v>0.4</v>
      </c>
      <c r="F20" s="1101"/>
      <c r="G20" s="1107"/>
      <c r="H20" s="1107"/>
      <c r="I20" s="1108">
        <f>0.4/H327+1/23+1/8.7</f>
        <v>0.72984936103376885</v>
      </c>
      <c r="J20" s="1103" t="e">
        <f>1*('Ввод исходных данных'!$D$83-'Расчет базового уровня'!$D$145)/(6*8.7)</f>
        <v>#N/A</v>
      </c>
      <c r="K20" s="1104" t="e">
        <f t="shared" si="1"/>
        <v>#N/A</v>
      </c>
      <c r="L20" s="74"/>
      <c r="M20" s="74"/>
      <c r="N20" s="74"/>
      <c r="O20" s="74"/>
      <c r="P20" s="74"/>
      <c r="Q20" s="74"/>
      <c r="R20" s="74"/>
      <c r="S20" s="74"/>
      <c r="T20" s="74"/>
      <c r="U20" s="74"/>
      <c r="V20" s="74"/>
      <c r="W20" s="1105"/>
    </row>
    <row r="21" spans="1:23" s="1106" customFormat="1" ht="17.100000000000001" customHeight="1" x14ac:dyDescent="0.25">
      <c r="A21" s="977" t="s">
        <v>1435</v>
      </c>
      <c r="B21" s="1099" t="str">
        <f t="shared" si="0"/>
        <v>I-515 (5 эт)керамзитобетонная 1-слойная панель</v>
      </c>
      <c r="C21" s="1109" t="s">
        <v>927</v>
      </c>
      <c r="D21" s="1107"/>
      <c r="E21" s="1107">
        <v>0.35</v>
      </c>
      <c r="F21" s="1101"/>
      <c r="G21" s="1107"/>
      <c r="H21" s="1107"/>
      <c r="I21" s="1108">
        <f>0.4/AVERAGE($H$262:$H$269)+1/23+1/8.7</f>
        <v>0.94081687762475719</v>
      </c>
      <c r="J21" s="1103" t="e">
        <f>1*('Ввод исходных данных'!$D$83-'Расчет базового уровня'!$D$145)/(6*8.7)</f>
        <v>#N/A</v>
      </c>
      <c r="K21" s="1104" t="e">
        <f t="shared" si="1"/>
        <v>#N/A</v>
      </c>
      <c r="L21" s="74"/>
      <c r="M21" s="74"/>
      <c r="N21" s="74"/>
      <c r="O21" s="74"/>
      <c r="P21" s="74"/>
      <c r="Q21" s="74"/>
      <c r="R21" s="74"/>
      <c r="S21" s="74"/>
      <c r="T21" s="74"/>
      <c r="U21" s="74"/>
      <c r="V21" s="74"/>
      <c r="W21" s="1105"/>
    </row>
    <row r="22" spans="1:23" s="1106" customFormat="1" ht="17.100000000000001" customHeight="1" x14ac:dyDescent="0.25">
      <c r="A22" s="977" t="s">
        <v>1436</v>
      </c>
      <c r="B22" s="1099" t="str">
        <f t="shared" si="0"/>
        <v>I-515/9 (9 эт)шлакокерамзитобетонная 1-слойная панель</v>
      </c>
      <c r="C22" s="1109" t="s">
        <v>1384</v>
      </c>
      <c r="D22" s="1107"/>
      <c r="E22" s="1107">
        <v>0.4</v>
      </c>
      <c r="F22" s="1101"/>
      <c r="G22" s="1107"/>
      <c r="H22" s="1107"/>
      <c r="I22" s="1108">
        <f>0.4/AVERAGE($H$262:$H$269)+1/23+1/8.7</f>
        <v>0.94081687762475719</v>
      </c>
      <c r="J22" s="1103" t="e">
        <f>1*('Ввод исходных данных'!$D$83-'Расчет базового уровня'!$D$145)/(6*8.7)</f>
        <v>#N/A</v>
      </c>
      <c r="K22" s="1104" t="e">
        <f t="shared" ref="K22" si="6">MAX(I22:J22)</f>
        <v>#N/A</v>
      </c>
      <c r="L22" s="74"/>
      <c r="M22" s="74"/>
      <c r="N22" s="74"/>
      <c r="O22" s="74"/>
      <c r="P22" s="74"/>
      <c r="Q22" s="74"/>
      <c r="R22" s="74"/>
      <c r="S22" s="74"/>
      <c r="T22" s="74"/>
      <c r="U22" s="74"/>
      <c r="V22" s="74"/>
      <c r="W22" s="1105"/>
    </row>
    <row r="23" spans="1:23" s="1106" customFormat="1" ht="17.100000000000001" customHeight="1" x14ac:dyDescent="0.25">
      <c r="A23" s="977" t="s">
        <v>609</v>
      </c>
      <c r="B23" s="1099" t="str">
        <f t="shared" si="0"/>
        <v>И-209Акерамзитобетон (блоки)</v>
      </c>
      <c r="C23" s="947" t="s">
        <v>1165</v>
      </c>
      <c r="D23" s="1107"/>
      <c r="E23" s="1107"/>
      <c r="F23" s="1101"/>
      <c r="G23" s="1107"/>
      <c r="H23" s="1107"/>
      <c r="I23" s="1108">
        <f>0.4/AVERAGE(H262:H269)+1/23+1/8.7</f>
        <v>0.94081687762475719</v>
      </c>
      <c r="J23" s="1103" t="e">
        <f>1*('Ввод исходных данных'!$D$83-'Расчет базового уровня'!$D$145)/(6*8.7)</f>
        <v>#N/A</v>
      </c>
      <c r="K23" s="1104" t="e">
        <f t="shared" si="1"/>
        <v>#N/A</v>
      </c>
      <c r="L23" s="74"/>
      <c r="M23" s="74"/>
      <c r="N23" s="74"/>
      <c r="O23" s="74"/>
      <c r="P23" s="74"/>
      <c r="Q23" s="74"/>
      <c r="R23" s="74"/>
      <c r="S23" s="74"/>
      <c r="T23" s="74"/>
      <c r="U23" s="74"/>
      <c r="V23" s="74"/>
      <c r="W23" s="1105"/>
    </row>
    <row r="24" spans="1:23" s="1106" customFormat="1" ht="17.100000000000001" customHeight="1" x14ac:dyDescent="0.25">
      <c r="A24" s="977" t="s">
        <v>1439</v>
      </c>
      <c r="B24" s="1099" t="str">
        <f t="shared" si="0"/>
        <v>II-29кирпич</v>
      </c>
      <c r="C24" s="1109" t="s">
        <v>926</v>
      </c>
      <c r="D24" s="1107"/>
      <c r="E24" s="1107"/>
      <c r="F24" s="1101"/>
      <c r="G24" s="1107"/>
      <c r="H24" s="1107"/>
      <c r="I24" s="1108">
        <f>AVERAGE(0.51)/H327+1/23+1/8.7</f>
        <v>0.88699221817662599</v>
      </c>
      <c r="J24" s="1103" t="e">
        <f>1*('Ввод исходных данных'!$D$83-'Расчет базового уровня'!$D$145)/(6*8.7)</f>
        <v>#N/A</v>
      </c>
      <c r="K24" s="1104" t="e">
        <f t="shared" si="1"/>
        <v>#N/A</v>
      </c>
      <c r="L24" s="74"/>
      <c r="M24" s="74"/>
      <c r="N24" s="74"/>
      <c r="O24" s="74"/>
      <c r="P24" s="74"/>
      <c r="Q24" s="74"/>
      <c r="R24" s="74"/>
      <c r="S24" s="74"/>
      <c r="T24" s="74"/>
      <c r="U24" s="74"/>
      <c r="V24" s="74"/>
      <c r="W24" s="1105"/>
    </row>
    <row r="25" spans="1:23" s="1106" customFormat="1" ht="17.100000000000001" customHeight="1" x14ac:dyDescent="0.25">
      <c r="A25" s="977" t="s">
        <v>1397</v>
      </c>
      <c r="B25" s="1099" t="str">
        <f t="shared" si="0"/>
        <v>П-3 (только прямая секция)керамзитобетонная 1-слойная панель</v>
      </c>
      <c r="C25" s="1109" t="s">
        <v>927</v>
      </c>
      <c r="D25" s="1107"/>
      <c r="E25" s="1107">
        <v>0.32</v>
      </c>
      <c r="F25" s="1101"/>
      <c r="G25" s="1107"/>
      <c r="H25" s="1107"/>
      <c r="I25" s="1108">
        <f>E25/H266+1/8.7+1/23</f>
        <v>0.93890859448324615</v>
      </c>
      <c r="J25" s="1103" t="e">
        <f>1*('Ввод исходных данных'!$D$83-'Расчет базового уровня'!$D$145)/(6*8.7)</f>
        <v>#N/A</v>
      </c>
      <c r="K25" s="1104" t="e">
        <f t="shared" si="1"/>
        <v>#N/A</v>
      </c>
      <c r="L25" s="74"/>
      <c r="M25" s="74"/>
      <c r="N25" s="74"/>
      <c r="O25" s="74"/>
      <c r="P25" s="74"/>
      <c r="Q25" s="74"/>
      <c r="R25" s="74"/>
      <c r="S25" s="74"/>
      <c r="T25" s="74"/>
      <c r="U25" s="74"/>
      <c r="V25" s="74"/>
      <c r="W25" s="1105"/>
    </row>
    <row r="26" spans="1:23" s="1106" customFormat="1" ht="17.100000000000001" customHeight="1" x14ac:dyDescent="0.25">
      <c r="A26" s="1110" t="s">
        <v>1489</v>
      </c>
      <c r="B26" s="1099" t="str">
        <f t="shared" si="0"/>
        <v>II-68 (-01, -02) 1 или 2 секциикерамзитобетон (блоки)</v>
      </c>
      <c r="C26" s="947" t="s">
        <v>1165</v>
      </c>
      <c r="D26" s="1107"/>
      <c r="E26" s="1107"/>
      <c r="F26" s="1101"/>
      <c r="G26" s="1107"/>
      <c r="H26" s="1107"/>
      <c r="I26" s="1108">
        <f>0.4/AVERAGE(H262:H269)+1/23+1/8.7</f>
        <v>0.94081687762475719</v>
      </c>
      <c r="J26" s="1103" t="e">
        <f>1*('Ввод исходных данных'!$D$83-'Расчет базового уровня'!$D$145)/(6*8.7)</f>
        <v>#N/A</v>
      </c>
      <c r="K26" s="1104" t="e">
        <f t="shared" si="1"/>
        <v>#N/A</v>
      </c>
      <c r="L26" s="74"/>
      <c r="M26" s="74"/>
      <c r="N26" s="74"/>
      <c r="O26" s="74"/>
      <c r="P26" s="74"/>
      <c r="Q26" s="74"/>
      <c r="R26" s="74"/>
      <c r="S26" s="74"/>
      <c r="T26" s="74"/>
      <c r="U26" s="74"/>
      <c r="V26" s="74"/>
      <c r="W26" s="1105"/>
    </row>
    <row r="27" spans="1:23" s="1106" customFormat="1" ht="17.100000000000001" customHeight="1" x14ac:dyDescent="0.25">
      <c r="A27" s="1110" t="s">
        <v>445</v>
      </c>
      <c r="B27" s="1099" t="str">
        <f t="shared" si="0"/>
        <v>К-7железобетонная панель</v>
      </c>
      <c r="C27" s="947" t="s">
        <v>1442</v>
      </c>
      <c r="D27" s="1107"/>
      <c r="E27" s="1107"/>
      <c r="F27" s="1101"/>
      <c r="G27" s="1107"/>
      <c r="H27" s="1107"/>
      <c r="I27" s="1108">
        <f>I33</f>
        <v>0.84977584737043255</v>
      </c>
      <c r="J27" s="1103" t="e">
        <f>1*('Ввод исходных данных'!$D$83-'Расчет базового уровня'!$D$145)/(6*8.7)</f>
        <v>#N/A</v>
      </c>
      <c r="K27" s="1104" t="e">
        <f t="shared" ref="K27" si="7">MAX(I27:J27)</f>
        <v>#N/A</v>
      </c>
      <c r="L27" s="74"/>
      <c r="M27" s="74"/>
      <c r="N27" s="74"/>
      <c r="O27" s="74"/>
      <c r="P27" s="74"/>
      <c r="Q27" s="74"/>
      <c r="R27" s="74"/>
      <c r="S27" s="74"/>
      <c r="T27" s="74"/>
      <c r="U27" s="74"/>
      <c r="V27" s="74"/>
      <c r="W27" s="1105"/>
    </row>
    <row r="28" spans="1:23" s="1106" customFormat="1" ht="17.100000000000001" customHeight="1" x14ac:dyDescent="0.25">
      <c r="A28" s="977" t="s">
        <v>1168</v>
      </c>
      <c r="B28" s="1099" t="str">
        <f t="shared" si="0"/>
        <v>нет в спискекерамзитобетон (блоки)</v>
      </c>
      <c r="C28" s="947" t="s">
        <v>1165</v>
      </c>
      <c r="D28" s="1107"/>
      <c r="E28" s="1107"/>
      <c r="F28" s="1101"/>
      <c r="G28" s="1107"/>
      <c r="H28" s="1107"/>
      <c r="I28" s="1108">
        <f>I26</f>
        <v>0.94081687762475719</v>
      </c>
      <c r="J28" s="1103" t="e">
        <f>1*('Ввод исходных данных'!$D$83-'Расчет базового уровня'!$D$145)/(6*8.7)</f>
        <v>#N/A</v>
      </c>
      <c r="K28" s="1104" t="e">
        <f t="shared" si="1"/>
        <v>#N/A</v>
      </c>
      <c r="L28" s="74"/>
      <c r="M28" s="74"/>
      <c r="N28" s="74"/>
      <c r="O28" s="74"/>
      <c r="P28" s="74"/>
      <c r="Q28" s="74"/>
      <c r="R28" s="74"/>
      <c r="S28" s="74"/>
      <c r="T28" s="74"/>
      <c r="U28" s="74"/>
      <c r="V28" s="74"/>
      <c r="W28" s="1105"/>
    </row>
    <row r="29" spans="1:23" s="1106" customFormat="1" ht="17.100000000000001" customHeight="1" x14ac:dyDescent="0.25">
      <c r="A29" s="977" t="s">
        <v>1168</v>
      </c>
      <c r="B29" s="1099" t="str">
        <f t="shared" si="0"/>
        <v>нет в списке ж/б 3-х слойная панель с утеплителем</v>
      </c>
      <c r="C29" s="1109" t="s">
        <v>928</v>
      </c>
      <c r="D29" s="1107"/>
      <c r="E29" s="1107"/>
      <c r="F29" s="1101"/>
      <c r="G29" s="1107"/>
      <c r="H29" s="1107"/>
      <c r="I29" s="1108">
        <f>0.25/H349+0.05/H125+1/23+1/8.7</f>
        <v>1.0622198092130406</v>
      </c>
      <c r="J29" s="1103" t="e">
        <f>1*('Ввод исходных данных'!$D$83-'Расчет базового уровня'!$D$145)/(6*8.7)</f>
        <v>#N/A</v>
      </c>
      <c r="K29" s="1104" t="e">
        <f t="shared" si="1"/>
        <v>#N/A</v>
      </c>
      <c r="L29" s="74"/>
      <c r="M29" s="74"/>
      <c r="N29" s="74"/>
      <c r="O29" s="74"/>
      <c r="P29" s="74"/>
      <c r="Q29" s="74"/>
      <c r="R29" s="74"/>
      <c r="S29" s="74"/>
      <c r="T29" s="74"/>
      <c r="U29" s="74"/>
      <c r="V29" s="74"/>
      <c r="W29" s="1105"/>
    </row>
    <row r="30" spans="1:23" s="1106" customFormat="1" ht="17.100000000000001" customHeight="1" x14ac:dyDescent="0.25">
      <c r="A30" s="977" t="s">
        <v>1168</v>
      </c>
      <c r="B30" s="1099" t="str">
        <f t="shared" si="0"/>
        <v>нет в спискекирпич</v>
      </c>
      <c r="C30" s="1109" t="s">
        <v>926</v>
      </c>
      <c r="D30" s="1107"/>
      <c r="E30" s="1107"/>
      <c r="F30" s="1101"/>
      <c r="G30" s="1107"/>
      <c r="H30" s="1107"/>
      <c r="I30" s="1108">
        <f>AVERAGE(0.51,0.64)/H327+1/23+1/8.7</f>
        <v>0.97984936103376874</v>
      </c>
      <c r="J30" s="1103" t="e">
        <f>1*('Ввод исходных данных'!$D$83-'Расчет базового уровня'!$D$145)/(6*8.7)</f>
        <v>#N/A</v>
      </c>
      <c r="K30" s="1104" t="e">
        <f t="shared" si="1"/>
        <v>#N/A</v>
      </c>
      <c r="L30" s="74"/>
      <c r="M30" s="74"/>
      <c r="N30" s="74"/>
      <c r="O30" s="74"/>
      <c r="P30" s="74"/>
      <c r="Q30" s="74"/>
      <c r="R30" s="74"/>
      <c r="S30" s="74"/>
      <c r="T30" s="74"/>
      <c r="U30" s="74"/>
      <c r="V30" s="74"/>
      <c r="W30" s="1105"/>
    </row>
    <row r="31" spans="1:23" s="1106" customFormat="1" ht="17.100000000000001" customHeight="1" x14ac:dyDescent="0.25">
      <c r="A31" s="977" t="s">
        <v>1168</v>
      </c>
      <c r="B31" s="1099" t="str">
        <f t="shared" si="0"/>
        <v>нет в спискешлакобетон (блоки)</v>
      </c>
      <c r="C31" s="947" t="s">
        <v>1166</v>
      </c>
      <c r="D31" s="1107"/>
      <c r="E31" s="1107"/>
      <c r="F31" s="1101"/>
      <c r="G31" s="1107"/>
      <c r="H31" s="1107"/>
      <c r="I31" s="1108">
        <f>I19</f>
        <v>0.89371490725225611</v>
      </c>
      <c r="J31" s="1103" t="e">
        <f>1*('Ввод исходных данных'!$D$83-'Расчет базового уровня'!$D$145)/(6*8.7)</f>
        <v>#N/A</v>
      </c>
      <c r="K31" s="1104" t="e">
        <f t="shared" si="1"/>
        <v>#N/A</v>
      </c>
      <c r="L31" s="74"/>
      <c r="M31" s="74"/>
      <c r="N31" s="74"/>
      <c r="O31" s="74"/>
      <c r="P31" s="74"/>
      <c r="Q31" s="74"/>
      <c r="R31" s="74"/>
      <c r="S31" s="74"/>
      <c r="T31" s="74"/>
      <c r="U31" s="74"/>
      <c r="V31" s="74"/>
      <c r="W31" s="1105"/>
    </row>
    <row r="32" spans="1:23" s="1106" customFormat="1" ht="17.100000000000001" customHeight="1" x14ac:dyDescent="0.25">
      <c r="A32" s="977" t="s">
        <v>1168</v>
      </c>
      <c r="B32" s="1099" t="str">
        <f t="shared" si="0"/>
        <v>нет в спискемонолит</v>
      </c>
      <c r="C32" s="947" t="s">
        <v>1515</v>
      </c>
      <c r="D32" s="1107"/>
      <c r="E32" s="1107"/>
      <c r="F32" s="1101"/>
      <c r="G32" s="1107"/>
      <c r="H32" s="1107"/>
      <c r="I32" s="1108" t="e">
        <f>J32</f>
        <v>#N/A</v>
      </c>
      <c r="J32" s="1103" t="e">
        <f>1*('Ввод исходных данных'!$D$83-'Расчет базового уровня'!$D$145)/(6*8.7)</f>
        <v>#N/A</v>
      </c>
      <c r="K32" s="1104" t="e">
        <f t="shared" ref="K32" si="8">MAX(I32:J32)</f>
        <v>#N/A</v>
      </c>
      <c r="L32" s="74"/>
      <c r="M32" s="74"/>
      <c r="N32" s="74"/>
      <c r="O32" s="74"/>
      <c r="P32" s="74"/>
      <c r="Q32" s="74"/>
      <c r="R32" s="74"/>
      <c r="S32" s="74"/>
      <c r="T32" s="74"/>
      <c r="U32" s="74"/>
      <c r="V32" s="74"/>
      <c r="W32" s="1105"/>
    </row>
    <row r="33" spans="1:23" s="1106" customFormat="1" ht="17.100000000000001" customHeight="1" x14ac:dyDescent="0.25">
      <c r="A33" s="977" t="s">
        <v>1168</v>
      </c>
      <c r="B33" s="1099" t="str">
        <f t="shared" si="0"/>
        <v>нет в спискежелезобетонная панель</v>
      </c>
      <c r="C33" s="947" t="s">
        <v>1442</v>
      </c>
      <c r="D33" s="1107"/>
      <c r="E33" s="1107"/>
      <c r="F33" s="1101"/>
      <c r="G33" s="1107"/>
      <c r="H33" s="1107"/>
      <c r="I33" s="1108">
        <f>I12</f>
        <v>0.84977584737043255</v>
      </c>
      <c r="J33" s="1103" t="e">
        <f>1*('Ввод исходных данных'!$D$83-'Расчет базового уровня'!$D$145)/(6*8.7)</f>
        <v>#N/A</v>
      </c>
      <c r="K33" s="1104" t="e">
        <f t="shared" si="1"/>
        <v>#N/A</v>
      </c>
      <c r="L33" s="74"/>
      <c r="M33" s="74"/>
      <c r="N33" s="74"/>
      <c r="O33" s="74"/>
      <c r="P33" s="74"/>
      <c r="Q33" s="74"/>
      <c r="R33" s="74"/>
      <c r="S33" s="74"/>
      <c r="T33" s="74"/>
      <c r="U33" s="74"/>
      <c r="V33" s="74"/>
      <c r="W33" s="1105"/>
    </row>
    <row r="34" spans="1:23" s="1106" customFormat="1" ht="17.100000000000001" customHeight="1" x14ac:dyDescent="0.25">
      <c r="A34" s="1111"/>
      <c r="B34" s="1112"/>
      <c r="C34" s="1113"/>
      <c r="D34" s="1107"/>
      <c r="E34" s="1107"/>
      <c r="F34" s="1101"/>
      <c r="G34" s="1107"/>
      <c r="H34" s="1107"/>
      <c r="I34" s="1114"/>
      <c r="J34" s="1103"/>
      <c r="K34" s="1115"/>
      <c r="L34" s="74"/>
      <c r="M34" s="74"/>
      <c r="N34" s="74"/>
      <c r="O34" s="74"/>
      <c r="P34" s="74"/>
      <c r="Q34" s="74"/>
      <c r="R34" s="74"/>
      <c r="S34" s="74"/>
      <c r="T34" s="74"/>
      <c r="U34" s="74"/>
      <c r="V34" s="74"/>
      <c r="W34" s="1105"/>
    </row>
    <row r="35" spans="1:23" s="1106" customFormat="1" ht="17.100000000000001" customHeight="1" x14ac:dyDescent="0.25">
      <c r="A35" s="1111"/>
      <c r="B35" s="1112"/>
      <c r="C35" s="1113"/>
      <c r="D35" s="1107"/>
      <c r="E35" s="1107"/>
      <c r="F35" s="1101"/>
      <c r="G35" s="1107"/>
      <c r="H35" s="1107"/>
      <c r="I35" s="1114"/>
      <c r="J35" s="1103"/>
      <c r="K35" s="1115"/>
      <c r="L35" s="74"/>
      <c r="M35" s="74"/>
      <c r="N35" s="74"/>
      <c r="O35" s="74"/>
      <c r="P35" s="74"/>
      <c r="Q35" s="74"/>
      <c r="R35" s="74"/>
      <c r="S35" s="74"/>
      <c r="T35" s="74"/>
      <c r="U35" s="74"/>
      <c r="V35" s="74"/>
      <c r="W35" s="1105"/>
    </row>
    <row r="36" spans="1:23" s="1106" customFormat="1" ht="17.100000000000001" customHeight="1" x14ac:dyDescent="0.25">
      <c r="A36" s="1111"/>
      <c r="B36" s="1112"/>
      <c r="C36" s="1113"/>
      <c r="D36" s="1107"/>
      <c r="E36" s="1107"/>
      <c r="F36" s="1101"/>
      <c r="G36" s="1107"/>
      <c r="H36" s="1107"/>
      <c r="I36" s="1114"/>
      <c r="J36" s="1103"/>
      <c r="K36" s="1115"/>
      <c r="L36" s="74"/>
      <c r="M36" s="74"/>
      <c r="N36" s="74"/>
      <c r="O36" s="74"/>
      <c r="P36" s="74"/>
      <c r="Q36" s="74"/>
      <c r="R36" s="74"/>
      <c r="S36" s="74"/>
      <c r="T36" s="74"/>
      <c r="U36" s="74"/>
      <c r="V36" s="74"/>
      <c r="W36" s="1105"/>
    </row>
    <row r="37" spans="1:23" s="1106" customFormat="1" ht="17.100000000000001" customHeight="1" x14ac:dyDescent="0.25">
      <c r="A37" s="1111"/>
      <c r="B37" s="1112"/>
      <c r="C37" s="1113"/>
      <c r="D37" s="1107"/>
      <c r="E37" s="1107"/>
      <c r="F37" s="1101"/>
      <c r="G37" s="1107"/>
      <c r="H37" s="1107"/>
      <c r="I37" s="1114"/>
      <c r="J37" s="1103"/>
      <c r="K37" s="1115"/>
      <c r="L37" s="74"/>
      <c r="M37" s="74"/>
      <c r="N37" s="74"/>
      <c r="O37" s="74"/>
      <c r="P37" s="74"/>
      <c r="Q37" s="74"/>
      <c r="R37" s="74"/>
      <c r="S37" s="74"/>
      <c r="T37" s="74"/>
      <c r="U37" s="74"/>
      <c r="V37" s="74"/>
      <c r="W37" s="1105"/>
    </row>
    <row r="38" spans="1:23" s="1106" customFormat="1" ht="17.100000000000001" customHeight="1" x14ac:dyDescent="0.25">
      <c r="A38" s="1111"/>
      <c r="B38" s="1112"/>
      <c r="C38" s="1113"/>
      <c r="D38" s="1107"/>
      <c r="E38" s="1107"/>
      <c r="F38" s="1101"/>
      <c r="G38" s="1107"/>
      <c r="H38" s="1107"/>
      <c r="I38" s="1114"/>
      <c r="J38" s="1103"/>
      <c r="K38" s="1115"/>
      <c r="L38" s="74"/>
      <c r="M38" s="74"/>
      <c r="N38" s="74"/>
      <c r="O38" s="74"/>
      <c r="P38" s="74"/>
      <c r="Q38" s="74"/>
      <c r="R38" s="74"/>
      <c r="S38" s="74"/>
      <c r="T38" s="74"/>
      <c r="U38" s="74"/>
      <c r="V38" s="74"/>
      <c r="W38" s="1105"/>
    </row>
    <row r="39" spans="1:23" s="1106" customFormat="1" ht="17.100000000000001" customHeight="1" thickBot="1" x14ac:dyDescent="0.3">
      <c r="A39" s="1116"/>
      <c r="B39" s="1116"/>
      <c r="C39" s="1117"/>
      <c r="D39" s="1118"/>
      <c r="E39" s="1118"/>
      <c r="F39" s="1101"/>
      <c r="G39" s="1118"/>
      <c r="H39" s="1118"/>
      <c r="I39" s="1119"/>
      <c r="J39" s="1103"/>
      <c r="K39" s="1120"/>
      <c r="L39" s="74"/>
      <c r="M39" s="74"/>
      <c r="N39" s="74"/>
      <c r="O39" s="74"/>
      <c r="P39" s="74"/>
      <c r="Q39" s="74"/>
      <c r="R39" s="74"/>
      <c r="S39" s="74"/>
      <c r="T39" s="74"/>
      <c r="U39" s="74"/>
      <c r="V39" s="74"/>
      <c r="W39" s="1105"/>
    </row>
    <row r="40" spans="1:23" x14ac:dyDescent="0.25">
      <c r="B40" s="75">
        <v>1</v>
      </c>
      <c r="C40" s="75">
        <v>2</v>
      </c>
      <c r="D40" s="75">
        <v>3</v>
      </c>
      <c r="E40" s="75">
        <v>4</v>
      </c>
      <c r="F40" s="75">
        <v>5</v>
      </c>
      <c r="G40" s="75">
        <v>6</v>
      </c>
      <c r="H40" s="75">
        <v>7</v>
      </c>
      <c r="I40" s="75">
        <v>8</v>
      </c>
      <c r="J40" s="75">
        <v>9</v>
      </c>
      <c r="L40" s="74"/>
      <c r="M40" s="74"/>
      <c r="N40" s="74"/>
      <c r="O40" s="74"/>
      <c r="P40" s="74"/>
      <c r="Q40" s="74"/>
      <c r="R40" s="74"/>
      <c r="S40" s="74"/>
      <c r="T40" s="74"/>
      <c r="U40" s="74"/>
      <c r="V40" s="74"/>
    </row>
    <row r="41" spans="1:23" x14ac:dyDescent="0.25">
      <c r="A41" s="74"/>
      <c r="B41" s="74"/>
      <c r="C41" s="74"/>
      <c r="D41" s="74"/>
      <c r="E41" s="74"/>
      <c r="F41" s="74"/>
      <c r="G41" s="74"/>
      <c r="H41" s="74"/>
      <c r="I41" s="74"/>
      <c r="J41" s="74"/>
      <c r="K41" s="74"/>
      <c r="L41" s="74"/>
      <c r="M41" s="74"/>
      <c r="N41" s="74"/>
      <c r="O41" s="74"/>
      <c r="P41" s="74"/>
      <c r="Q41" s="74"/>
      <c r="R41" s="74"/>
      <c r="S41" s="74"/>
      <c r="T41" s="74"/>
      <c r="U41" s="74"/>
      <c r="V41" s="74"/>
    </row>
    <row r="42" spans="1:23" x14ac:dyDescent="0.25">
      <c r="A42" s="74"/>
      <c r="B42" s="74"/>
      <c r="C42" s="74"/>
      <c r="D42" s="74"/>
      <c r="E42" s="74"/>
      <c r="F42" s="74"/>
      <c r="G42" s="74"/>
      <c r="H42" s="74"/>
      <c r="I42" s="74"/>
      <c r="J42" s="74"/>
      <c r="K42" s="74"/>
      <c r="L42" s="74"/>
      <c r="M42" s="74"/>
      <c r="N42" s="74"/>
      <c r="O42" s="74"/>
      <c r="P42" s="74"/>
      <c r="Q42" s="74"/>
      <c r="R42" s="74"/>
      <c r="S42" s="74"/>
      <c r="T42" s="74"/>
      <c r="U42" s="74"/>
      <c r="V42" s="74"/>
    </row>
    <row r="43" spans="1:23" x14ac:dyDescent="0.25">
      <c r="A43" s="95"/>
      <c r="B43" s="95" t="s">
        <v>1510</v>
      </c>
      <c r="C43" s="1121"/>
      <c r="L43" s="74"/>
      <c r="M43" s="74"/>
      <c r="N43" s="74"/>
      <c r="O43" s="74"/>
      <c r="P43" s="74"/>
      <c r="Q43" s="74"/>
      <c r="R43" s="74"/>
      <c r="S43" s="74"/>
      <c r="T43" s="74"/>
      <c r="U43" s="74"/>
      <c r="V43" s="74"/>
    </row>
    <row r="44" spans="1:23" ht="18" customHeight="1" x14ac:dyDescent="0.25">
      <c r="A44" s="95" t="s">
        <v>514</v>
      </c>
      <c r="B44" s="1122" t="e">
        <f>1*('Ввод исходных данных'!$D$83-'Расчет базового уровня'!$D$145)/(6*8.7)</f>
        <v>#N/A</v>
      </c>
    </row>
    <row r="45" spans="1:23" x14ac:dyDescent="0.25">
      <c r="A45" s="95" t="s">
        <v>865</v>
      </c>
      <c r="B45" s="1122" t="e">
        <f>0.6*B44</f>
        <v>#N/A</v>
      </c>
    </row>
    <row r="46" spans="1:23" ht="15" customHeight="1" x14ac:dyDescent="0.3">
      <c r="A46" s="95" t="s">
        <v>864</v>
      </c>
      <c r="B46" s="1122" t="e">
        <f>IF(C2&gt;25,IF(C2&gt;44, IF(C2&gt;49,0.52,0.38),0.34), 0.17)</f>
        <v>#N/A</v>
      </c>
      <c r="I46" s="1123"/>
    </row>
    <row r="47" spans="1:23" x14ac:dyDescent="0.25">
      <c r="A47" s="274" t="s">
        <v>1329</v>
      </c>
      <c r="B47" s="1124">
        <v>1.32</v>
      </c>
    </row>
    <row r="48" spans="1:23" x14ac:dyDescent="0.25">
      <c r="A48" s="274" t="s">
        <v>1333</v>
      </c>
      <c r="B48" s="1124" t="e">
        <f>1*('Ввод исходных данных'!$D$83-'Расчет базового уровня'!$D$145)/(6*8.7)</f>
        <v>#N/A</v>
      </c>
    </row>
    <row r="49" spans="1:3" x14ac:dyDescent="0.25">
      <c r="A49" s="274" t="s">
        <v>1334</v>
      </c>
      <c r="B49" s="1124" t="e">
        <f>1*('Ввод исходных данных'!$D$83-'Расчет базового уровня'!$D$145)/(3*8.7)</f>
        <v>#N/A</v>
      </c>
    </row>
    <row r="50" spans="1:3" ht="17.25" customHeight="1" x14ac:dyDescent="0.25">
      <c r="A50" s="274" t="s">
        <v>1308</v>
      </c>
      <c r="B50" s="1124" t="e">
        <f>0.4*('Ввод исходных данных'!$D$83-'Расчет базового уровня'!$D$145)/(4*8.7)</f>
        <v>#N/A</v>
      </c>
    </row>
    <row r="51" spans="1:3" x14ac:dyDescent="0.25">
      <c r="A51" s="274" t="s">
        <v>1304</v>
      </c>
      <c r="B51" s="1124" t="e">
        <f>B44</f>
        <v>#N/A</v>
      </c>
    </row>
    <row r="52" spans="1:3" x14ac:dyDescent="0.25">
      <c r="A52" s="1125" t="s">
        <v>937</v>
      </c>
    </row>
    <row r="53" spans="1:3" ht="43.5" x14ac:dyDescent="0.25">
      <c r="A53" s="1126" t="s">
        <v>938</v>
      </c>
      <c r="B53" s="1127" t="s">
        <v>939</v>
      </c>
      <c r="C53" s="1128"/>
    </row>
    <row r="54" spans="1:3" x14ac:dyDescent="0.25">
      <c r="A54" s="1129"/>
      <c r="B54" s="1130" t="s">
        <v>971</v>
      </c>
      <c r="C54" s="1130" t="s">
        <v>932</v>
      </c>
    </row>
    <row r="55" spans="1:3" ht="22.5" x14ac:dyDescent="0.25">
      <c r="A55" s="1131" t="s">
        <v>940</v>
      </c>
      <c r="B55" s="1130">
        <v>0.4</v>
      </c>
      <c r="C55" s="1130"/>
    </row>
    <row r="56" spans="1:3" ht="22.5" x14ac:dyDescent="0.25">
      <c r="A56" s="1131" t="s">
        <v>941</v>
      </c>
      <c r="B56" s="1130">
        <v>0.44</v>
      </c>
      <c r="C56" s="1132">
        <v>0.34</v>
      </c>
    </row>
    <row r="57" spans="1:3" ht="22.5" x14ac:dyDescent="0.25">
      <c r="A57" s="1133" t="s">
        <v>942</v>
      </c>
      <c r="B57" s="1134"/>
      <c r="C57" s="1135"/>
    </row>
    <row r="58" spans="1:3" ht="24.75" customHeight="1" x14ac:dyDescent="0.25">
      <c r="A58" s="1136" t="s">
        <v>943</v>
      </c>
      <c r="B58" s="1137" t="s">
        <v>945</v>
      </c>
      <c r="C58" s="1138"/>
    </row>
    <row r="59" spans="1:3" x14ac:dyDescent="0.25">
      <c r="A59" s="1136" t="s">
        <v>944</v>
      </c>
      <c r="B59" s="1137" t="s">
        <v>946</v>
      </c>
      <c r="C59" s="1138"/>
    </row>
    <row r="60" spans="1:3" ht="22.5" customHeight="1" x14ac:dyDescent="0.25">
      <c r="A60" s="1131" t="s">
        <v>947</v>
      </c>
      <c r="B60" s="1139" t="s">
        <v>945</v>
      </c>
      <c r="C60" s="1140"/>
    </row>
    <row r="61" spans="1:3" ht="22.5" x14ac:dyDescent="0.25">
      <c r="A61" s="1131" t="s">
        <v>948</v>
      </c>
      <c r="B61" s="1130">
        <v>0.36</v>
      </c>
      <c r="C61" s="1130"/>
    </row>
    <row r="62" spans="1:3" ht="22.5" x14ac:dyDescent="0.25">
      <c r="A62" s="1131" t="s">
        <v>949</v>
      </c>
      <c r="B62" s="1130">
        <v>0.52</v>
      </c>
      <c r="C62" s="1130"/>
    </row>
    <row r="63" spans="1:3" ht="25.5" customHeight="1" x14ac:dyDescent="0.25">
      <c r="A63" s="1131" t="s">
        <v>950</v>
      </c>
      <c r="B63" s="1130">
        <v>0.55000000000000004</v>
      </c>
      <c r="C63" s="1130">
        <v>0.46</v>
      </c>
    </row>
    <row r="64" spans="1:3" x14ac:dyDescent="0.25">
      <c r="A64" s="1141" t="s">
        <v>951</v>
      </c>
      <c r="B64" s="1142"/>
      <c r="C64" s="1142"/>
    </row>
    <row r="65" spans="1:3" x14ac:dyDescent="0.25">
      <c r="A65" s="1143" t="s">
        <v>952</v>
      </c>
      <c r="B65" s="1136">
        <v>0.38</v>
      </c>
      <c r="C65" s="1136">
        <v>0.34</v>
      </c>
    </row>
    <row r="66" spans="1:3" x14ac:dyDescent="0.25">
      <c r="A66" s="1143" t="s">
        <v>953</v>
      </c>
      <c r="B66" s="1136">
        <v>0.51</v>
      </c>
      <c r="C66" s="1136">
        <v>0.43</v>
      </c>
    </row>
    <row r="67" spans="1:3" ht="36.75" customHeight="1" x14ac:dyDescent="0.25">
      <c r="A67" s="1144" t="s">
        <v>954</v>
      </c>
      <c r="B67" s="1145">
        <v>0.56000000000000005</v>
      </c>
      <c r="C67" s="1145">
        <v>0.47</v>
      </c>
    </row>
    <row r="68" spans="1:3" ht="36.75" customHeight="1" x14ac:dyDescent="0.25">
      <c r="A68" s="1141" t="s">
        <v>955</v>
      </c>
      <c r="B68" s="1142"/>
      <c r="C68" s="1142"/>
    </row>
    <row r="69" spans="1:3" ht="22.5" x14ac:dyDescent="0.25">
      <c r="A69" s="1143" t="s">
        <v>956</v>
      </c>
      <c r="B69" s="1136">
        <v>0.51</v>
      </c>
      <c r="C69" s="1136">
        <v>0.43</v>
      </c>
    </row>
    <row r="70" spans="1:3" ht="22.5" x14ac:dyDescent="0.25">
      <c r="A70" s="1143" t="s">
        <v>957</v>
      </c>
      <c r="B70" s="1136">
        <v>0.54</v>
      </c>
      <c r="C70" s="1136">
        <v>0.45</v>
      </c>
    </row>
    <row r="71" spans="1:3" x14ac:dyDescent="0.25">
      <c r="A71" s="1143" t="s">
        <v>953</v>
      </c>
      <c r="B71" s="1136">
        <v>0.57999999999999996</v>
      </c>
      <c r="C71" s="1136">
        <v>0.48</v>
      </c>
    </row>
    <row r="72" spans="1:3" x14ac:dyDescent="0.25">
      <c r="A72" s="1143" t="s">
        <v>954</v>
      </c>
      <c r="B72" s="1136">
        <v>0.68</v>
      </c>
      <c r="C72" s="1136">
        <v>0.52</v>
      </c>
    </row>
    <row r="73" spans="1:3" ht="22.5" x14ac:dyDescent="0.25">
      <c r="A73" s="1144" t="s">
        <v>958</v>
      </c>
      <c r="B73" s="1145">
        <v>0.65</v>
      </c>
      <c r="C73" s="1145">
        <v>0.53</v>
      </c>
    </row>
    <row r="74" spans="1:3" ht="22.5" customHeight="1" x14ac:dyDescent="0.25">
      <c r="A74" s="1855" t="s">
        <v>959</v>
      </c>
      <c r="B74" s="1856"/>
      <c r="C74" s="1857"/>
    </row>
    <row r="75" spans="1:3" ht="45" customHeight="1" x14ac:dyDescent="0.25">
      <c r="A75" s="1143" t="s">
        <v>952</v>
      </c>
      <c r="B75" s="1136">
        <v>0.56000000000000005</v>
      </c>
      <c r="C75" s="1136"/>
    </row>
    <row r="76" spans="1:3" ht="56.25" customHeight="1" x14ac:dyDescent="0.25">
      <c r="A76" s="1143" t="s">
        <v>953</v>
      </c>
      <c r="B76" s="1136">
        <v>0.65</v>
      </c>
      <c r="C76" s="1136"/>
    </row>
    <row r="77" spans="1:3" ht="33.75" customHeight="1" x14ac:dyDescent="0.25">
      <c r="A77" s="1143" t="s">
        <v>954</v>
      </c>
      <c r="B77" s="1136">
        <v>0.72</v>
      </c>
      <c r="C77" s="1136"/>
    </row>
    <row r="78" spans="1:3" ht="22.5" x14ac:dyDescent="0.25">
      <c r="A78" s="1143" t="s">
        <v>958</v>
      </c>
      <c r="B78" s="1145">
        <v>0.69</v>
      </c>
      <c r="C78" s="1145"/>
    </row>
    <row r="79" spans="1:3" x14ac:dyDescent="0.25">
      <c r="A79" s="1855" t="s">
        <v>960</v>
      </c>
      <c r="B79" s="1856"/>
      <c r="C79" s="1857"/>
    </row>
    <row r="80" spans="1:3" x14ac:dyDescent="0.25">
      <c r="A80" s="1143" t="s">
        <v>952</v>
      </c>
      <c r="B80" s="1136">
        <v>0.68</v>
      </c>
      <c r="C80" s="1136" t="s">
        <v>746</v>
      </c>
    </row>
    <row r="81" spans="1:15" s="1146" customFormat="1" ht="13.5" customHeight="1" x14ac:dyDescent="0.25">
      <c r="A81" s="1143" t="s">
        <v>953</v>
      </c>
      <c r="B81" s="1136">
        <v>0.74</v>
      </c>
      <c r="C81" s="1136" t="s">
        <v>746</v>
      </c>
      <c r="D81" s="75"/>
      <c r="E81" s="75"/>
      <c r="F81" s="75"/>
      <c r="G81" s="75"/>
      <c r="H81" s="75"/>
      <c r="I81" s="75"/>
      <c r="J81" s="75"/>
      <c r="K81" s="75"/>
      <c r="L81" s="75"/>
      <c r="M81" s="75"/>
      <c r="N81" s="75"/>
      <c r="O81" s="75"/>
    </row>
    <row r="82" spans="1:15" s="1146" customFormat="1" ht="13.5" customHeight="1" x14ac:dyDescent="0.25">
      <c r="A82" s="1143" t="s">
        <v>954</v>
      </c>
      <c r="B82" s="1136">
        <v>0.81</v>
      </c>
      <c r="C82" s="1136" t="s">
        <v>746</v>
      </c>
      <c r="D82" s="75"/>
      <c r="E82" s="75"/>
      <c r="F82" s="75"/>
      <c r="G82" s="75"/>
      <c r="H82" s="75"/>
      <c r="I82" s="75"/>
      <c r="J82" s="75"/>
      <c r="K82" s="75"/>
      <c r="L82" s="75"/>
      <c r="M82" s="75"/>
      <c r="N82" s="75"/>
      <c r="O82" s="75"/>
    </row>
    <row r="83" spans="1:15" s="1146" customFormat="1" ht="13.5" customHeight="1" x14ac:dyDescent="0.25">
      <c r="A83" s="1143" t="s">
        <v>958</v>
      </c>
      <c r="B83" s="1145">
        <v>0.82</v>
      </c>
      <c r="C83" s="1145" t="s">
        <v>746</v>
      </c>
      <c r="D83" s="75"/>
      <c r="E83" s="75"/>
      <c r="F83" s="75"/>
      <c r="G83" s="75"/>
      <c r="H83" s="75"/>
      <c r="I83" s="75"/>
      <c r="J83" s="75"/>
      <c r="K83" s="75"/>
      <c r="L83" s="75"/>
      <c r="M83" s="75"/>
      <c r="N83" s="75"/>
      <c r="O83" s="75"/>
    </row>
    <row r="84" spans="1:15" s="1146" customFormat="1" ht="13.5" customHeight="1" x14ac:dyDescent="0.25">
      <c r="A84" s="1147" t="s">
        <v>961</v>
      </c>
      <c r="B84" s="1130">
        <v>0.7</v>
      </c>
      <c r="C84" s="1130" t="s">
        <v>746</v>
      </c>
      <c r="D84" s="75"/>
      <c r="E84" s="75"/>
      <c r="F84" s="75"/>
      <c r="G84" s="75"/>
      <c r="H84" s="75"/>
      <c r="I84" s="75"/>
      <c r="J84" s="75"/>
      <c r="K84" s="75"/>
      <c r="L84" s="75"/>
      <c r="M84" s="75"/>
      <c r="N84" s="75"/>
      <c r="O84" s="75"/>
    </row>
    <row r="85" spans="1:15" s="1146" customFormat="1" ht="13.5" customHeight="1" x14ac:dyDescent="0.25">
      <c r="A85" s="1131" t="s">
        <v>962</v>
      </c>
      <c r="B85" s="1130">
        <v>0.74</v>
      </c>
      <c r="C85" s="1130" t="s">
        <v>746</v>
      </c>
      <c r="D85" s="75"/>
      <c r="E85" s="75"/>
      <c r="F85" s="75"/>
      <c r="G85" s="75"/>
      <c r="H85" s="75"/>
      <c r="I85" s="75"/>
      <c r="J85" s="75"/>
      <c r="K85" s="75"/>
      <c r="L85" s="75"/>
      <c r="M85" s="75"/>
      <c r="N85" s="75"/>
      <c r="O85" s="75"/>
    </row>
    <row r="86" spans="1:15" s="1146" customFormat="1" ht="13.5" customHeight="1" x14ac:dyDescent="0.25">
      <c r="A86" s="1131" t="s">
        <v>963</v>
      </c>
      <c r="B86" s="1130" t="s">
        <v>964</v>
      </c>
      <c r="C86" s="1130" t="s">
        <v>746</v>
      </c>
      <c r="D86" s="75"/>
      <c r="E86" s="75"/>
      <c r="F86" s="75"/>
      <c r="G86" s="75"/>
      <c r="H86" s="75"/>
      <c r="I86" s="75"/>
      <c r="J86" s="75"/>
      <c r="K86" s="75"/>
      <c r="L86" s="75"/>
      <c r="M86" s="75"/>
      <c r="N86" s="75"/>
      <c r="O86" s="75"/>
    </row>
    <row r="87" spans="1:15" s="1146" customFormat="1" ht="13.5" customHeight="1" x14ac:dyDescent="0.25">
      <c r="A87" s="1148" t="s">
        <v>965</v>
      </c>
      <c r="B87" s="1149"/>
      <c r="C87" s="1150"/>
      <c r="D87" s="75"/>
      <c r="E87" s="75"/>
      <c r="F87" s="75"/>
      <c r="G87" s="75"/>
      <c r="H87" s="75"/>
      <c r="I87" s="75"/>
      <c r="J87" s="75"/>
      <c r="K87" s="75"/>
      <c r="L87" s="75"/>
      <c r="M87" s="75"/>
      <c r="N87" s="75"/>
      <c r="O87" s="75"/>
    </row>
    <row r="88" spans="1:15" s="1146" customFormat="1" ht="13.5" customHeight="1" x14ac:dyDescent="0.25">
      <c r="A88" s="1151"/>
      <c r="B88" s="1152"/>
      <c r="C88" s="1153"/>
      <c r="D88" s="75"/>
      <c r="E88" s="75"/>
      <c r="F88" s="75"/>
      <c r="G88" s="75"/>
      <c r="H88" s="75"/>
      <c r="I88" s="75"/>
      <c r="J88" s="75"/>
      <c r="K88" s="75"/>
      <c r="L88" s="75"/>
      <c r="M88" s="75"/>
      <c r="N88" s="75"/>
      <c r="O88" s="75"/>
    </row>
    <row r="89" spans="1:15" s="1146" customFormat="1" ht="13.5" customHeight="1" x14ac:dyDescent="0.25">
      <c r="A89" s="1154" t="s">
        <v>966</v>
      </c>
      <c r="B89" s="1155"/>
      <c r="C89" s="1156"/>
      <c r="D89" s="75"/>
      <c r="E89" s="75"/>
      <c r="F89" s="75"/>
      <c r="G89" s="75"/>
      <c r="H89" s="75"/>
      <c r="I89" s="75"/>
      <c r="J89" s="75"/>
      <c r="K89" s="75"/>
      <c r="L89" s="75"/>
      <c r="M89" s="75"/>
      <c r="N89" s="75"/>
      <c r="O89" s="75"/>
    </row>
    <row r="90" spans="1:15" s="1146" customFormat="1" ht="13.5" customHeight="1" x14ac:dyDescent="0.25">
      <c r="A90" s="1858" t="s">
        <v>967</v>
      </c>
      <c r="B90" s="1859"/>
      <c r="C90" s="1860"/>
      <c r="D90" s="75"/>
      <c r="E90" s="75"/>
      <c r="F90" s="75"/>
      <c r="G90" s="75"/>
      <c r="H90" s="75"/>
      <c r="I90" s="75"/>
      <c r="J90" s="75"/>
      <c r="K90" s="75"/>
      <c r="L90" s="75"/>
      <c r="M90" s="75"/>
      <c r="N90" s="75"/>
      <c r="O90" s="75"/>
    </row>
    <row r="91" spans="1:15" s="1146" customFormat="1" ht="13.5" customHeight="1" x14ac:dyDescent="0.25">
      <c r="A91" s="1858" t="s">
        <v>968</v>
      </c>
      <c r="B91" s="1859"/>
      <c r="C91" s="1860"/>
      <c r="D91" s="75"/>
      <c r="E91" s="75"/>
      <c r="F91" s="75"/>
      <c r="G91" s="75"/>
      <c r="H91" s="75"/>
      <c r="I91" s="75"/>
      <c r="J91" s="75"/>
      <c r="K91" s="75"/>
      <c r="L91" s="75"/>
      <c r="M91" s="75"/>
      <c r="N91" s="75"/>
      <c r="O91" s="75"/>
    </row>
    <row r="92" spans="1:15" s="1146" customFormat="1" ht="13.5" customHeight="1" x14ac:dyDescent="0.25">
      <c r="A92" s="1858" t="s">
        <v>969</v>
      </c>
      <c r="B92" s="1859"/>
      <c r="C92" s="1860"/>
      <c r="D92" s="75"/>
      <c r="E92" s="75"/>
      <c r="F92" s="75"/>
      <c r="G92" s="75"/>
      <c r="H92" s="75"/>
      <c r="I92" s="75"/>
      <c r="J92" s="75"/>
      <c r="K92" s="75"/>
      <c r="L92" s="75"/>
      <c r="M92" s="75"/>
      <c r="N92" s="75"/>
      <c r="O92" s="75"/>
    </row>
    <row r="93" spans="1:15" s="1146" customFormat="1" ht="13.5" customHeight="1" x14ac:dyDescent="0.25">
      <c r="A93" s="1852" t="s">
        <v>970</v>
      </c>
      <c r="B93" s="1853"/>
      <c r="C93" s="1854"/>
      <c r="D93" s="75"/>
      <c r="E93" s="75"/>
      <c r="F93" s="75"/>
      <c r="G93" s="75"/>
      <c r="H93" s="75"/>
      <c r="I93" s="75"/>
      <c r="J93" s="75"/>
      <c r="K93" s="75"/>
      <c r="L93" s="75"/>
      <c r="M93" s="75"/>
      <c r="N93" s="75"/>
      <c r="O93" s="75"/>
    </row>
    <row r="94" spans="1:15" s="1146" customFormat="1" ht="13.5" customHeight="1" x14ac:dyDescent="0.25">
      <c r="A94" s="75"/>
      <c r="B94" s="75"/>
      <c r="C94" s="75"/>
      <c r="D94" s="75"/>
      <c r="E94" s="75"/>
      <c r="F94" s="75"/>
      <c r="G94" s="75"/>
      <c r="H94" s="75"/>
      <c r="I94" s="75"/>
      <c r="J94" s="75"/>
      <c r="K94" s="75"/>
      <c r="L94" s="75"/>
      <c r="M94" s="75"/>
      <c r="N94" s="75"/>
      <c r="O94" s="75"/>
    </row>
    <row r="95" spans="1:15" s="1146" customFormat="1" ht="13.5" customHeight="1" x14ac:dyDescent="0.25">
      <c r="A95" s="75"/>
      <c r="B95" s="75"/>
      <c r="C95" s="75"/>
      <c r="D95" s="75"/>
      <c r="E95" s="75"/>
      <c r="F95" s="75"/>
      <c r="G95" s="75"/>
      <c r="H95" s="75"/>
      <c r="I95" s="75"/>
      <c r="J95" s="75"/>
      <c r="K95" s="75"/>
      <c r="L95" s="75"/>
      <c r="M95" s="75"/>
      <c r="N95" s="75"/>
      <c r="O95" s="75"/>
    </row>
    <row r="96" spans="1:15" s="1146" customFormat="1" ht="13.5" customHeight="1" x14ac:dyDescent="0.25">
      <c r="A96" s="75"/>
      <c r="B96" s="75"/>
      <c r="C96" s="75"/>
      <c r="D96" s="75"/>
      <c r="E96" s="75"/>
      <c r="F96" s="75"/>
      <c r="G96" s="75"/>
      <c r="H96" s="75"/>
      <c r="I96" s="75"/>
      <c r="J96" s="75"/>
      <c r="K96" s="75"/>
      <c r="L96" s="75"/>
      <c r="M96" s="75"/>
      <c r="N96" s="75"/>
      <c r="O96" s="75"/>
    </row>
    <row r="97" spans="1:8" s="1146" customFormat="1" ht="13.5" customHeight="1" x14ac:dyDescent="0.25">
      <c r="A97" s="1851" t="s">
        <v>901</v>
      </c>
      <c r="B97" s="1847" t="s">
        <v>1005</v>
      </c>
      <c r="C97" s="1847"/>
      <c r="D97" s="1847"/>
      <c r="E97" s="1847" t="s">
        <v>1006</v>
      </c>
      <c r="F97" s="1847"/>
      <c r="G97" s="1847"/>
      <c r="H97" s="1847"/>
    </row>
    <row r="98" spans="1:8" s="1146" customFormat="1" ht="13.5" customHeight="1" x14ac:dyDescent="0.25">
      <c r="A98" s="1851"/>
      <c r="B98" s="1157" t="s">
        <v>1007</v>
      </c>
      <c r="C98" s="1847" t="s">
        <v>1009</v>
      </c>
      <c r="D98" s="1842" t="s">
        <v>1010</v>
      </c>
      <c r="E98" s="1847" t="s">
        <v>1012</v>
      </c>
      <c r="F98" s="1847"/>
      <c r="G98" s="1847" t="s">
        <v>1015</v>
      </c>
      <c r="H98" s="1847"/>
    </row>
    <row r="99" spans="1:8" s="1146" customFormat="1" ht="13.5" customHeight="1" x14ac:dyDescent="0.25">
      <c r="A99" s="1851"/>
      <c r="B99" s="1157" t="s">
        <v>1008</v>
      </c>
      <c r="C99" s="1847"/>
      <c r="D99" s="1843"/>
      <c r="E99" s="1847" t="s">
        <v>1013</v>
      </c>
      <c r="F99" s="1847"/>
      <c r="G99" s="1847"/>
      <c r="H99" s="1847"/>
    </row>
    <row r="100" spans="1:8" s="1146" customFormat="1" ht="13.5" customHeight="1" x14ac:dyDescent="0.25">
      <c r="A100" s="1851"/>
      <c r="B100" s="1158"/>
      <c r="C100" s="1847"/>
      <c r="D100" s="1844"/>
      <c r="E100" s="1847" t="s">
        <v>1014</v>
      </c>
      <c r="F100" s="1847"/>
      <c r="G100" s="1847"/>
      <c r="H100" s="1847"/>
    </row>
    <row r="101" spans="1:8" s="1146" customFormat="1" ht="13.5" customHeight="1" x14ac:dyDescent="0.25">
      <c r="A101" s="1851"/>
      <c r="B101" s="1158"/>
      <c r="C101" s="1847"/>
      <c r="D101" s="1157" t="s">
        <v>1011</v>
      </c>
      <c r="E101" s="1157" t="s">
        <v>563</v>
      </c>
      <c r="F101" s="1157" t="s">
        <v>925</v>
      </c>
      <c r="G101" s="1157" t="s">
        <v>563</v>
      </c>
      <c r="H101" s="1159" t="s">
        <v>925</v>
      </c>
    </row>
    <row r="102" spans="1:8" s="1146" customFormat="1" ht="13.5" customHeight="1" x14ac:dyDescent="0.25">
      <c r="A102" s="1160"/>
      <c r="B102" s="1157"/>
      <c r="C102" s="1157"/>
      <c r="D102" s="1157"/>
      <c r="E102" s="1157"/>
      <c r="F102" s="1157"/>
      <c r="G102" s="1157"/>
      <c r="H102" s="1157"/>
    </row>
    <row r="103" spans="1:8" s="1146" customFormat="1" ht="13.5" customHeight="1" x14ac:dyDescent="0.25">
      <c r="A103" s="1845" t="s">
        <v>1016</v>
      </c>
      <c r="B103" s="1845"/>
      <c r="C103" s="1845"/>
      <c r="D103" s="1845"/>
      <c r="E103" s="1845"/>
      <c r="F103" s="1845"/>
      <c r="G103" s="1845"/>
      <c r="H103" s="1845"/>
    </row>
    <row r="104" spans="1:8" s="1146" customFormat="1" ht="13.5" customHeight="1" x14ac:dyDescent="0.25">
      <c r="A104" s="1841" t="s">
        <v>1017</v>
      </c>
      <c r="B104" s="1841"/>
      <c r="C104" s="1841"/>
      <c r="D104" s="1841"/>
      <c r="E104" s="1841"/>
      <c r="F104" s="1841"/>
      <c r="G104" s="1841"/>
      <c r="H104" s="1841"/>
    </row>
    <row r="105" spans="1:8" s="1146" customFormat="1" ht="13.5" customHeight="1" x14ac:dyDescent="0.25">
      <c r="A105" s="1157" t="s">
        <v>1018</v>
      </c>
      <c r="B105" s="1157">
        <v>150</v>
      </c>
      <c r="C105" s="1157">
        <v>1.34</v>
      </c>
      <c r="D105" s="1157">
        <v>0.05</v>
      </c>
      <c r="E105" s="1157">
        <v>1</v>
      </c>
      <c r="F105" s="1157">
        <v>5</v>
      </c>
      <c r="G105" s="1157">
        <v>5.1999999999999998E-2</v>
      </c>
      <c r="H105" s="1157">
        <v>0.06</v>
      </c>
    </row>
    <row r="106" spans="1:8" s="1146" customFormat="1" ht="13.5" customHeight="1" x14ac:dyDescent="0.25">
      <c r="A106" s="1157" t="s">
        <v>1018</v>
      </c>
      <c r="B106" s="1157">
        <v>100</v>
      </c>
      <c r="C106" s="1157">
        <v>1.34</v>
      </c>
      <c r="D106" s="1157">
        <v>4.1000000000000002E-2</v>
      </c>
      <c r="E106" s="1157">
        <v>2</v>
      </c>
      <c r="F106" s="1157">
        <v>10</v>
      </c>
      <c r="G106" s="1157">
        <v>4.1000000000000002E-2</v>
      </c>
      <c r="H106" s="1157">
        <v>5.1999999999999998E-2</v>
      </c>
    </row>
    <row r="107" spans="1:8" s="1146" customFormat="1" ht="13.5" customHeight="1" x14ac:dyDescent="0.25">
      <c r="A107" s="1157" t="s">
        <v>1020</v>
      </c>
      <c r="B107" s="1157">
        <v>40</v>
      </c>
      <c r="C107" s="1157">
        <v>1.34</v>
      </c>
      <c r="D107" s="1157">
        <v>3.6999999999999998E-2</v>
      </c>
      <c r="E107" s="1157">
        <v>2</v>
      </c>
      <c r="F107" s="1157">
        <v>10</v>
      </c>
      <c r="G107" s="1157">
        <v>4.1000000000000002E-2</v>
      </c>
      <c r="H107" s="1157">
        <v>0.05</v>
      </c>
    </row>
    <row r="108" spans="1:8" s="1146" customFormat="1" ht="13.5" customHeight="1" x14ac:dyDescent="0.25">
      <c r="A108" s="1157" t="s">
        <v>1021</v>
      </c>
      <c r="B108" s="1157">
        <v>18</v>
      </c>
      <c r="C108" s="1157">
        <v>1.34</v>
      </c>
      <c r="D108" s="1157">
        <v>4.2000000000000003E-2</v>
      </c>
      <c r="E108" s="1157">
        <v>2</v>
      </c>
      <c r="F108" s="1157">
        <v>10</v>
      </c>
      <c r="G108" s="1157">
        <v>4.2000000000000003E-2</v>
      </c>
      <c r="H108" s="1157">
        <v>4.2999999999999997E-2</v>
      </c>
    </row>
    <row r="109" spans="1:8" s="1146" customFormat="1" ht="13.5" customHeight="1" x14ac:dyDescent="0.25">
      <c r="A109" s="1157" t="s">
        <v>1022</v>
      </c>
      <c r="B109" s="1157">
        <v>24</v>
      </c>
      <c r="C109" s="1157">
        <v>1.34</v>
      </c>
      <c r="D109" s="1157">
        <v>0.04</v>
      </c>
      <c r="E109" s="1157">
        <v>2</v>
      </c>
      <c r="F109" s="1157">
        <v>10</v>
      </c>
      <c r="G109" s="1157">
        <v>0.04</v>
      </c>
      <c r="H109" s="1157">
        <v>4.1000000000000002E-2</v>
      </c>
    </row>
    <row r="110" spans="1:8" s="1146" customFormat="1" ht="13.5" customHeight="1" x14ac:dyDescent="0.25">
      <c r="A110" s="1157" t="s">
        <v>1023</v>
      </c>
      <c r="B110" s="1157">
        <v>25</v>
      </c>
      <c r="C110" s="1157">
        <v>1.34</v>
      </c>
      <c r="D110" s="1157">
        <v>2.9000000000000001E-2</v>
      </c>
      <c r="E110" s="1157">
        <v>2</v>
      </c>
      <c r="F110" s="1157">
        <v>10</v>
      </c>
      <c r="G110" s="1157">
        <v>3.1E-2</v>
      </c>
      <c r="H110" s="1157">
        <v>3.1E-2</v>
      </c>
    </row>
    <row r="111" spans="1:8" s="1146" customFormat="1" ht="13.5" customHeight="1" x14ac:dyDescent="0.25">
      <c r="A111" s="1157" t="s">
        <v>1024</v>
      </c>
      <c r="B111" s="1157">
        <v>28</v>
      </c>
      <c r="C111" s="1157">
        <v>1.34</v>
      </c>
      <c r="D111" s="1157">
        <v>2.9000000000000001E-2</v>
      </c>
      <c r="E111" s="1157">
        <v>2</v>
      </c>
      <c r="F111" s="1157">
        <v>10</v>
      </c>
      <c r="G111" s="1157">
        <v>3.1E-2</v>
      </c>
      <c r="H111" s="1157">
        <v>3.1E-2</v>
      </c>
    </row>
    <row r="112" spans="1:8" s="1146" customFormat="1" ht="13.5" customHeight="1" x14ac:dyDescent="0.25">
      <c r="A112" s="1157" t="s">
        <v>1025</v>
      </c>
      <c r="B112" s="1157">
        <v>33</v>
      </c>
      <c r="C112" s="1157">
        <v>1.34</v>
      </c>
      <c r="D112" s="1157">
        <v>2.9000000000000001E-2</v>
      </c>
      <c r="E112" s="1157">
        <v>2</v>
      </c>
      <c r="F112" s="1157">
        <v>10</v>
      </c>
      <c r="G112" s="1157">
        <v>3.1E-2</v>
      </c>
      <c r="H112" s="1157">
        <v>3.1E-2</v>
      </c>
    </row>
    <row r="113" spans="1:8" s="1146" customFormat="1" ht="13.5" customHeight="1" x14ac:dyDescent="0.25">
      <c r="A113" s="1157" t="s">
        <v>1026</v>
      </c>
      <c r="B113" s="1157">
        <v>35</v>
      </c>
      <c r="C113" s="1157">
        <v>1.34</v>
      </c>
      <c r="D113" s="1157">
        <v>0.03</v>
      </c>
      <c r="E113" s="1157">
        <v>2</v>
      </c>
      <c r="F113" s="1157">
        <v>10</v>
      </c>
      <c r="G113" s="1157">
        <v>3.1E-2</v>
      </c>
      <c r="H113" s="1157">
        <v>3.1E-2</v>
      </c>
    </row>
    <row r="114" spans="1:8" s="1146" customFormat="1" ht="13.5" customHeight="1" x14ac:dyDescent="0.25">
      <c r="A114" s="1157" t="s">
        <v>1027</v>
      </c>
      <c r="B114" s="1157">
        <v>45</v>
      </c>
      <c r="C114" s="1157">
        <v>1.34</v>
      </c>
      <c r="D114" s="1157">
        <v>0.03</v>
      </c>
      <c r="E114" s="1157">
        <v>2</v>
      </c>
      <c r="F114" s="1157">
        <v>10</v>
      </c>
      <c r="G114" s="1157">
        <v>3.1E-2</v>
      </c>
      <c r="H114" s="1157">
        <v>3.1E-2</v>
      </c>
    </row>
    <row r="115" spans="1:8" s="1146" customFormat="1" ht="13.5" customHeight="1" x14ac:dyDescent="0.25">
      <c r="A115" s="1157" t="s">
        <v>1028</v>
      </c>
      <c r="B115" s="1157">
        <v>15</v>
      </c>
      <c r="C115" s="1157">
        <v>1.34</v>
      </c>
      <c r="D115" s="1157">
        <v>3.9E-2</v>
      </c>
      <c r="E115" s="1157">
        <v>2</v>
      </c>
      <c r="F115" s="1157">
        <v>10</v>
      </c>
      <c r="G115" s="1157">
        <v>0.04</v>
      </c>
      <c r="H115" s="1157">
        <v>4.3999999999999997E-2</v>
      </c>
    </row>
    <row r="116" spans="1:8" s="1146" customFormat="1" ht="13.5" customHeight="1" x14ac:dyDescent="0.25">
      <c r="A116" s="1157" t="s">
        <v>1029</v>
      </c>
      <c r="B116" s="1157">
        <v>20</v>
      </c>
      <c r="C116" s="1157">
        <v>1.34</v>
      </c>
      <c r="D116" s="1157">
        <v>3.6999999999999998E-2</v>
      </c>
      <c r="E116" s="1157">
        <v>2</v>
      </c>
      <c r="F116" s="1157">
        <v>10</v>
      </c>
      <c r="G116" s="1157">
        <v>3.7999999999999999E-2</v>
      </c>
      <c r="H116" s="1157">
        <v>4.2000000000000003E-2</v>
      </c>
    </row>
    <row r="117" spans="1:8" s="1146" customFormat="1" ht="13.5" customHeight="1" x14ac:dyDescent="0.25">
      <c r="A117" s="1157" t="s">
        <v>1030</v>
      </c>
      <c r="B117" s="1157">
        <v>30</v>
      </c>
      <c r="C117" s="1161">
        <v>1.34</v>
      </c>
      <c r="D117" s="1157">
        <v>3.5000000000000003E-2</v>
      </c>
      <c r="E117" s="1157">
        <v>2</v>
      </c>
      <c r="F117" s="1157">
        <v>10</v>
      </c>
      <c r="G117" s="1157">
        <v>3.5999999999999997E-2</v>
      </c>
      <c r="H117" s="1157">
        <v>0.04</v>
      </c>
    </row>
    <row r="118" spans="1:8" s="1146" customFormat="1" ht="13.5" customHeight="1" x14ac:dyDescent="0.25">
      <c r="A118" s="1157" t="s">
        <v>1031</v>
      </c>
      <c r="B118" s="1157">
        <v>28</v>
      </c>
      <c r="C118" s="1161">
        <v>1.45</v>
      </c>
      <c r="D118" s="1162">
        <v>2.9000000000000001E-2</v>
      </c>
      <c r="E118" s="1157">
        <v>2</v>
      </c>
      <c r="F118" s="1157">
        <v>10</v>
      </c>
      <c r="G118" s="1157">
        <v>0.03</v>
      </c>
      <c r="H118" s="1157">
        <v>3.1E-2</v>
      </c>
    </row>
    <row r="119" spans="1:8" s="1146" customFormat="1" ht="13.5" customHeight="1" x14ac:dyDescent="0.25">
      <c r="A119" s="1157" t="s">
        <v>1032</v>
      </c>
      <c r="B119" s="1157">
        <v>32</v>
      </c>
      <c r="C119" s="1161">
        <v>1.45</v>
      </c>
      <c r="D119" s="1162">
        <v>2.8000000000000001E-2</v>
      </c>
      <c r="E119" s="1157">
        <v>2</v>
      </c>
      <c r="F119" s="1157">
        <v>10</v>
      </c>
      <c r="G119" s="1157">
        <v>2.9000000000000001E-2</v>
      </c>
      <c r="H119" s="1157">
        <v>2.9000000000000001E-2</v>
      </c>
    </row>
    <row r="120" spans="1:8" s="1146" customFormat="1" ht="13.5" customHeight="1" x14ac:dyDescent="0.25">
      <c r="A120" s="1157" t="s">
        <v>1033</v>
      </c>
      <c r="B120" s="1157">
        <v>32</v>
      </c>
      <c r="C120" s="1161">
        <v>1.45</v>
      </c>
      <c r="D120" s="1162">
        <v>0.03</v>
      </c>
      <c r="E120" s="1157">
        <v>2</v>
      </c>
      <c r="F120" s="1157">
        <v>10</v>
      </c>
      <c r="G120" s="1157">
        <v>3.2000000000000001E-2</v>
      </c>
      <c r="H120" s="1157">
        <v>3.2000000000000001E-2</v>
      </c>
    </row>
    <row r="121" spans="1:8" s="1146" customFormat="1" ht="13.5" customHeight="1" x14ac:dyDescent="0.25">
      <c r="A121" s="1157" t="s">
        <v>1034</v>
      </c>
      <c r="B121" s="1157">
        <v>38</v>
      </c>
      <c r="C121" s="1161">
        <v>1.45</v>
      </c>
      <c r="D121" s="1162">
        <v>2.7E-2</v>
      </c>
      <c r="E121" s="1157">
        <v>2</v>
      </c>
      <c r="F121" s="1157">
        <v>10</v>
      </c>
      <c r="G121" s="1157">
        <v>2.8000000000000001E-2</v>
      </c>
      <c r="H121" s="1157">
        <v>2.8000000000000001E-2</v>
      </c>
    </row>
    <row r="122" spans="1:8" s="1146" customFormat="1" ht="13.5" customHeight="1" x14ac:dyDescent="0.25">
      <c r="A122" s="1157" t="s">
        <v>1035</v>
      </c>
      <c r="B122" s="1157">
        <v>38</v>
      </c>
      <c r="C122" s="1161">
        <v>1.45</v>
      </c>
      <c r="D122" s="1162">
        <v>0.03</v>
      </c>
      <c r="E122" s="1157">
        <v>2</v>
      </c>
      <c r="F122" s="1157">
        <v>10</v>
      </c>
      <c r="G122" s="1157">
        <v>3.2000000000000001E-2</v>
      </c>
      <c r="H122" s="1157">
        <v>3.2000000000000001E-2</v>
      </c>
    </row>
    <row r="123" spans="1:8" s="1146" customFormat="1" ht="13.5" customHeight="1" x14ac:dyDescent="0.25">
      <c r="A123" s="1157" t="s">
        <v>1036</v>
      </c>
      <c r="B123" s="1157">
        <v>25</v>
      </c>
      <c r="C123" s="1161">
        <v>1.45</v>
      </c>
      <c r="D123" s="1162">
        <v>2.8000000000000001E-2</v>
      </c>
      <c r="E123" s="1157">
        <v>2</v>
      </c>
      <c r="F123" s="1157">
        <v>10</v>
      </c>
      <c r="G123" s="1157">
        <v>2.9000000000000001E-2</v>
      </c>
      <c r="H123" s="1157">
        <v>2.9000000000000001E-2</v>
      </c>
    </row>
    <row r="124" spans="1:8" s="1146" customFormat="1" ht="13.5" customHeight="1" x14ac:dyDescent="0.25">
      <c r="A124" s="1157" t="s">
        <v>1037</v>
      </c>
      <c r="B124" s="1157">
        <v>25</v>
      </c>
      <c r="C124" s="1161">
        <v>1.45</v>
      </c>
      <c r="D124" s="1162">
        <v>2.9000000000000001E-2</v>
      </c>
      <c r="E124" s="1157">
        <v>2</v>
      </c>
      <c r="F124" s="1157">
        <v>10</v>
      </c>
      <c r="G124" s="1157">
        <v>3.1E-2</v>
      </c>
      <c r="H124" s="1157">
        <v>3.1E-2</v>
      </c>
    </row>
    <row r="125" spans="1:8" s="1146" customFormat="1" ht="13.5" customHeight="1" x14ac:dyDescent="0.25">
      <c r="A125" s="1157" t="s">
        <v>1038</v>
      </c>
      <c r="B125" s="1157">
        <v>125</v>
      </c>
      <c r="C125" s="1161">
        <v>1.26</v>
      </c>
      <c r="D125" s="1162">
        <v>5.1999999999999998E-2</v>
      </c>
      <c r="E125" s="1157">
        <v>2</v>
      </c>
      <c r="F125" s="1157">
        <v>10</v>
      </c>
      <c r="G125" s="1157">
        <v>0.06</v>
      </c>
      <c r="H125" s="1157">
        <v>6.4000000000000001E-2</v>
      </c>
    </row>
    <row r="126" spans="1:8" s="1146" customFormat="1" ht="13.5" customHeight="1" x14ac:dyDescent="0.25">
      <c r="A126" s="1847" t="s">
        <v>1022</v>
      </c>
      <c r="B126" s="1157" t="s">
        <v>1039</v>
      </c>
      <c r="C126" s="1848">
        <v>1.26</v>
      </c>
      <c r="D126" s="1850">
        <v>4.1000000000000002E-2</v>
      </c>
      <c r="E126" s="1847">
        <v>2</v>
      </c>
      <c r="F126" s="1847">
        <v>10</v>
      </c>
      <c r="G126" s="1847">
        <v>0.05</v>
      </c>
      <c r="H126" s="1847">
        <v>5.1999999999999998E-2</v>
      </c>
    </row>
    <row r="127" spans="1:8" s="1146" customFormat="1" ht="13.5" customHeight="1" x14ac:dyDescent="0.25">
      <c r="A127" s="1847"/>
      <c r="B127" s="1157" t="s">
        <v>1040</v>
      </c>
      <c r="C127" s="1848"/>
      <c r="D127" s="1850"/>
      <c r="E127" s="1847"/>
      <c r="F127" s="1847"/>
      <c r="G127" s="1847"/>
      <c r="H127" s="1847"/>
    </row>
    <row r="128" spans="1:8" s="1146" customFormat="1" ht="13.5" customHeight="1" x14ac:dyDescent="0.25">
      <c r="A128" s="1157" t="s">
        <v>1041</v>
      </c>
      <c r="B128" s="1157">
        <v>80</v>
      </c>
      <c r="C128" s="1161">
        <v>1.47</v>
      </c>
      <c r="D128" s="1162">
        <v>4.1000000000000002E-2</v>
      </c>
      <c r="E128" s="1157">
        <v>2</v>
      </c>
      <c r="F128" s="1157">
        <v>5</v>
      </c>
      <c r="G128" s="1157">
        <v>0.05</v>
      </c>
      <c r="H128" s="1157">
        <v>0.05</v>
      </c>
    </row>
    <row r="129" spans="1:8" s="1146" customFormat="1" ht="13.5" customHeight="1" x14ac:dyDescent="0.25">
      <c r="A129" s="1160" t="s">
        <v>1019</v>
      </c>
      <c r="B129" s="1157">
        <v>60</v>
      </c>
      <c r="C129" s="1161">
        <v>1.47</v>
      </c>
      <c r="D129" s="1162">
        <v>3.5000000000000003E-2</v>
      </c>
      <c r="E129" s="1157">
        <v>2</v>
      </c>
      <c r="F129" s="1157">
        <v>5</v>
      </c>
      <c r="G129" s="1157">
        <v>4.1000000000000002E-2</v>
      </c>
      <c r="H129" s="1157">
        <v>4.1000000000000002E-2</v>
      </c>
    </row>
    <row r="130" spans="1:8" s="1146" customFormat="1" ht="13.5" customHeight="1" x14ac:dyDescent="0.25">
      <c r="A130" s="1160" t="s">
        <v>1019</v>
      </c>
      <c r="B130" s="1157">
        <v>40</v>
      </c>
      <c r="C130" s="1161">
        <v>1.47</v>
      </c>
      <c r="D130" s="1162">
        <v>2.9000000000000001E-2</v>
      </c>
      <c r="E130" s="1157">
        <v>2</v>
      </c>
      <c r="F130" s="1157">
        <v>5</v>
      </c>
      <c r="G130" s="1157">
        <v>0.04</v>
      </c>
      <c r="H130" s="1157">
        <v>0.04</v>
      </c>
    </row>
    <row r="131" spans="1:8" s="1146" customFormat="1" ht="29.25" customHeight="1" x14ac:dyDescent="0.25">
      <c r="A131" s="1157" t="s">
        <v>1042</v>
      </c>
      <c r="B131" s="1157">
        <v>90</v>
      </c>
      <c r="C131" s="1161">
        <v>1.68</v>
      </c>
      <c r="D131" s="1162">
        <v>4.4999999999999998E-2</v>
      </c>
      <c r="E131" s="1157">
        <v>5</v>
      </c>
      <c r="F131" s="1157">
        <v>20</v>
      </c>
      <c r="G131" s="1157">
        <v>5.2999999999999999E-2</v>
      </c>
      <c r="H131" s="1157">
        <v>7.2999999999999995E-2</v>
      </c>
    </row>
    <row r="132" spans="1:8" s="1146" customFormat="1" ht="13.5" customHeight="1" x14ac:dyDescent="0.25">
      <c r="A132" s="1157" t="s">
        <v>1022</v>
      </c>
      <c r="B132" s="1157">
        <v>80</v>
      </c>
      <c r="C132" s="1161">
        <v>1.68</v>
      </c>
      <c r="D132" s="1162">
        <v>4.3999999999999997E-2</v>
      </c>
      <c r="E132" s="1157">
        <v>5</v>
      </c>
      <c r="F132" s="1157">
        <v>20</v>
      </c>
      <c r="G132" s="1157">
        <v>5.0999999999999997E-2</v>
      </c>
      <c r="H132" s="1157">
        <v>7.0999999999999994E-2</v>
      </c>
    </row>
    <row r="133" spans="1:8" s="1146" customFormat="1" ht="13.5" customHeight="1" x14ac:dyDescent="0.25">
      <c r="A133" s="1160" t="s">
        <v>1019</v>
      </c>
      <c r="B133" s="1157">
        <v>50</v>
      </c>
      <c r="C133" s="1161">
        <v>1.68</v>
      </c>
      <c r="D133" s="1162">
        <v>4.1000000000000002E-2</v>
      </c>
      <c r="E133" s="1157">
        <v>5</v>
      </c>
      <c r="F133" s="1157">
        <v>20</v>
      </c>
      <c r="G133" s="1157">
        <v>4.4999999999999998E-2</v>
      </c>
      <c r="H133" s="1157">
        <v>6.4000000000000001E-2</v>
      </c>
    </row>
    <row r="134" spans="1:8" s="1146" customFormat="1" ht="13.5" customHeight="1" x14ac:dyDescent="0.25">
      <c r="A134" s="1157" t="s">
        <v>1043</v>
      </c>
      <c r="B134" s="1157">
        <v>200</v>
      </c>
      <c r="C134" s="1161">
        <v>1.05</v>
      </c>
      <c r="D134" s="1162">
        <v>4.1000000000000002E-2</v>
      </c>
      <c r="E134" s="1157">
        <v>2</v>
      </c>
      <c r="F134" s="1157">
        <v>3</v>
      </c>
      <c r="G134" s="1157">
        <v>5.1999999999999998E-2</v>
      </c>
      <c r="H134" s="1157">
        <v>0.06</v>
      </c>
    </row>
    <row r="135" spans="1:8" s="1146" customFormat="1" ht="13.5" customHeight="1" x14ac:dyDescent="0.25">
      <c r="A135" s="1160" t="s">
        <v>1019</v>
      </c>
      <c r="B135" s="1157">
        <v>100</v>
      </c>
      <c r="C135" s="1161">
        <v>1.05</v>
      </c>
      <c r="D135" s="1162">
        <v>3.5000000000000003E-2</v>
      </c>
      <c r="E135" s="1157">
        <v>2</v>
      </c>
      <c r="F135" s="1157">
        <v>3</v>
      </c>
      <c r="G135" s="1157">
        <v>4.1000000000000002E-2</v>
      </c>
      <c r="H135" s="1157">
        <v>0.05</v>
      </c>
    </row>
    <row r="136" spans="1:8" s="1146" customFormat="1" ht="13.5" customHeight="1" x14ac:dyDescent="0.25">
      <c r="A136" s="1157" t="s">
        <v>1044</v>
      </c>
      <c r="B136" s="1157">
        <v>300</v>
      </c>
      <c r="C136" s="1161">
        <v>1.05</v>
      </c>
      <c r="D136" s="1162">
        <v>7.5999999999999998E-2</v>
      </c>
      <c r="E136" s="1157">
        <v>3</v>
      </c>
      <c r="F136" s="1157">
        <v>12</v>
      </c>
      <c r="G136" s="1157">
        <v>0.08</v>
      </c>
      <c r="H136" s="1157">
        <v>0.12</v>
      </c>
    </row>
    <row r="137" spans="1:8" s="1146" customFormat="1" ht="13.5" customHeight="1" x14ac:dyDescent="0.25">
      <c r="A137" s="1157" t="s">
        <v>1022</v>
      </c>
      <c r="B137" s="1157">
        <v>200</v>
      </c>
      <c r="C137" s="1161">
        <v>1.05</v>
      </c>
      <c r="D137" s="1162">
        <v>6.4000000000000001E-2</v>
      </c>
      <c r="E137" s="1157">
        <v>3</v>
      </c>
      <c r="F137" s="1157">
        <v>12</v>
      </c>
      <c r="G137" s="1157">
        <v>7.0000000000000007E-2</v>
      </c>
      <c r="H137" s="1157">
        <v>0.09</v>
      </c>
    </row>
    <row r="138" spans="1:8" s="1146" customFormat="1" ht="13.5" customHeight="1" x14ac:dyDescent="0.25">
      <c r="A138" s="1157" t="s">
        <v>1045</v>
      </c>
      <c r="B138" s="1157">
        <v>80</v>
      </c>
      <c r="C138" s="1161">
        <v>1.806</v>
      </c>
      <c r="D138" s="1162">
        <v>3.4000000000000002E-2</v>
      </c>
      <c r="E138" s="1157">
        <v>5</v>
      </c>
      <c r="F138" s="1157">
        <v>15</v>
      </c>
      <c r="G138" s="1157">
        <v>0.04</v>
      </c>
      <c r="H138" s="1157">
        <v>5.3999999999999999E-2</v>
      </c>
    </row>
    <row r="139" spans="1:8" s="1146" customFormat="1" ht="13.5" customHeight="1" x14ac:dyDescent="0.25">
      <c r="A139" s="1847" t="s">
        <v>1046</v>
      </c>
      <c r="B139" s="1157" t="s">
        <v>1047</v>
      </c>
      <c r="C139" s="1161">
        <v>1.806</v>
      </c>
      <c r="D139" s="1162">
        <v>3.9E-2</v>
      </c>
      <c r="E139" s="1157">
        <v>0</v>
      </c>
      <c r="F139" s="1157">
        <v>0</v>
      </c>
      <c r="G139" s="1157">
        <v>3.9E-2</v>
      </c>
      <c r="H139" s="1157" t="s">
        <v>1052</v>
      </c>
    </row>
    <row r="140" spans="1:8" s="1146" customFormat="1" ht="13.5" customHeight="1" x14ac:dyDescent="0.25">
      <c r="A140" s="1847"/>
      <c r="B140" s="1157" t="s">
        <v>1048</v>
      </c>
      <c r="C140" s="1161" t="s">
        <v>1049</v>
      </c>
      <c r="D140" s="1162" t="s">
        <v>1050</v>
      </c>
      <c r="E140" s="1157" t="s">
        <v>1051</v>
      </c>
      <c r="F140" s="1157" t="s">
        <v>1051</v>
      </c>
      <c r="G140" s="1157" t="s">
        <v>1050</v>
      </c>
      <c r="H140" s="1157">
        <v>4.1000000000000002E-2</v>
      </c>
    </row>
    <row r="141" spans="1:8" s="1146" customFormat="1" ht="13.5" customHeight="1" x14ac:dyDescent="0.25">
      <c r="A141" s="1157" t="s">
        <v>1053</v>
      </c>
      <c r="B141" s="1157">
        <v>35</v>
      </c>
      <c r="C141" s="1161">
        <v>1.65</v>
      </c>
      <c r="D141" s="1162">
        <v>2.8000000000000001E-2</v>
      </c>
      <c r="E141" s="1157">
        <v>2</v>
      </c>
      <c r="F141" s="1157">
        <v>3</v>
      </c>
      <c r="G141" s="1157">
        <v>2.9000000000000001E-2</v>
      </c>
      <c r="H141" s="1157">
        <v>0.03</v>
      </c>
    </row>
    <row r="142" spans="1:8" s="1146" customFormat="1" ht="13.5" customHeight="1" x14ac:dyDescent="0.25">
      <c r="A142" s="1157" t="s">
        <v>1054</v>
      </c>
      <c r="B142" s="1157">
        <v>45</v>
      </c>
      <c r="C142" s="1161">
        <v>1.53</v>
      </c>
      <c r="D142" s="1162">
        <v>0.03</v>
      </c>
      <c r="E142" s="1157">
        <v>2</v>
      </c>
      <c r="F142" s="1157">
        <v>3</v>
      </c>
      <c r="G142" s="1157">
        <v>3.1E-2</v>
      </c>
      <c r="H142" s="1157">
        <v>3.2000000000000001E-2</v>
      </c>
    </row>
    <row r="143" spans="1:8" s="1146" customFormat="1" ht="13.5" customHeight="1" x14ac:dyDescent="0.25">
      <c r="A143" s="1841" t="s">
        <v>1055</v>
      </c>
      <c r="B143" s="1841"/>
      <c r="C143" s="1841"/>
      <c r="D143" s="1841"/>
      <c r="E143" s="1841"/>
      <c r="F143" s="1841"/>
      <c r="G143" s="1841"/>
      <c r="H143" s="1841"/>
    </row>
    <row r="144" spans="1:8" s="1146" customFormat="1" ht="13.5" customHeight="1" x14ac:dyDescent="0.25">
      <c r="A144" s="1157" t="s">
        <v>1056</v>
      </c>
      <c r="B144" s="1157">
        <v>125</v>
      </c>
      <c r="C144" s="1161">
        <v>0.84</v>
      </c>
      <c r="D144" s="1162">
        <v>4.3999999999999997E-2</v>
      </c>
      <c r="E144" s="1157">
        <v>2</v>
      </c>
      <c r="F144" s="1157">
        <v>5</v>
      </c>
      <c r="G144" s="1157">
        <v>6.4000000000000001E-2</v>
      </c>
      <c r="H144" s="1157">
        <v>7.0000000000000007E-2</v>
      </c>
    </row>
    <row r="145" spans="1:8" s="1146" customFormat="1" ht="13.5" customHeight="1" x14ac:dyDescent="0.25">
      <c r="A145" s="1157" t="s">
        <v>1057</v>
      </c>
      <c r="B145" s="1157">
        <v>100</v>
      </c>
      <c r="C145" s="1161">
        <v>0.84</v>
      </c>
      <c r="D145" s="1162">
        <v>4.3999999999999997E-2</v>
      </c>
      <c r="E145" s="1157">
        <v>2</v>
      </c>
      <c r="F145" s="1157">
        <v>5</v>
      </c>
      <c r="G145" s="1157">
        <v>6.0999999999999999E-2</v>
      </c>
      <c r="H145" s="1157">
        <v>6.7000000000000004E-2</v>
      </c>
    </row>
    <row r="146" spans="1:8" s="1146" customFormat="1" ht="13.5" customHeight="1" x14ac:dyDescent="0.25">
      <c r="A146" s="1157" t="s">
        <v>1022</v>
      </c>
      <c r="B146" s="1157">
        <v>75</v>
      </c>
      <c r="C146" s="1161">
        <v>0.84</v>
      </c>
      <c r="D146" s="1162">
        <v>4.5999999999999999E-2</v>
      </c>
      <c r="E146" s="1157">
        <v>2</v>
      </c>
      <c r="F146" s="1157">
        <v>5</v>
      </c>
      <c r="G146" s="1157">
        <v>5.8000000000000003E-2</v>
      </c>
      <c r="H146" s="1157">
        <v>6.4000000000000001E-2</v>
      </c>
    </row>
    <row r="147" spans="1:8" s="1146" customFormat="1" ht="13.5" customHeight="1" x14ac:dyDescent="0.25">
      <c r="A147" s="1157" t="s">
        <v>1058</v>
      </c>
      <c r="B147" s="1157">
        <v>225</v>
      </c>
      <c r="C147" s="1161">
        <v>0.84</v>
      </c>
      <c r="D147" s="1162">
        <v>5.3999999999999999E-2</v>
      </c>
      <c r="E147" s="1157">
        <v>2</v>
      </c>
      <c r="F147" s="1157">
        <v>5</v>
      </c>
      <c r="G147" s="1157">
        <v>7.1999999999999995E-2</v>
      </c>
      <c r="H147" s="1157">
        <v>8.2000000000000003E-2</v>
      </c>
    </row>
    <row r="148" spans="1:8" s="1146" customFormat="1" ht="13.5" customHeight="1" x14ac:dyDescent="0.25">
      <c r="A148" s="1157" t="s">
        <v>1022</v>
      </c>
      <c r="B148" s="1157">
        <v>175</v>
      </c>
      <c r="C148" s="1161">
        <v>0.84</v>
      </c>
      <c r="D148" s="1162">
        <v>5.1999999999999998E-2</v>
      </c>
      <c r="E148" s="1157">
        <v>2</v>
      </c>
      <c r="F148" s="1157">
        <v>5</v>
      </c>
      <c r="G148" s="1157">
        <v>6.6000000000000003E-2</v>
      </c>
      <c r="H148" s="1157">
        <v>7.5999999999999998E-2</v>
      </c>
    </row>
    <row r="149" spans="1:8" s="1146" customFormat="1" ht="13.5" customHeight="1" x14ac:dyDescent="0.25">
      <c r="A149" s="1161" t="s">
        <v>1019</v>
      </c>
      <c r="B149" s="1157">
        <v>125</v>
      </c>
      <c r="C149" s="1161">
        <v>0.84</v>
      </c>
      <c r="D149" s="1162">
        <v>4.9000000000000002E-2</v>
      </c>
      <c r="E149" s="1157">
        <v>2</v>
      </c>
      <c r="F149" s="1157">
        <v>5</v>
      </c>
      <c r="G149" s="1157">
        <v>6.4000000000000001E-2</v>
      </c>
      <c r="H149" s="1157">
        <v>7.0000000000000007E-2</v>
      </c>
    </row>
    <row r="150" spans="1:8" s="1146" customFormat="1" ht="13.5" customHeight="1" x14ac:dyDescent="0.25">
      <c r="A150" s="1161" t="s">
        <v>1019</v>
      </c>
      <c r="B150" s="1157">
        <v>75</v>
      </c>
      <c r="C150" s="1161">
        <v>0.84</v>
      </c>
      <c r="D150" s="1162">
        <v>4.7E-2</v>
      </c>
      <c r="E150" s="1157">
        <v>2</v>
      </c>
      <c r="F150" s="1157">
        <v>5</v>
      </c>
      <c r="G150" s="1157">
        <v>5.8000000000000003E-2</v>
      </c>
      <c r="H150" s="1157">
        <v>6.4000000000000001E-2</v>
      </c>
    </row>
    <row r="151" spans="1:8" s="1146" customFormat="1" ht="13.5" customHeight="1" x14ac:dyDescent="0.25">
      <c r="A151" s="1157" t="s">
        <v>1059</v>
      </c>
      <c r="B151" s="1157">
        <v>250</v>
      </c>
      <c r="C151" s="1161">
        <v>0.84</v>
      </c>
      <c r="D151" s="1162">
        <v>5.8000000000000003E-2</v>
      </c>
      <c r="E151" s="1157">
        <v>2</v>
      </c>
      <c r="F151" s="1157">
        <v>5</v>
      </c>
      <c r="G151" s="1157">
        <v>8.2000000000000003E-2</v>
      </c>
      <c r="H151" s="1157">
        <v>8.5000000000000006E-2</v>
      </c>
    </row>
    <row r="152" spans="1:8" s="1146" customFormat="1" ht="13.5" customHeight="1" x14ac:dyDescent="0.25">
      <c r="A152" s="1157" t="s">
        <v>1022</v>
      </c>
      <c r="B152" s="1157">
        <v>225</v>
      </c>
      <c r="C152" s="1161">
        <v>0.84</v>
      </c>
      <c r="D152" s="1162">
        <v>5.8000000000000003E-2</v>
      </c>
      <c r="E152" s="1157">
        <v>2</v>
      </c>
      <c r="F152" s="1157">
        <v>5</v>
      </c>
      <c r="G152" s="1157">
        <v>7.9000000000000001E-2</v>
      </c>
      <c r="H152" s="1157">
        <v>8.4000000000000005E-2</v>
      </c>
    </row>
    <row r="153" spans="1:8" s="1146" customFormat="1" ht="13.5" customHeight="1" x14ac:dyDescent="0.25">
      <c r="A153" s="1161" t="s">
        <v>1019</v>
      </c>
      <c r="B153" s="1157">
        <v>200</v>
      </c>
      <c r="C153" s="1161">
        <v>0.84</v>
      </c>
      <c r="D153" s="1162">
        <v>5.6000000000000001E-2</v>
      </c>
      <c r="E153" s="1157">
        <v>2</v>
      </c>
      <c r="F153" s="1157">
        <v>5</v>
      </c>
      <c r="G153" s="1157">
        <v>7.5999999999999998E-2</v>
      </c>
      <c r="H153" s="1157">
        <v>0.08</v>
      </c>
    </row>
    <row r="154" spans="1:8" s="1146" customFormat="1" ht="13.5" customHeight="1" x14ac:dyDescent="0.25">
      <c r="A154" s="1161" t="s">
        <v>1019</v>
      </c>
      <c r="B154" s="1157">
        <v>150</v>
      </c>
      <c r="C154" s="1161">
        <v>0.84</v>
      </c>
      <c r="D154" s="1162">
        <v>0.05</v>
      </c>
      <c r="E154" s="1157">
        <v>2</v>
      </c>
      <c r="F154" s="1157">
        <v>5</v>
      </c>
      <c r="G154" s="1157">
        <v>6.8000000000000005E-2</v>
      </c>
      <c r="H154" s="1157">
        <v>7.2999999999999995E-2</v>
      </c>
    </row>
    <row r="155" spans="1:8" s="1146" customFormat="1" ht="13.5" customHeight="1" x14ac:dyDescent="0.25">
      <c r="A155" s="1161" t="s">
        <v>1019</v>
      </c>
      <c r="B155" s="1157">
        <v>125</v>
      </c>
      <c r="C155" s="1161">
        <v>0.84</v>
      </c>
      <c r="D155" s="1162">
        <v>4.9000000000000002E-2</v>
      </c>
      <c r="E155" s="1157">
        <v>2</v>
      </c>
      <c r="F155" s="1157">
        <v>5</v>
      </c>
      <c r="G155" s="1157">
        <v>6.4000000000000001E-2</v>
      </c>
      <c r="H155" s="1157">
        <v>6.9000000000000006E-2</v>
      </c>
    </row>
    <row r="156" spans="1:8" s="1146" customFormat="1" ht="13.5" customHeight="1" x14ac:dyDescent="0.25">
      <c r="A156" s="1161" t="s">
        <v>1019</v>
      </c>
      <c r="B156" s="1157">
        <v>100</v>
      </c>
      <c r="C156" s="1161">
        <v>0.84</v>
      </c>
      <c r="D156" s="1162">
        <v>4.3999999999999997E-2</v>
      </c>
      <c r="E156" s="1157">
        <v>2</v>
      </c>
      <c r="F156" s="1157">
        <v>5</v>
      </c>
      <c r="G156" s="1157">
        <v>0.06</v>
      </c>
      <c r="H156" s="1157">
        <v>6.5000000000000002E-2</v>
      </c>
    </row>
    <row r="157" spans="1:8" s="1146" customFormat="1" ht="13.5" customHeight="1" x14ac:dyDescent="0.25">
      <c r="A157" s="1161" t="s">
        <v>1019</v>
      </c>
      <c r="B157" s="1157">
        <v>75</v>
      </c>
      <c r="C157" s="1161">
        <v>0.84</v>
      </c>
      <c r="D157" s="1162">
        <v>4.5999999999999999E-2</v>
      </c>
      <c r="E157" s="1157">
        <v>2</v>
      </c>
      <c r="F157" s="1157">
        <v>5</v>
      </c>
      <c r="G157" s="1157">
        <v>5.6000000000000001E-2</v>
      </c>
      <c r="H157" s="1157">
        <v>6.3E-2</v>
      </c>
    </row>
    <row r="158" spans="1:8" s="1146" customFormat="1" ht="13.5" customHeight="1" x14ac:dyDescent="0.25">
      <c r="A158" s="1157" t="s">
        <v>1060</v>
      </c>
      <c r="B158" s="1157">
        <v>180</v>
      </c>
      <c r="C158" s="1161">
        <v>0.84</v>
      </c>
      <c r="D158" s="1162">
        <v>3.7999999999999999E-2</v>
      </c>
      <c r="E158" s="1157">
        <v>2</v>
      </c>
      <c r="F158" s="1157">
        <v>5</v>
      </c>
      <c r="G158" s="1157">
        <v>4.4999999999999998E-2</v>
      </c>
      <c r="H158" s="1157">
        <v>4.8000000000000001E-2</v>
      </c>
    </row>
    <row r="159" spans="1:8" s="1146" customFormat="1" ht="13.5" customHeight="1" x14ac:dyDescent="0.25">
      <c r="A159" s="1157" t="s">
        <v>1022</v>
      </c>
      <c r="B159" s="1157" t="s">
        <v>1061</v>
      </c>
      <c r="C159" s="1161">
        <v>0.84</v>
      </c>
      <c r="D159" s="1162">
        <v>3.6999999999999998E-2</v>
      </c>
      <c r="E159" s="1157">
        <v>2</v>
      </c>
      <c r="F159" s="1157">
        <v>5</v>
      </c>
      <c r="G159" s="1157">
        <v>4.2999999999999997E-2</v>
      </c>
      <c r="H159" s="1157">
        <v>4.5999999999999999E-2</v>
      </c>
    </row>
    <row r="160" spans="1:8" s="1146" customFormat="1" ht="13.5" customHeight="1" x14ac:dyDescent="0.25">
      <c r="A160" s="1161" t="s">
        <v>1019</v>
      </c>
      <c r="B160" s="1157" t="s">
        <v>1062</v>
      </c>
      <c r="C160" s="1161">
        <v>0.84</v>
      </c>
      <c r="D160" s="1162">
        <v>3.5999999999999997E-2</v>
      </c>
      <c r="E160" s="1157">
        <v>2</v>
      </c>
      <c r="F160" s="1157">
        <v>5</v>
      </c>
      <c r="G160" s="1157">
        <v>4.2000000000000003E-2</v>
      </c>
      <c r="H160" s="1157">
        <v>4.4999999999999998E-2</v>
      </c>
    </row>
    <row r="161" spans="1:8" s="1146" customFormat="1" ht="13.5" customHeight="1" x14ac:dyDescent="0.25">
      <c r="A161" s="1161" t="s">
        <v>1019</v>
      </c>
      <c r="B161" s="1157" t="s">
        <v>1063</v>
      </c>
      <c r="C161" s="1161">
        <v>0.84</v>
      </c>
      <c r="D161" s="1162">
        <v>3.5000000000000003E-2</v>
      </c>
      <c r="E161" s="1157">
        <v>2</v>
      </c>
      <c r="F161" s="1157">
        <v>5</v>
      </c>
      <c r="G161" s="1157">
        <v>4.1000000000000002E-2</v>
      </c>
      <c r="H161" s="1157">
        <v>4.3999999999999997E-2</v>
      </c>
    </row>
    <row r="162" spans="1:8" s="1146" customFormat="1" ht="13.5" customHeight="1" x14ac:dyDescent="0.25">
      <c r="A162" s="1163"/>
      <c r="B162" s="1163"/>
      <c r="C162" s="1163"/>
      <c r="D162" s="1163"/>
      <c r="E162" s="1163"/>
      <c r="F162" s="1163"/>
      <c r="G162" s="1163"/>
      <c r="H162" s="1163"/>
    </row>
    <row r="163" spans="1:8" s="1146" customFormat="1" ht="13.5" customHeight="1" x14ac:dyDescent="0.25">
      <c r="A163" s="1161" t="s">
        <v>1019</v>
      </c>
      <c r="B163" s="1157" t="s">
        <v>1064</v>
      </c>
      <c r="C163" s="1161">
        <v>0.84</v>
      </c>
      <c r="D163" s="1162">
        <v>3.5999999999999997E-2</v>
      </c>
      <c r="E163" s="1157">
        <v>2</v>
      </c>
      <c r="F163" s="1157">
        <v>5</v>
      </c>
      <c r="G163" s="1157">
        <v>4.2000000000000003E-2</v>
      </c>
      <c r="H163" s="1157">
        <v>4.4999999999999998E-2</v>
      </c>
    </row>
    <row r="164" spans="1:8" s="1146" customFormat="1" ht="13.5" customHeight="1" x14ac:dyDescent="0.25">
      <c r="A164" s="1157" t="s">
        <v>1065</v>
      </c>
      <c r="B164" s="1157">
        <v>200</v>
      </c>
      <c r="C164" s="1161">
        <v>0.84</v>
      </c>
      <c r="D164" s="1162">
        <v>6.4000000000000001E-2</v>
      </c>
      <c r="E164" s="1157">
        <v>1</v>
      </c>
      <c r="F164" s="1157">
        <v>2</v>
      </c>
      <c r="G164" s="1157">
        <v>7.0000000000000007E-2</v>
      </c>
      <c r="H164" s="1157">
        <v>7.5999999999999998E-2</v>
      </c>
    </row>
    <row r="165" spans="1:8" s="1146" customFormat="1" ht="13.5" customHeight="1" x14ac:dyDescent="0.25">
      <c r="A165" s="1157" t="s">
        <v>1066</v>
      </c>
      <c r="B165" s="1157">
        <v>200</v>
      </c>
      <c r="C165" s="1161">
        <v>0.84</v>
      </c>
      <c r="D165" s="1162">
        <v>7.0000000000000007E-2</v>
      </c>
      <c r="E165" s="1157">
        <v>2</v>
      </c>
      <c r="F165" s="1157">
        <v>5</v>
      </c>
      <c r="G165" s="1157">
        <v>7.5999999999999998E-2</v>
      </c>
      <c r="H165" s="1157">
        <v>0.08</v>
      </c>
    </row>
    <row r="166" spans="1:8" s="1146" customFormat="1" ht="13.5" customHeight="1" x14ac:dyDescent="0.25">
      <c r="A166" s="1157" t="s">
        <v>1022</v>
      </c>
      <c r="B166" s="1157">
        <v>125</v>
      </c>
      <c r="C166" s="1161">
        <v>0.84</v>
      </c>
      <c r="D166" s="1162">
        <v>5.6000000000000001E-2</v>
      </c>
      <c r="E166" s="1157">
        <v>2</v>
      </c>
      <c r="F166" s="1157">
        <v>5</v>
      </c>
      <c r="G166" s="1157">
        <v>0.06</v>
      </c>
      <c r="H166" s="1157">
        <v>6.4000000000000001E-2</v>
      </c>
    </row>
    <row r="167" spans="1:8" s="1146" customFormat="1" ht="13.5" customHeight="1" x14ac:dyDescent="0.25">
      <c r="A167" s="1157" t="s">
        <v>1067</v>
      </c>
      <c r="B167" s="1157">
        <v>45</v>
      </c>
      <c r="C167" s="1161">
        <v>0.84</v>
      </c>
      <c r="D167" s="1162">
        <v>4.7E-2</v>
      </c>
      <c r="E167" s="1157">
        <v>2</v>
      </c>
      <c r="F167" s="1157">
        <v>5</v>
      </c>
      <c r="G167" s="1157">
        <v>0.06</v>
      </c>
      <c r="H167" s="1157">
        <v>6.4000000000000001E-2</v>
      </c>
    </row>
    <row r="168" spans="1:8" s="1146" customFormat="1" ht="13.5" customHeight="1" x14ac:dyDescent="0.25">
      <c r="A168" s="1157" t="s">
        <v>1068</v>
      </c>
      <c r="B168" s="1157">
        <v>150</v>
      </c>
      <c r="C168" s="1161">
        <v>0.84</v>
      </c>
      <c r="D168" s="1162">
        <v>6.0999999999999999E-2</v>
      </c>
      <c r="E168" s="1157">
        <v>2</v>
      </c>
      <c r="F168" s="1157">
        <v>5</v>
      </c>
      <c r="G168" s="1157">
        <v>6.4000000000000001E-2</v>
      </c>
      <c r="H168" s="1157">
        <v>7.0000000000000007E-2</v>
      </c>
    </row>
    <row r="169" spans="1:8" s="1146" customFormat="1" ht="13.5" customHeight="1" x14ac:dyDescent="0.25">
      <c r="A169" s="1157" t="s">
        <v>1069</v>
      </c>
      <c r="B169" s="1157">
        <v>25</v>
      </c>
      <c r="C169" s="1161">
        <v>0.84</v>
      </c>
      <c r="D169" s="1162">
        <v>0.04</v>
      </c>
      <c r="E169" s="1157">
        <v>2</v>
      </c>
      <c r="F169" s="1157">
        <v>5</v>
      </c>
      <c r="G169" s="1157">
        <v>4.2999999999999997E-2</v>
      </c>
      <c r="H169" s="1157">
        <v>0.05</v>
      </c>
    </row>
    <row r="170" spans="1:8" s="1146" customFormat="1" ht="13.5" customHeight="1" x14ac:dyDescent="0.25">
      <c r="A170" s="1157" t="s">
        <v>1022</v>
      </c>
      <c r="B170" s="1157">
        <v>17</v>
      </c>
      <c r="C170" s="1161">
        <v>0.84</v>
      </c>
      <c r="D170" s="1162">
        <v>4.3999999999999997E-2</v>
      </c>
      <c r="E170" s="1157">
        <v>2</v>
      </c>
      <c r="F170" s="1157">
        <v>5</v>
      </c>
      <c r="G170" s="1157">
        <v>4.5999999999999999E-2</v>
      </c>
      <c r="H170" s="1157">
        <v>5.2999999999999999E-2</v>
      </c>
    </row>
    <row r="171" spans="1:8" s="1146" customFormat="1" ht="13.5" customHeight="1" x14ac:dyDescent="0.25">
      <c r="A171" s="1161" t="s">
        <v>1019</v>
      </c>
      <c r="B171" s="1157">
        <v>15</v>
      </c>
      <c r="C171" s="1161">
        <v>0.84</v>
      </c>
      <c r="D171" s="1162">
        <v>4.5999999999999999E-2</v>
      </c>
      <c r="E171" s="1157">
        <v>2</v>
      </c>
      <c r="F171" s="1157">
        <v>5</v>
      </c>
      <c r="G171" s="1157">
        <v>4.8000000000000001E-2</v>
      </c>
      <c r="H171" s="1157">
        <v>5.2999999999999999E-2</v>
      </c>
    </row>
    <row r="172" spans="1:8" s="1146" customFormat="1" ht="13.5" customHeight="1" x14ac:dyDescent="0.25">
      <c r="A172" s="1161" t="s">
        <v>1019</v>
      </c>
      <c r="B172" s="1157">
        <v>11</v>
      </c>
      <c r="C172" s="1161">
        <v>0.84</v>
      </c>
      <c r="D172" s="1162">
        <v>4.8000000000000001E-2</v>
      </c>
      <c r="E172" s="1157">
        <v>2</v>
      </c>
      <c r="F172" s="1157">
        <v>5</v>
      </c>
      <c r="G172" s="1157">
        <v>0.05</v>
      </c>
      <c r="H172" s="1157">
        <v>5.5E-2</v>
      </c>
    </row>
    <row r="173" spans="1:8" s="1146" customFormat="1" ht="13.5" customHeight="1" x14ac:dyDescent="0.25">
      <c r="A173" s="1157" t="s">
        <v>1070</v>
      </c>
      <c r="B173" s="1157">
        <v>85</v>
      </c>
      <c r="C173" s="1161">
        <v>0.84</v>
      </c>
      <c r="D173" s="1162">
        <v>4.3999999999999997E-2</v>
      </c>
      <c r="E173" s="1157">
        <v>2</v>
      </c>
      <c r="F173" s="1157">
        <v>5</v>
      </c>
      <c r="G173" s="1157">
        <v>4.5999999999999999E-2</v>
      </c>
      <c r="H173" s="1157">
        <v>0.05</v>
      </c>
    </row>
    <row r="174" spans="1:8" s="1146" customFormat="1" ht="13.5" customHeight="1" x14ac:dyDescent="0.25">
      <c r="A174" s="1157" t="s">
        <v>1022</v>
      </c>
      <c r="B174" s="1157">
        <v>75</v>
      </c>
      <c r="C174" s="1161">
        <v>0.84</v>
      </c>
      <c r="D174" s="1162">
        <v>0.04</v>
      </c>
      <c r="E174" s="1157">
        <v>2</v>
      </c>
      <c r="F174" s="1157">
        <v>5</v>
      </c>
      <c r="G174" s="1157">
        <v>4.2000000000000003E-2</v>
      </c>
      <c r="H174" s="1157">
        <v>4.7E-2</v>
      </c>
    </row>
    <row r="175" spans="1:8" s="1146" customFormat="1" ht="13.5" customHeight="1" x14ac:dyDescent="0.25">
      <c r="A175" s="1161" t="s">
        <v>1019</v>
      </c>
      <c r="B175" s="1157">
        <v>60</v>
      </c>
      <c r="C175" s="1161">
        <v>0.84</v>
      </c>
      <c r="D175" s="1162">
        <v>3.7999999999999999E-2</v>
      </c>
      <c r="E175" s="1157">
        <v>2</v>
      </c>
      <c r="F175" s="1157">
        <v>5</v>
      </c>
      <c r="G175" s="1157">
        <v>0.04</v>
      </c>
      <c r="H175" s="1157">
        <v>4.4999999999999998E-2</v>
      </c>
    </row>
    <row r="176" spans="1:8" s="1146" customFormat="1" ht="13.5" customHeight="1" x14ac:dyDescent="0.25">
      <c r="A176" s="1161" t="s">
        <v>1019</v>
      </c>
      <c r="B176" s="1157">
        <v>45</v>
      </c>
      <c r="C176" s="1161">
        <v>0.84</v>
      </c>
      <c r="D176" s="1162">
        <v>3.9E-2</v>
      </c>
      <c r="E176" s="1157">
        <v>2</v>
      </c>
      <c r="F176" s="1157">
        <v>5</v>
      </c>
      <c r="G176" s="1157">
        <v>4.1000000000000002E-2</v>
      </c>
      <c r="H176" s="1157">
        <v>4.4999999999999998E-2</v>
      </c>
    </row>
    <row r="177" spans="1:8" s="1146" customFormat="1" ht="13.5" customHeight="1" x14ac:dyDescent="0.25">
      <c r="A177" s="1161" t="s">
        <v>1019</v>
      </c>
      <c r="B177" s="1157">
        <v>35</v>
      </c>
      <c r="C177" s="1161">
        <v>0.84</v>
      </c>
      <c r="D177" s="1162">
        <v>3.9E-2</v>
      </c>
      <c r="E177" s="1157">
        <v>2</v>
      </c>
      <c r="F177" s="1157">
        <v>5</v>
      </c>
      <c r="G177" s="1157">
        <v>4.1000000000000002E-2</v>
      </c>
      <c r="H177" s="1157">
        <v>4.5999999999999999E-2</v>
      </c>
    </row>
    <row r="178" spans="1:8" s="1146" customFormat="1" ht="13.5" customHeight="1" x14ac:dyDescent="0.25">
      <c r="A178" s="1161" t="s">
        <v>1019</v>
      </c>
      <c r="B178" s="1157">
        <v>30</v>
      </c>
      <c r="C178" s="1161">
        <v>0.84</v>
      </c>
      <c r="D178" s="1162">
        <v>0.04</v>
      </c>
      <c r="E178" s="1157">
        <v>2</v>
      </c>
      <c r="F178" s="1157">
        <v>5</v>
      </c>
      <c r="G178" s="1157">
        <v>4.2000000000000003E-2</v>
      </c>
      <c r="H178" s="1157">
        <v>4.5999999999999999E-2</v>
      </c>
    </row>
    <row r="179" spans="1:8" s="1146" customFormat="1" ht="13.5" customHeight="1" x14ac:dyDescent="0.25">
      <c r="A179" s="1161" t="s">
        <v>1019</v>
      </c>
      <c r="B179" s="1157">
        <v>20</v>
      </c>
      <c r="C179" s="1161">
        <v>0.84</v>
      </c>
      <c r="D179" s="1162">
        <v>0.04</v>
      </c>
      <c r="E179" s="1157">
        <v>2</v>
      </c>
      <c r="F179" s="1157">
        <v>5</v>
      </c>
      <c r="G179" s="1157">
        <v>4.2999999999999997E-2</v>
      </c>
      <c r="H179" s="1157">
        <v>4.8000000000000001E-2</v>
      </c>
    </row>
    <row r="180" spans="1:8" s="1146" customFormat="1" ht="13.5" customHeight="1" x14ac:dyDescent="0.25">
      <c r="A180" s="1161" t="s">
        <v>1019</v>
      </c>
      <c r="B180" s="1157">
        <v>17</v>
      </c>
      <c r="C180" s="1161">
        <v>0.84</v>
      </c>
      <c r="D180" s="1162">
        <v>4.3999999999999997E-2</v>
      </c>
      <c r="E180" s="1157">
        <v>2</v>
      </c>
      <c r="F180" s="1157">
        <v>5</v>
      </c>
      <c r="G180" s="1157">
        <v>4.7E-2</v>
      </c>
      <c r="H180" s="1157">
        <v>5.2999999999999999E-2</v>
      </c>
    </row>
    <row r="181" spans="1:8" s="1146" customFormat="1" ht="13.5" customHeight="1" x14ac:dyDescent="0.25">
      <c r="A181" s="1161" t="s">
        <v>1019</v>
      </c>
      <c r="B181" s="1157">
        <v>15</v>
      </c>
      <c r="C181" s="1161">
        <v>0.84</v>
      </c>
      <c r="D181" s="1162">
        <v>4.5999999999999999E-2</v>
      </c>
      <c r="E181" s="1157">
        <v>2</v>
      </c>
      <c r="F181" s="1157">
        <v>5</v>
      </c>
      <c r="G181" s="1157">
        <v>4.9000000000000002E-2</v>
      </c>
      <c r="H181" s="1157">
        <v>5.5E-2</v>
      </c>
    </row>
    <row r="182" spans="1:8" s="1146" customFormat="1" ht="13.5" customHeight="1" x14ac:dyDescent="0.25">
      <c r="A182" s="1157" t="s">
        <v>1071</v>
      </c>
      <c r="B182" s="1157">
        <v>400</v>
      </c>
      <c r="C182" s="1161">
        <v>0.84</v>
      </c>
      <c r="D182" s="1162">
        <v>0.11</v>
      </c>
      <c r="E182" s="1157">
        <v>1</v>
      </c>
      <c r="F182" s="1157">
        <v>2</v>
      </c>
      <c r="G182" s="1157">
        <v>0.12</v>
      </c>
      <c r="H182" s="1157">
        <v>0.14000000000000001</v>
      </c>
    </row>
    <row r="183" spans="1:8" s="1146" customFormat="1" ht="13.5" customHeight="1" x14ac:dyDescent="0.25">
      <c r="A183" s="1157" t="s">
        <v>1022</v>
      </c>
      <c r="B183" s="1157">
        <v>300</v>
      </c>
      <c r="C183" s="1161">
        <v>0.84</v>
      </c>
      <c r="D183" s="1162">
        <v>0.09</v>
      </c>
      <c r="E183" s="1157">
        <v>1</v>
      </c>
      <c r="F183" s="1157">
        <v>2</v>
      </c>
      <c r="G183" s="1157">
        <v>0.11</v>
      </c>
      <c r="H183" s="1157">
        <v>0.12</v>
      </c>
    </row>
    <row r="184" spans="1:8" s="1146" customFormat="1" ht="13.5" customHeight="1" x14ac:dyDescent="0.25">
      <c r="A184" s="1161" t="s">
        <v>1019</v>
      </c>
      <c r="B184" s="1157">
        <v>200</v>
      </c>
      <c r="C184" s="1161">
        <v>0.84</v>
      </c>
      <c r="D184" s="1162">
        <v>7.0000000000000007E-2</v>
      </c>
      <c r="E184" s="1157">
        <v>1</v>
      </c>
      <c r="F184" s="1157">
        <v>2</v>
      </c>
      <c r="G184" s="1157">
        <v>0.08</v>
      </c>
      <c r="H184" s="1157">
        <v>0.09</v>
      </c>
    </row>
    <row r="185" spans="1:8" s="1146" customFormat="1" ht="13.5" customHeight="1" x14ac:dyDescent="0.25">
      <c r="A185" s="1841" t="s">
        <v>1072</v>
      </c>
      <c r="B185" s="1841"/>
      <c r="C185" s="1841"/>
      <c r="D185" s="1841"/>
      <c r="E185" s="1841"/>
      <c r="F185" s="1841"/>
      <c r="G185" s="1841"/>
      <c r="H185" s="1841"/>
    </row>
    <row r="186" spans="1:8" s="1146" customFormat="1" ht="13.5" customHeight="1" x14ac:dyDescent="0.25">
      <c r="A186" s="1157" t="s">
        <v>1073</v>
      </c>
      <c r="B186" s="1157">
        <v>1000</v>
      </c>
      <c r="C186" s="1161">
        <v>2.2999999999999998</v>
      </c>
      <c r="D186" s="1162">
        <v>0.15</v>
      </c>
      <c r="E186" s="1157">
        <v>10</v>
      </c>
      <c r="F186" s="1157">
        <v>12</v>
      </c>
      <c r="G186" s="1157">
        <v>0.23</v>
      </c>
      <c r="H186" s="1157">
        <v>0.28999999999999998</v>
      </c>
    </row>
    <row r="187" spans="1:8" s="1146" customFormat="1" ht="13.5" customHeight="1" x14ac:dyDescent="0.25">
      <c r="A187" s="1157" t="s">
        <v>1022</v>
      </c>
      <c r="B187" s="1157">
        <v>800</v>
      </c>
      <c r="C187" s="1161">
        <v>2.2999999999999998</v>
      </c>
      <c r="D187" s="1162">
        <v>0.13</v>
      </c>
      <c r="E187" s="1157">
        <v>10</v>
      </c>
      <c r="F187" s="1157">
        <v>12</v>
      </c>
      <c r="G187" s="1157">
        <v>0.19</v>
      </c>
      <c r="H187" s="1157">
        <v>0.23</v>
      </c>
    </row>
    <row r="188" spans="1:8" s="1146" customFormat="1" ht="13.5" customHeight="1" x14ac:dyDescent="0.25">
      <c r="A188" s="1161" t="s">
        <v>1019</v>
      </c>
      <c r="B188" s="1157">
        <v>600</v>
      </c>
      <c r="C188" s="1161">
        <v>2.2999999999999998</v>
      </c>
      <c r="D188" s="1162">
        <v>0.11</v>
      </c>
      <c r="E188" s="1157">
        <v>10</v>
      </c>
      <c r="F188" s="1157">
        <v>12</v>
      </c>
      <c r="G188" s="1157">
        <v>0.13</v>
      </c>
      <c r="H188" s="1157">
        <v>0.16</v>
      </c>
    </row>
    <row r="189" spans="1:8" s="1146" customFormat="1" ht="13.5" customHeight="1" x14ac:dyDescent="0.25">
      <c r="A189" s="1161" t="s">
        <v>1019</v>
      </c>
      <c r="B189" s="1157">
        <v>400</v>
      </c>
      <c r="C189" s="1161">
        <v>2.2999999999999998</v>
      </c>
      <c r="D189" s="1162">
        <v>0.08</v>
      </c>
      <c r="E189" s="1157">
        <v>10</v>
      </c>
      <c r="F189" s="1157">
        <v>12</v>
      </c>
      <c r="G189" s="1157">
        <v>0.11</v>
      </c>
      <c r="H189" s="1157">
        <v>0.13</v>
      </c>
    </row>
    <row r="190" spans="1:8" s="1146" customFormat="1" ht="13.5" customHeight="1" x14ac:dyDescent="0.25">
      <c r="A190" s="1157" t="s">
        <v>1074</v>
      </c>
      <c r="B190" s="1157">
        <v>200</v>
      </c>
      <c r="C190" s="1161">
        <v>2.2999999999999998</v>
      </c>
      <c r="D190" s="1162">
        <v>0.06</v>
      </c>
      <c r="E190" s="1157">
        <v>10</v>
      </c>
      <c r="F190" s="1157">
        <v>12</v>
      </c>
      <c r="G190" s="1157">
        <v>7.0000000000000007E-2</v>
      </c>
      <c r="H190" s="1157">
        <v>0.08</v>
      </c>
    </row>
    <row r="191" spans="1:8" s="1146" customFormat="1" ht="13.5" customHeight="1" x14ac:dyDescent="0.25">
      <c r="A191" s="1157" t="s">
        <v>1075</v>
      </c>
      <c r="B191" s="1157">
        <v>500</v>
      </c>
      <c r="C191" s="1161">
        <v>2.2999999999999998</v>
      </c>
      <c r="D191" s="1162">
        <v>9.5000000000000001E-2</v>
      </c>
      <c r="E191" s="1157">
        <v>10</v>
      </c>
      <c r="F191" s="1157">
        <v>15</v>
      </c>
      <c r="G191" s="1157">
        <v>0.15</v>
      </c>
      <c r="H191" s="1157">
        <v>0.19</v>
      </c>
    </row>
    <row r="192" spans="1:8" s="1146" customFormat="1" ht="13.5" customHeight="1" x14ac:dyDescent="0.25">
      <c r="A192" s="1157" t="s">
        <v>1022</v>
      </c>
      <c r="B192" s="1157">
        <v>450</v>
      </c>
      <c r="C192" s="1161">
        <v>2.2999999999999998</v>
      </c>
      <c r="D192" s="1162">
        <v>0.09</v>
      </c>
      <c r="E192" s="1157">
        <v>10</v>
      </c>
      <c r="F192" s="1157">
        <v>15</v>
      </c>
      <c r="G192" s="1157">
        <v>0.13500000000000001</v>
      </c>
      <c r="H192" s="1157">
        <v>0.17</v>
      </c>
    </row>
    <row r="193" spans="1:8" s="1146" customFormat="1" ht="13.5" customHeight="1" x14ac:dyDescent="0.25">
      <c r="A193" s="1161" t="s">
        <v>1019</v>
      </c>
      <c r="B193" s="1157">
        <v>400</v>
      </c>
      <c r="C193" s="1161">
        <v>2.2999999999999998</v>
      </c>
      <c r="D193" s="1162">
        <v>0.08</v>
      </c>
      <c r="E193" s="1157">
        <v>10</v>
      </c>
      <c r="F193" s="1157">
        <v>15</v>
      </c>
      <c r="G193" s="1157">
        <v>0.13</v>
      </c>
      <c r="H193" s="1157">
        <v>0.16</v>
      </c>
    </row>
    <row r="194" spans="1:8" s="1146" customFormat="1" ht="13.5" customHeight="1" x14ac:dyDescent="0.25">
      <c r="A194" s="1157" t="s">
        <v>1076</v>
      </c>
      <c r="B194" s="1157">
        <v>300</v>
      </c>
      <c r="C194" s="1161">
        <v>2.2999999999999998</v>
      </c>
      <c r="D194" s="1162">
        <v>7.0000000000000007E-2</v>
      </c>
      <c r="E194" s="1157">
        <v>10</v>
      </c>
      <c r="F194" s="1157">
        <v>15</v>
      </c>
      <c r="G194" s="1157">
        <v>0.09</v>
      </c>
      <c r="H194" s="1157">
        <v>0.14000000000000001</v>
      </c>
    </row>
    <row r="195" spans="1:8" s="1146" customFormat="1" ht="13.5" customHeight="1" x14ac:dyDescent="0.25">
      <c r="A195" s="1157" t="s">
        <v>1022</v>
      </c>
      <c r="B195" s="1157">
        <v>200</v>
      </c>
      <c r="C195" s="1161">
        <v>2.2999999999999998</v>
      </c>
      <c r="D195" s="1162">
        <v>0.06</v>
      </c>
      <c r="E195" s="1157">
        <v>10</v>
      </c>
      <c r="F195" s="1157">
        <v>15</v>
      </c>
      <c r="G195" s="1157">
        <v>7.0000000000000007E-2</v>
      </c>
      <c r="H195" s="1157">
        <v>0.09</v>
      </c>
    </row>
    <row r="196" spans="1:8" s="1146" customFormat="1" ht="13.5" customHeight="1" x14ac:dyDescent="0.25">
      <c r="A196" s="1157" t="s">
        <v>1077</v>
      </c>
      <c r="B196" s="1157">
        <v>300</v>
      </c>
      <c r="C196" s="1161">
        <v>2.2999999999999998</v>
      </c>
      <c r="D196" s="1162">
        <v>6.4000000000000001E-2</v>
      </c>
      <c r="E196" s="1157">
        <v>15</v>
      </c>
      <c r="F196" s="1157">
        <v>20</v>
      </c>
      <c r="G196" s="1157">
        <v>7.0000000000000007E-2</v>
      </c>
      <c r="H196" s="1157">
        <v>0.08</v>
      </c>
    </row>
    <row r="197" spans="1:8" s="1146" customFormat="1" ht="13.5" customHeight="1" x14ac:dyDescent="0.25">
      <c r="A197" s="1157" t="s">
        <v>1022</v>
      </c>
      <c r="B197" s="1157">
        <v>200</v>
      </c>
      <c r="C197" s="1161">
        <v>2.2999999999999998</v>
      </c>
      <c r="D197" s="1162">
        <v>5.1999999999999998E-2</v>
      </c>
      <c r="E197" s="1157">
        <v>15</v>
      </c>
      <c r="F197" s="1157">
        <v>20</v>
      </c>
      <c r="G197" s="1157">
        <v>0.06</v>
      </c>
      <c r="H197" s="1157">
        <v>6.4000000000000001E-2</v>
      </c>
    </row>
    <row r="198" spans="1:8" s="1146" customFormat="1" ht="13.5" customHeight="1" x14ac:dyDescent="0.25">
      <c r="A198" s="1157" t="s">
        <v>1078</v>
      </c>
      <c r="B198" s="1157">
        <v>150</v>
      </c>
      <c r="C198" s="1161">
        <v>2.2999999999999998</v>
      </c>
      <c r="D198" s="1162">
        <v>0.05</v>
      </c>
      <c r="E198" s="1157">
        <v>7</v>
      </c>
      <c r="F198" s="1157">
        <v>12</v>
      </c>
      <c r="G198" s="1157">
        <v>0.06</v>
      </c>
      <c r="H198" s="1157">
        <v>7.0000000000000007E-2</v>
      </c>
    </row>
    <row r="199" spans="1:8" s="1146" customFormat="1" ht="13.5" customHeight="1" x14ac:dyDescent="0.25">
      <c r="A199" s="1157" t="s">
        <v>1079</v>
      </c>
      <c r="B199" s="1157">
        <v>1350</v>
      </c>
      <c r="C199" s="1161">
        <v>0.84</v>
      </c>
      <c r="D199" s="1162">
        <v>0.35</v>
      </c>
      <c r="E199" s="1157">
        <v>4</v>
      </c>
      <c r="F199" s="1157">
        <v>6</v>
      </c>
      <c r="G199" s="1157">
        <v>0.5</v>
      </c>
      <c r="H199" s="1157">
        <v>0.56000000000000005</v>
      </c>
    </row>
    <row r="200" spans="1:8" s="1146" customFormat="1" ht="13.5" customHeight="1" x14ac:dyDescent="0.25">
      <c r="A200" s="1157" t="s">
        <v>1022</v>
      </c>
      <c r="B200" s="1157">
        <v>1100</v>
      </c>
      <c r="C200" s="1161">
        <v>0.84</v>
      </c>
      <c r="D200" s="1162">
        <v>0.23</v>
      </c>
      <c r="E200" s="1157">
        <v>4</v>
      </c>
      <c r="F200" s="1157">
        <v>6</v>
      </c>
      <c r="G200" s="1157">
        <v>0.35</v>
      </c>
      <c r="H200" s="1157">
        <v>0.41</v>
      </c>
    </row>
    <row r="201" spans="1:8" s="1146" customFormat="1" ht="13.5" customHeight="1" x14ac:dyDescent="0.25">
      <c r="A201" s="1157" t="s">
        <v>1080</v>
      </c>
      <c r="B201" s="1157">
        <v>1050</v>
      </c>
      <c r="C201" s="1161">
        <v>0.84</v>
      </c>
      <c r="D201" s="1162">
        <v>0.15</v>
      </c>
      <c r="E201" s="1157">
        <v>4</v>
      </c>
      <c r="F201" s="1157">
        <v>6</v>
      </c>
      <c r="G201" s="1157">
        <v>0.34</v>
      </c>
      <c r="H201" s="1157">
        <v>0.36</v>
      </c>
    </row>
    <row r="202" spans="1:8" s="1146" customFormat="1" ht="13.5" customHeight="1" x14ac:dyDescent="0.25">
      <c r="A202" s="1157" t="s">
        <v>1022</v>
      </c>
      <c r="B202" s="1157">
        <v>800</v>
      </c>
      <c r="C202" s="1161">
        <v>0.84</v>
      </c>
      <c r="D202" s="1162">
        <v>0.15</v>
      </c>
      <c r="E202" s="1157">
        <v>4</v>
      </c>
      <c r="F202" s="1157">
        <v>6</v>
      </c>
      <c r="G202" s="1157">
        <v>0.19</v>
      </c>
      <c r="H202" s="1157">
        <v>0.21</v>
      </c>
    </row>
    <row r="203" spans="1:8" s="1146" customFormat="1" ht="13.5" customHeight="1" x14ac:dyDescent="0.25">
      <c r="A203" s="1157" t="s">
        <v>1081</v>
      </c>
      <c r="B203" s="1157">
        <v>300</v>
      </c>
      <c r="C203" s="1161">
        <v>1.68</v>
      </c>
      <c r="D203" s="1162">
        <v>8.6999999999999994E-2</v>
      </c>
      <c r="E203" s="1157">
        <v>1</v>
      </c>
      <c r="F203" s="1157">
        <v>2</v>
      </c>
      <c r="G203" s="1157">
        <v>0.09</v>
      </c>
      <c r="H203" s="1157">
        <v>9.9000000000000005E-2</v>
      </c>
    </row>
    <row r="204" spans="1:8" s="1146" customFormat="1" ht="13.5" customHeight="1" x14ac:dyDescent="0.25">
      <c r="A204" s="1157" t="s">
        <v>1022</v>
      </c>
      <c r="B204" s="1157">
        <v>250</v>
      </c>
      <c r="C204" s="1161">
        <v>1.68</v>
      </c>
      <c r="D204" s="1162">
        <v>8.2000000000000003E-2</v>
      </c>
      <c r="E204" s="1157">
        <v>1</v>
      </c>
      <c r="F204" s="1157">
        <v>2</v>
      </c>
      <c r="G204" s="1157">
        <v>8.5000000000000006E-2</v>
      </c>
      <c r="H204" s="1157">
        <v>9.9000000000000005E-2</v>
      </c>
    </row>
    <row r="205" spans="1:8" s="1146" customFormat="1" ht="13.5" customHeight="1" x14ac:dyDescent="0.25">
      <c r="A205" s="1163"/>
      <c r="B205" s="1163"/>
      <c r="C205" s="1163"/>
      <c r="D205" s="1163"/>
      <c r="E205" s="1163"/>
      <c r="F205" s="1163"/>
      <c r="G205" s="1163"/>
      <c r="H205" s="1163"/>
    </row>
    <row r="206" spans="1:8" s="1146" customFormat="1" ht="13.5" customHeight="1" x14ac:dyDescent="0.25">
      <c r="A206" s="1161" t="s">
        <v>1019</v>
      </c>
      <c r="B206" s="1157">
        <v>225</v>
      </c>
      <c r="C206" s="1161">
        <v>1.68</v>
      </c>
      <c r="D206" s="1162">
        <v>7.9000000000000001E-2</v>
      </c>
      <c r="E206" s="1157">
        <v>1</v>
      </c>
      <c r="F206" s="1157">
        <v>2</v>
      </c>
      <c r="G206" s="1157">
        <v>8.2000000000000003E-2</v>
      </c>
      <c r="H206" s="1157">
        <v>9.4E-2</v>
      </c>
    </row>
    <row r="207" spans="1:8" s="1146" customFormat="1" ht="13.5" customHeight="1" x14ac:dyDescent="0.25">
      <c r="A207" s="1161" t="s">
        <v>1019</v>
      </c>
      <c r="B207" s="1157">
        <v>200</v>
      </c>
      <c r="C207" s="1161">
        <v>1.68</v>
      </c>
      <c r="D207" s="1162">
        <v>7.5999999999999998E-2</v>
      </c>
      <c r="E207" s="1157">
        <v>1</v>
      </c>
      <c r="F207" s="1157">
        <v>2</v>
      </c>
      <c r="G207" s="1157">
        <v>7.8E-2</v>
      </c>
      <c r="H207" s="1157">
        <v>0.09</v>
      </c>
    </row>
    <row r="208" spans="1:8" s="1146" customFormat="1" ht="13.5" customHeight="1" x14ac:dyDescent="0.25">
      <c r="A208" s="1841" t="s">
        <v>1082</v>
      </c>
      <c r="B208" s="1841"/>
      <c r="C208" s="1841"/>
      <c r="D208" s="1841"/>
      <c r="E208" s="1841"/>
      <c r="F208" s="1841"/>
      <c r="G208" s="1841"/>
      <c r="H208" s="1841"/>
    </row>
    <row r="209" spans="1:8" s="1146" customFormat="1" ht="13.5" customHeight="1" x14ac:dyDescent="0.25">
      <c r="A209" s="1157" t="s">
        <v>1083</v>
      </c>
      <c r="B209" s="1157">
        <v>600</v>
      </c>
      <c r="C209" s="1161">
        <v>0.84</v>
      </c>
      <c r="D209" s="1162">
        <v>0.14000000000000001</v>
      </c>
      <c r="E209" s="1157">
        <v>2</v>
      </c>
      <c r="F209" s="1157">
        <v>3</v>
      </c>
      <c r="G209" s="1157">
        <v>0.17</v>
      </c>
      <c r="H209" s="1157">
        <v>0.19</v>
      </c>
    </row>
    <row r="210" spans="1:8" s="1146" customFormat="1" ht="13.5" customHeight="1" x14ac:dyDescent="0.25">
      <c r="A210" s="1157" t="s">
        <v>1022</v>
      </c>
      <c r="B210" s="1164">
        <v>500</v>
      </c>
      <c r="C210" s="1161">
        <v>0.84</v>
      </c>
      <c r="D210" s="1162">
        <v>0.14000000000000001</v>
      </c>
      <c r="E210" s="1157">
        <v>2</v>
      </c>
      <c r="F210" s="1157">
        <v>3</v>
      </c>
      <c r="G210" s="1157">
        <v>0.15</v>
      </c>
      <c r="H210" s="1157">
        <v>0.16500000000000001</v>
      </c>
    </row>
    <row r="211" spans="1:8" s="1146" customFormat="1" ht="13.5" customHeight="1" x14ac:dyDescent="0.25">
      <c r="A211" s="1161" t="s">
        <v>1019</v>
      </c>
      <c r="B211" s="1157">
        <v>450</v>
      </c>
      <c r="C211" s="1161">
        <v>0.84</v>
      </c>
      <c r="D211" s="1162">
        <v>0.13</v>
      </c>
      <c r="E211" s="1157">
        <v>2</v>
      </c>
      <c r="F211" s="1157">
        <v>3</v>
      </c>
      <c r="G211" s="1157">
        <v>0.14000000000000001</v>
      </c>
      <c r="H211" s="1157">
        <v>0.155</v>
      </c>
    </row>
    <row r="212" spans="1:8" s="1146" customFormat="1" ht="13.5" customHeight="1" x14ac:dyDescent="0.25">
      <c r="A212" s="1161" t="s">
        <v>1019</v>
      </c>
      <c r="B212" s="1157">
        <v>400</v>
      </c>
      <c r="C212" s="1161">
        <v>0.84</v>
      </c>
      <c r="D212" s="1162">
        <v>0.12</v>
      </c>
      <c r="E212" s="1157">
        <v>2</v>
      </c>
      <c r="F212" s="1157">
        <v>3</v>
      </c>
      <c r="G212" s="1157">
        <v>0.13</v>
      </c>
      <c r="H212" s="1157">
        <v>0.14499999999999999</v>
      </c>
    </row>
    <row r="213" spans="1:8" s="1146" customFormat="1" ht="13.5" customHeight="1" x14ac:dyDescent="0.25">
      <c r="A213" s="1161" t="s">
        <v>1019</v>
      </c>
      <c r="B213" s="1164">
        <v>350</v>
      </c>
      <c r="C213" s="1161">
        <v>0.84</v>
      </c>
      <c r="D213" s="1162">
        <v>0.115</v>
      </c>
      <c r="E213" s="1157">
        <v>2</v>
      </c>
      <c r="F213" s="1157">
        <v>3</v>
      </c>
      <c r="G213" s="1157">
        <v>0.125</v>
      </c>
      <c r="H213" s="1157">
        <v>0.14000000000000001</v>
      </c>
    </row>
    <row r="214" spans="1:8" s="1146" customFormat="1" ht="13.5" customHeight="1" x14ac:dyDescent="0.25">
      <c r="A214" s="1161" t="s">
        <v>1019</v>
      </c>
      <c r="B214" s="1164">
        <v>300</v>
      </c>
      <c r="C214" s="1161">
        <v>0.84</v>
      </c>
      <c r="D214" s="1162">
        <v>0.108</v>
      </c>
      <c r="E214" s="1157">
        <v>2</v>
      </c>
      <c r="F214" s="1157">
        <v>3</v>
      </c>
      <c r="G214" s="1157">
        <v>0.12</v>
      </c>
      <c r="H214" s="1157">
        <v>0.13</v>
      </c>
    </row>
    <row r="215" spans="1:8" s="1146" customFormat="1" ht="13.5" customHeight="1" x14ac:dyDescent="0.25">
      <c r="A215" s="1157" t="s">
        <v>1083</v>
      </c>
      <c r="B215" s="1157">
        <v>250</v>
      </c>
      <c r="C215" s="1161">
        <v>0.84</v>
      </c>
      <c r="D215" s="1162">
        <v>9.9000000000000005E-2</v>
      </c>
      <c r="E215" s="1157">
        <v>2</v>
      </c>
      <c r="F215" s="1157">
        <v>3</v>
      </c>
      <c r="G215" s="1157">
        <v>0.11</v>
      </c>
      <c r="H215" s="1157">
        <v>0.12</v>
      </c>
    </row>
    <row r="216" spans="1:8" s="1146" customFormat="1" ht="13.5" customHeight="1" x14ac:dyDescent="0.25">
      <c r="A216" s="1157" t="s">
        <v>1084</v>
      </c>
      <c r="B216" s="1164">
        <v>700</v>
      </c>
      <c r="C216" s="1161">
        <v>0.84</v>
      </c>
      <c r="D216" s="1162">
        <v>0.16</v>
      </c>
      <c r="E216" s="1157">
        <v>2</v>
      </c>
      <c r="F216" s="1157">
        <v>4</v>
      </c>
      <c r="G216" s="1157">
        <v>0.18</v>
      </c>
      <c r="H216" s="1157">
        <v>0.21</v>
      </c>
    </row>
    <row r="217" spans="1:8" s="1146" customFormat="1" ht="13.5" customHeight="1" x14ac:dyDescent="0.25">
      <c r="A217" s="1157" t="s">
        <v>1022</v>
      </c>
      <c r="B217" s="1157">
        <v>600</v>
      </c>
      <c r="C217" s="1161">
        <v>0.84</v>
      </c>
      <c r="D217" s="1162">
        <v>0.13</v>
      </c>
      <c r="E217" s="1157">
        <v>2</v>
      </c>
      <c r="F217" s="1157">
        <v>4</v>
      </c>
      <c r="G217" s="1157">
        <v>0.16</v>
      </c>
      <c r="H217" s="1157">
        <v>0.19</v>
      </c>
    </row>
    <row r="218" spans="1:8" s="1146" customFormat="1" ht="13.5" customHeight="1" x14ac:dyDescent="0.25">
      <c r="A218" s="1161" t="s">
        <v>1019</v>
      </c>
      <c r="B218" s="1164">
        <v>500</v>
      </c>
      <c r="C218" s="1161">
        <v>0.84</v>
      </c>
      <c r="D218" s="1162">
        <v>0.12</v>
      </c>
      <c r="E218" s="1157">
        <v>2</v>
      </c>
      <c r="F218" s="1157">
        <v>4</v>
      </c>
      <c r="G218" s="1157">
        <v>0.15</v>
      </c>
      <c r="H218" s="1157">
        <v>0.17499999999999999</v>
      </c>
    </row>
    <row r="219" spans="1:8" s="1146" customFormat="1" ht="13.5" customHeight="1" x14ac:dyDescent="0.25">
      <c r="A219" s="1161" t="s">
        <v>1019</v>
      </c>
      <c r="B219" s="1157">
        <v>450</v>
      </c>
      <c r="C219" s="1161">
        <v>0.84</v>
      </c>
      <c r="D219" s="1162">
        <v>0.11</v>
      </c>
      <c r="E219" s="1157">
        <v>2</v>
      </c>
      <c r="F219" s="1157">
        <v>4</v>
      </c>
      <c r="G219" s="1157">
        <v>0.14000000000000001</v>
      </c>
      <c r="H219" s="1157">
        <v>0.16</v>
      </c>
    </row>
    <row r="220" spans="1:8" s="1146" customFormat="1" ht="13.5" customHeight="1" x14ac:dyDescent="0.25">
      <c r="A220" s="1161" t="s">
        <v>1019</v>
      </c>
      <c r="B220" s="1157">
        <v>400</v>
      </c>
      <c r="C220" s="1161">
        <v>0.84</v>
      </c>
      <c r="D220" s="1162">
        <v>0.11</v>
      </c>
      <c r="E220" s="1157">
        <v>2</v>
      </c>
      <c r="F220" s="1157">
        <v>4</v>
      </c>
      <c r="G220" s="1157">
        <v>0.13</v>
      </c>
      <c r="H220" s="1157">
        <v>0.15</v>
      </c>
    </row>
    <row r="221" spans="1:8" s="1146" customFormat="1" ht="13.5" customHeight="1" x14ac:dyDescent="0.25">
      <c r="A221" s="1157" t="s">
        <v>1085</v>
      </c>
      <c r="B221" s="1157">
        <v>1000</v>
      </c>
      <c r="C221" s="1161">
        <v>0.84</v>
      </c>
      <c r="D221" s="1162">
        <v>0.21</v>
      </c>
      <c r="E221" s="1157">
        <v>2</v>
      </c>
      <c r="F221" s="1157">
        <v>3</v>
      </c>
      <c r="G221" s="1157">
        <v>0.24</v>
      </c>
      <c r="H221" s="1157">
        <v>0.31</v>
      </c>
    </row>
    <row r="222" spans="1:8" s="1146" customFormat="1" ht="13.5" customHeight="1" x14ac:dyDescent="0.25">
      <c r="A222" s="1157" t="s">
        <v>1086</v>
      </c>
      <c r="B222" s="1164">
        <v>900</v>
      </c>
      <c r="C222" s="1161">
        <v>0.84</v>
      </c>
      <c r="D222" s="1162">
        <v>0.19</v>
      </c>
      <c r="E222" s="1157">
        <v>2</v>
      </c>
      <c r="F222" s="1157">
        <v>3</v>
      </c>
      <c r="G222" s="1157">
        <v>0.23</v>
      </c>
      <c r="H222" s="1157">
        <v>0.3</v>
      </c>
    </row>
    <row r="223" spans="1:8" s="1146" customFormat="1" ht="13.5" customHeight="1" x14ac:dyDescent="0.25">
      <c r="A223" s="1157" t="s">
        <v>1022</v>
      </c>
      <c r="B223" s="1164">
        <v>800</v>
      </c>
      <c r="C223" s="1161">
        <v>0.84</v>
      </c>
      <c r="D223" s="1162">
        <v>0.18</v>
      </c>
      <c r="E223" s="1157">
        <v>2</v>
      </c>
      <c r="F223" s="1157">
        <v>3</v>
      </c>
      <c r="G223" s="1157">
        <v>0.21</v>
      </c>
      <c r="H223" s="1157">
        <v>0.26</v>
      </c>
    </row>
    <row r="224" spans="1:8" s="1146" customFormat="1" ht="13.5" customHeight="1" x14ac:dyDescent="0.25">
      <c r="A224" s="1161" t="s">
        <v>1019</v>
      </c>
      <c r="B224" s="1157">
        <v>700</v>
      </c>
      <c r="C224" s="1161">
        <v>0.84</v>
      </c>
      <c r="D224" s="1162">
        <v>0.16</v>
      </c>
      <c r="E224" s="1157">
        <v>2</v>
      </c>
      <c r="F224" s="1157">
        <v>3</v>
      </c>
      <c r="G224" s="1157">
        <v>0.19</v>
      </c>
      <c r="H224" s="1157">
        <v>0.23</v>
      </c>
    </row>
    <row r="225" spans="1:8" s="1146" customFormat="1" ht="13.5" customHeight="1" x14ac:dyDescent="0.25">
      <c r="A225" s="1161" t="s">
        <v>1019</v>
      </c>
      <c r="B225" s="1157">
        <v>600</v>
      </c>
      <c r="C225" s="1161">
        <v>0.84</v>
      </c>
      <c r="D225" s="1162">
        <v>0.15</v>
      </c>
      <c r="E225" s="1157">
        <v>2</v>
      </c>
      <c r="F225" s="1157">
        <v>3</v>
      </c>
      <c r="G225" s="1157">
        <v>0.18</v>
      </c>
      <c r="H225" s="1157">
        <v>0.21</v>
      </c>
    </row>
    <row r="226" spans="1:8" s="1146" customFormat="1" ht="13.5" customHeight="1" x14ac:dyDescent="0.25">
      <c r="A226" s="1161" t="s">
        <v>1019</v>
      </c>
      <c r="B226" s="1164">
        <v>500</v>
      </c>
      <c r="C226" s="1161">
        <v>0.84</v>
      </c>
      <c r="D226" s="1162">
        <v>0.14000000000000001</v>
      </c>
      <c r="E226" s="1157">
        <v>2</v>
      </c>
      <c r="F226" s="1157">
        <v>3</v>
      </c>
      <c r="G226" s="1157">
        <v>0.16</v>
      </c>
      <c r="H226" s="1157">
        <v>0.19</v>
      </c>
    </row>
    <row r="227" spans="1:8" s="1146" customFormat="1" ht="13.5" customHeight="1" x14ac:dyDescent="0.25">
      <c r="A227" s="1161" t="s">
        <v>1019</v>
      </c>
      <c r="B227" s="1157">
        <v>450</v>
      </c>
      <c r="C227" s="1161">
        <v>0.84</v>
      </c>
      <c r="D227" s="1162">
        <v>0.13</v>
      </c>
      <c r="E227" s="1157">
        <v>2</v>
      </c>
      <c r="F227" s="1157">
        <v>3</v>
      </c>
      <c r="G227" s="1157">
        <v>0.15</v>
      </c>
      <c r="H227" s="1157">
        <v>0.17</v>
      </c>
    </row>
    <row r="228" spans="1:8" s="1146" customFormat="1" ht="13.5" customHeight="1" x14ac:dyDescent="0.25">
      <c r="A228" s="1161" t="s">
        <v>1019</v>
      </c>
      <c r="B228" s="1157">
        <v>400</v>
      </c>
      <c r="C228" s="1161">
        <v>0.84</v>
      </c>
      <c r="D228" s="1162">
        <v>0.122</v>
      </c>
      <c r="E228" s="1157">
        <v>2</v>
      </c>
      <c r="F228" s="1157">
        <v>3</v>
      </c>
      <c r="G228" s="1157">
        <v>0.14000000000000001</v>
      </c>
      <c r="H228" s="1157">
        <v>0.16</v>
      </c>
    </row>
    <row r="229" spans="1:8" s="1146" customFormat="1" ht="13.5" customHeight="1" x14ac:dyDescent="0.25">
      <c r="A229" s="1157" t="s">
        <v>1087</v>
      </c>
      <c r="B229" s="1164">
        <v>500</v>
      </c>
      <c r="C229" s="1161">
        <v>0.84</v>
      </c>
      <c r="D229" s="1162">
        <v>0.09</v>
      </c>
      <c r="E229" s="1157">
        <v>1</v>
      </c>
      <c r="F229" s="1157">
        <v>2</v>
      </c>
      <c r="G229" s="1157">
        <v>0.1</v>
      </c>
      <c r="H229" s="1157">
        <v>0.11</v>
      </c>
    </row>
    <row r="230" spans="1:8" s="1146" customFormat="1" ht="13.5" customHeight="1" x14ac:dyDescent="0.25">
      <c r="A230" s="1157" t="s">
        <v>1022</v>
      </c>
      <c r="B230" s="1157">
        <v>400</v>
      </c>
      <c r="C230" s="1161">
        <v>0.84</v>
      </c>
      <c r="D230" s="1162">
        <v>7.5999999999999998E-2</v>
      </c>
      <c r="E230" s="1157">
        <v>1</v>
      </c>
      <c r="F230" s="1157">
        <v>2</v>
      </c>
      <c r="G230" s="1157">
        <v>8.6999999999999994E-2</v>
      </c>
      <c r="H230" s="1157">
        <v>9.5000000000000001E-2</v>
      </c>
    </row>
    <row r="231" spans="1:8" s="1146" customFormat="1" ht="13.5" customHeight="1" x14ac:dyDescent="0.25">
      <c r="A231" s="1161" t="s">
        <v>1019</v>
      </c>
      <c r="B231" s="1164">
        <v>350</v>
      </c>
      <c r="C231" s="1161">
        <v>0.84</v>
      </c>
      <c r="D231" s="1162">
        <v>7.0000000000000007E-2</v>
      </c>
      <c r="E231" s="1157">
        <v>1</v>
      </c>
      <c r="F231" s="1157">
        <v>2</v>
      </c>
      <c r="G231" s="1157">
        <v>8.1000000000000003E-2</v>
      </c>
      <c r="H231" s="1157">
        <v>8.5000000000000006E-2</v>
      </c>
    </row>
    <row r="232" spans="1:8" s="1146" customFormat="1" ht="13.5" customHeight="1" x14ac:dyDescent="0.25">
      <c r="A232" s="1161" t="s">
        <v>1019</v>
      </c>
      <c r="B232" s="1164">
        <v>300</v>
      </c>
      <c r="C232" s="1161">
        <v>0.84</v>
      </c>
      <c r="D232" s="1162">
        <v>6.4000000000000001E-2</v>
      </c>
      <c r="E232" s="1157">
        <v>1</v>
      </c>
      <c r="F232" s="1157">
        <v>2</v>
      </c>
      <c r="G232" s="1157">
        <v>7.5999999999999998E-2</v>
      </c>
      <c r="H232" s="1157">
        <v>0.08</v>
      </c>
    </row>
    <row r="233" spans="1:8" s="1146" customFormat="1" ht="13.5" customHeight="1" x14ac:dyDescent="0.25">
      <c r="A233" s="1157" t="s">
        <v>1088</v>
      </c>
      <c r="B233" s="1157">
        <v>200</v>
      </c>
      <c r="C233" s="1161">
        <v>0.84</v>
      </c>
      <c r="D233" s="1162">
        <v>6.5000000000000002E-2</v>
      </c>
      <c r="E233" s="1157">
        <v>1</v>
      </c>
      <c r="F233" s="1157">
        <v>3</v>
      </c>
      <c r="G233" s="1157">
        <v>0.08</v>
      </c>
      <c r="H233" s="1157">
        <v>9.5000000000000001E-2</v>
      </c>
    </row>
    <row r="234" spans="1:8" s="1146" customFormat="1" ht="13.5" customHeight="1" x14ac:dyDescent="0.25">
      <c r="A234" s="1157" t="s">
        <v>1022</v>
      </c>
      <c r="B234" s="1164">
        <v>150</v>
      </c>
      <c r="C234" s="1161">
        <v>0.84</v>
      </c>
      <c r="D234" s="1162">
        <v>0.06</v>
      </c>
      <c r="E234" s="1157">
        <v>1</v>
      </c>
      <c r="F234" s="1157">
        <v>3</v>
      </c>
      <c r="G234" s="1157">
        <v>7.3999999999999996E-2</v>
      </c>
      <c r="H234" s="1157">
        <v>9.8000000000000004E-2</v>
      </c>
    </row>
    <row r="235" spans="1:8" s="1146" customFormat="1" ht="13.5" customHeight="1" x14ac:dyDescent="0.25">
      <c r="A235" s="1161" t="s">
        <v>1019</v>
      </c>
      <c r="B235" s="1164">
        <v>100</v>
      </c>
      <c r="C235" s="1161">
        <v>0.84</v>
      </c>
      <c r="D235" s="1162">
        <v>5.5E-2</v>
      </c>
      <c r="E235" s="1157">
        <v>1</v>
      </c>
      <c r="F235" s="1157">
        <v>3</v>
      </c>
      <c r="G235" s="1157">
        <v>6.7000000000000004E-2</v>
      </c>
      <c r="H235" s="1157">
        <v>0.08</v>
      </c>
    </row>
    <row r="236" spans="1:8" s="1146" customFormat="1" ht="13.5" customHeight="1" x14ac:dyDescent="0.25">
      <c r="A236" s="1157" t="s">
        <v>1089</v>
      </c>
      <c r="B236" s="1157">
        <v>1600</v>
      </c>
      <c r="C236" s="1161">
        <v>0.84</v>
      </c>
      <c r="D236" s="1162">
        <v>0.35</v>
      </c>
      <c r="E236" s="1157">
        <v>1</v>
      </c>
      <c r="F236" s="1157">
        <v>2</v>
      </c>
      <c r="G236" s="1157">
        <v>0.47</v>
      </c>
      <c r="H236" s="1157">
        <v>0.57999999999999996</v>
      </c>
    </row>
    <row r="237" spans="1:8" s="1146" customFormat="1" ht="13.5" customHeight="1" x14ac:dyDescent="0.25">
      <c r="A237" s="1841" t="s">
        <v>1090</v>
      </c>
      <c r="B237" s="1841"/>
      <c r="C237" s="1841"/>
      <c r="D237" s="1841"/>
      <c r="E237" s="1841"/>
      <c r="F237" s="1841"/>
      <c r="G237" s="1841"/>
      <c r="H237" s="1841"/>
    </row>
    <row r="238" spans="1:8" s="1146" customFormat="1" ht="13.5" customHeight="1" x14ac:dyDescent="0.25">
      <c r="A238" s="1157" t="s">
        <v>1091</v>
      </c>
      <c r="B238" s="1157">
        <v>1400</v>
      </c>
      <c r="C238" s="1161">
        <v>0.84</v>
      </c>
      <c r="D238" s="1162">
        <v>0.41</v>
      </c>
      <c r="E238" s="1157">
        <v>2</v>
      </c>
      <c r="F238" s="1157">
        <v>4</v>
      </c>
      <c r="G238" s="1157">
        <v>0.52</v>
      </c>
      <c r="H238" s="1157">
        <v>0.64</v>
      </c>
    </row>
    <row r="239" spans="1:8" s="1146" customFormat="1" ht="13.5" customHeight="1" x14ac:dyDescent="0.25">
      <c r="A239" s="1157" t="s">
        <v>1022</v>
      </c>
      <c r="B239" s="1157">
        <v>1200</v>
      </c>
      <c r="C239" s="1161">
        <v>0.84</v>
      </c>
      <c r="D239" s="1162">
        <v>0.35</v>
      </c>
      <c r="E239" s="1157">
        <v>2</v>
      </c>
      <c r="F239" s="1157">
        <v>4</v>
      </c>
      <c r="G239" s="1157">
        <v>0.47</v>
      </c>
      <c r="H239" s="1157">
        <v>0.57999999999999996</v>
      </c>
    </row>
    <row r="240" spans="1:8" s="1146" customFormat="1" ht="13.5" customHeight="1" x14ac:dyDescent="0.25">
      <c r="A240" s="1157" t="s">
        <v>1092</v>
      </c>
      <c r="B240" s="1157">
        <v>1000</v>
      </c>
      <c r="C240" s="1161">
        <v>0.84</v>
      </c>
      <c r="D240" s="1162">
        <v>0.21</v>
      </c>
      <c r="E240" s="1157">
        <v>7</v>
      </c>
      <c r="F240" s="1157">
        <v>12</v>
      </c>
      <c r="G240" s="1157">
        <v>0.26</v>
      </c>
      <c r="H240" s="1157">
        <v>0.3</v>
      </c>
    </row>
    <row r="241" spans="1:8" s="1146" customFormat="1" ht="13.5" customHeight="1" x14ac:dyDescent="0.25">
      <c r="A241" s="1157" t="s">
        <v>1022</v>
      </c>
      <c r="B241" s="1164">
        <v>800</v>
      </c>
      <c r="C241" s="1161">
        <v>0.84</v>
      </c>
      <c r="D241" s="1162">
        <v>0.16</v>
      </c>
      <c r="E241" s="1157">
        <v>7</v>
      </c>
      <c r="F241" s="1157">
        <v>12</v>
      </c>
      <c r="G241" s="1157">
        <v>0.21</v>
      </c>
      <c r="H241" s="1157">
        <v>0.26</v>
      </c>
    </row>
    <row r="242" spans="1:8" s="1146" customFormat="1" ht="13.5" customHeight="1" x14ac:dyDescent="0.25">
      <c r="A242" s="1157" t="s">
        <v>1093</v>
      </c>
      <c r="B242" s="1157">
        <v>600</v>
      </c>
      <c r="C242" s="1161">
        <v>0.84</v>
      </c>
      <c r="D242" s="1162">
        <v>0.14000000000000001</v>
      </c>
      <c r="E242" s="1157">
        <v>10</v>
      </c>
      <c r="F242" s="1157">
        <v>15</v>
      </c>
      <c r="G242" s="1157">
        <v>0.19</v>
      </c>
      <c r="H242" s="1157">
        <v>0.23</v>
      </c>
    </row>
    <row r="243" spans="1:8" s="1146" customFormat="1" ht="13.5" customHeight="1" x14ac:dyDescent="0.25">
      <c r="A243" s="1157" t="s">
        <v>1094</v>
      </c>
      <c r="B243" s="1164">
        <v>500</v>
      </c>
      <c r="C243" s="1161">
        <v>0.84</v>
      </c>
      <c r="D243" s="1162">
        <v>0.12</v>
      </c>
      <c r="E243" s="1157">
        <v>6</v>
      </c>
      <c r="F243" s="1157">
        <v>10</v>
      </c>
      <c r="G243" s="1157">
        <v>0.15</v>
      </c>
      <c r="H243" s="1157">
        <v>0.19</v>
      </c>
    </row>
    <row r="244" spans="1:8" s="1146" customFormat="1" ht="13.5" customHeight="1" x14ac:dyDescent="0.25">
      <c r="A244" s="1157" t="s">
        <v>1022</v>
      </c>
      <c r="B244" s="1157">
        <v>400</v>
      </c>
      <c r="C244" s="1161">
        <v>0.84</v>
      </c>
      <c r="D244" s="1162">
        <v>0.09</v>
      </c>
      <c r="E244" s="1157">
        <v>6</v>
      </c>
      <c r="F244" s="1157">
        <v>10</v>
      </c>
      <c r="G244" s="1157">
        <v>0.13</v>
      </c>
      <c r="H244" s="1157">
        <v>0.15</v>
      </c>
    </row>
    <row r="245" spans="1:8" s="1146" customFormat="1" ht="13.5" customHeight="1" x14ac:dyDescent="0.25">
      <c r="A245" s="1845" t="s">
        <v>1095</v>
      </c>
      <c r="B245" s="1845"/>
      <c r="C245" s="1845"/>
      <c r="D245" s="1845"/>
      <c r="E245" s="1845"/>
      <c r="F245" s="1845"/>
      <c r="G245" s="1845"/>
      <c r="H245" s="1845"/>
    </row>
    <row r="246" spans="1:8" s="1146" customFormat="1" ht="13.5" customHeight="1" x14ac:dyDescent="0.25">
      <c r="A246" s="1849" t="s">
        <v>1096</v>
      </c>
      <c r="B246" s="1849"/>
      <c r="C246" s="1849"/>
      <c r="D246" s="1849"/>
      <c r="E246" s="1849"/>
      <c r="F246" s="1849"/>
      <c r="G246" s="1849"/>
      <c r="H246" s="1849"/>
    </row>
    <row r="247" spans="1:8" s="1146" customFormat="1" ht="13.5" customHeight="1" x14ac:dyDescent="0.25">
      <c r="A247" s="1157" t="s">
        <v>1097</v>
      </c>
      <c r="B247" s="1157">
        <v>1800</v>
      </c>
      <c r="C247" s="1161">
        <v>0.84</v>
      </c>
      <c r="D247" s="1162">
        <v>0.64</v>
      </c>
      <c r="E247" s="1157">
        <v>7</v>
      </c>
      <c r="F247" s="1157">
        <v>10</v>
      </c>
      <c r="G247" s="1157">
        <v>0.87</v>
      </c>
      <c r="H247" s="1157">
        <v>0.99</v>
      </c>
    </row>
    <row r="248" spans="1:8" s="1146" customFormat="1" ht="13.5" customHeight="1" x14ac:dyDescent="0.25">
      <c r="A248" s="1165" t="s">
        <v>1019</v>
      </c>
      <c r="B248" s="1157">
        <v>1600</v>
      </c>
      <c r="C248" s="1161">
        <v>0.84</v>
      </c>
      <c r="D248" s="1162">
        <v>0.52</v>
      </c>
      <c r="E248" s="1157">
        <v>7</v>
      </c>
      <c r="F248" s="1157">
        <v>10</v>
      </c>
      <c r="G248" s="1157">
        <v>0.7</v>
      </c>
      <c r="H248" s="1157">
        <v>0.81</v>
      </c>
    </row>
    <row r="249" spans="1:8" s="1146" customFormat="1" ht="13.5" customHeight="1" x14ac:dyDescent="0.25">
      <c r="A249" s="1165" t="s">
        <v>1019</v>
      </c>
      <c r="B249" s="1157">
        <v>1400</v>
      </c>
      <c r="C249" s="1161">
        <v>0.84</v>
      </c>
      <c r="D249" s="1162">
        <v>0.41</v>
      </c>
      <c r="E249" s="1157">
        <v>7</v>
      </c>
      <c r="F249" s="1157">
        <v>10</v>
      </c>
      <c r="G249" s="1157">
        <v>0.52</v>
      </c>
      <c r="H249" s="1157">
        <v>0.57999999999999996</v>
      </c>
    </row>
    <row r="250" spans="1:8" s="1146" customFormat="1" ht="13.5" customHeight="1" x14ac:dyDescent="0.25">
      <c r="A250" s="1165" t="s">
        <v>1019</v>
      </c>
      <c r="B250" s="1157">
        <v>1200</v>
      </c>
      <c r="C250" s="1161">
        <v>0.84</v>
      </c>
      <c r="D250" s="1162">
        <v>0.28999999999999998</v>
      </c>
      <c r="E250" s="1157">
        <v>7</v>
      </c>
      <c r="F250" s="1157">
        <v>10</v>
      </c>
      <c r="G250" s="1157">
        <v>0.41</v>
      </c>
      <c r="H250" s="1157">
        <v>0.47</v>
      </c>
    </row>
    <row r="251" spans="1:8" s="1146" customFormat="1" ht="13.5" customHeight="1" x14ac:dyDescent="0.25">
      <c r="A251" s="1157" t="s">
        <v>1098</v>
      </c>
      <c r="B251" s="1157">
        <v>1600</v>
      </c>
      <c r="C251" s="1161">
        <v>0.84</v>
      </c>
      <c r="D251" s="1162">
        <v>0.52</v>
      </c>
      <c r="E251" s="1157">
        <v>4</v>
      </c>
      <c r="F251" s="1157">
        <v>6</v>
      </c>
      <c r="G251" s="1157">
        <v>0.62</v>
      </c>
      <c r="H251" s="1157">
        <v>0.68</v>
      </c>
    </row>
    <row r="252" spans="1:8" s="1146" customFormat="1" ht="13.5" customHeight="1" x14ac:dyDescent="0.25">
      <c r="A252" s="1165" t="s">
        <v>1019</v>
      </c>
      <c r="B252" s="1157">
        <v>1400</v>
      </c>
      <c r="C252" s="1161">
        <v>0.84</v>
      </c>
      <c r="D252" s="1162">
        <v>0.42</v>
      </c>
      <c r="E252" s="1157">
        <v>4</v>
      </c>
      <c r="F252" s="1157">
        <v>6</v>
      </c>
      <c r="G252" s="1157">
        <v>0.49</v>
      </c>
      <c r="H252" s="1157">
        <v>0.54</v>
      </c>
    </row>
    <row r="253" spans="1:8" s="1146" customFormat="1" ht="13.5" customHeight="1" x14ac:dyDescent="0.25">
      <c r="A253" s="1165" t="s">
        <v>1019</v>
      </c>
      <c r="B253" s="1157">
        <v>1200</v>
      </c>
      <c r="C253" s="1161">
        <v>0.84</v>
      </c>
      <c r="D253" s="1162">
        <v>0.34</v>
      </c>
      <c r="E253" s="1157">
        <v>4</v>
      </c>
      <c r="F253" s="1157">
        <v>6</v>
      </c>
      <c r="G253" s="1157">
        <v>0.4</v>
      </c>
      <c r="H253" s="1157">
        <v>0.43</v>
      </c>
    </row>
    <row r="254" spans="1:8" s="1146" customFormat="1" ht="13.5" customHeight="1" x14ac:dyDescent="0.25">
      <c r="A254" s="1165" t="s">
        <v>1019</v>
      </c>
      <c r="B254" s="1157">
        <v>1000</v>
      </c>
      <c r="C254" s="1161">
        <v>0.84</v>
      </c>
      <c r="D254" s="1162">
        <v>0.26</v>
      </c>
      <c r="E254" s="1157">
        <v>4</v>
      </c>
      <c r="F254" s="1157">
        <v>6</v>
      </c>
      <c r="G254" s="1157">
        <v>0.3</v>
      </c>
      <c r="H254" s="1157">
        <v>0.34</v>
      </c>
    </row>
    <row r="255" spans="1:8" s="1146" customFormat="1" ht="13.5" customHeight="1" x14ac:dyDescent="0.25">
      <c r="A255" s="1165" t="s">
        <v>1019</v>
      </c>
      <c r="B255" s="1164">
        <v>800</v>
      </c>
      <c r="C255" s="1161">
        <v>0.84</v>
      </c>
      <c r="D255" s="1162">
        <v>0.19</v>
      </c>
      <c r="E255" s="1157">
        <v>4</v>
      </c>
      <c r="F255" s="1157">
        <v>6</v>
      </c>
      <c r="G255" s="1157">
        <v>0.22</v>
      </c>
      <c r="H255" s="1157">
        <v>0.26</v>
      </c>
    </row>
    <row r="256" spans="1:8" s="1146" customFormat="1" ht="13.5" customHeight="1" x14ac:dyDescent="0.25">
      <c r="A256" s="1157" t="s">
        <v>1099</v>
      </c>
      <c r="B256" s="1157">
        <v>1600</v>
      </c>
      <c r="C256" s="1161">
        <v>0.84</v>
      </c>
      <c r="D256" s="1162">
        <v>0.52</v>
      </c>
      <c r="E256" s="1157">
        <v>7</v>
      </c>
      <c r="F256" s="1157">
        <v>10</v>
      </c>
      <c r="G256" s="1157">
        <v>0.64</v>
      </c>
      <c r="H256" s="1157">
        <v>0.7</v>
      </c>
    </row>
    <row r="257" spans="1:8" s="1146" customFormat="1" ht="13.5" customHeight="1" x14ac:dyDescent="0.25">
      <c r="A257" s="1157" t="s">
        <v>1022</v>
      </c>
      <c r="B257" s="1157">
        <v>1400</v>
      </c>
      <c r="C257" s="1161">
        <v>0.84</v>
      </c>
      <c r="D257" s="1162">
        <v>0.41</v>
      </c>
      <c r="E257" s="1157">
        <v>7</v>
      </c>
      <c r="F257" s="1157">
        <v>10</v>
      </c>
      <c r="G257" s="1157">
        <v>0.52</v>
      </c>
      <c r="H257" s="1157">
        <v>0.57999999999999996</v>
      </c>
    </row>
    <row r="258" spans="1:8" s="1146" customFormat="1" ht="13.5" customHeight="1" x14ac:dyDescent="0.25">
      <c r="A258" s="1165" t="s">
        <v>1019</v>
      </c>
      <c r="B258" s="1157">
        <v>1200</v>
      </c>
      <c r="C258" s="1161">
        <v>0.84</v>
      </c>
      <c r="D258" s="1157">
        <v>0.33</v>
      </c>
      <c r="E258" s="1157">
        <v>7</v>
      </c>
      <c r="F258" s="1157">
        <v>10</v>
      </c>
      <c r="G258" s="1157">
        <v>0.41</v>
      </c>
      <c r="H258" s="1157">
        <v>0.47</v>
      </c>
    </row>
    <row r="259" spans="1:8" s="1146" customFormat="1" ht="13.5" customHeight="1" x14ac:dyDescent="0.25">
      <c r="A259" s="1165" t="s">
        <v>1019</v>
      </c>
      <c r="B259" s="1157">
        <v>1000</v>
      </c>
      <c r="C259" s="1161">
        <v>0.84</v>
      </c>
      <c r="D259" s="1157">
        <v>0.24</v>
      </c>
      <c r="E259" s="1157">
        <v>7</v>
      </c>
      <c r="F259" s="1157">
        <v>10</v>
      </c>
      <c r="G259" s="1157">
        <v>0.28999999999999998</v>
      </c>
      <c r="H259" s="1157">
        <v>0.35</v>
      </c>
    </row>
    <row r="260" spans="1:8" s="1146" customFormat="1" ht="13.5" customHeight="1" x14ac:dyDescent="0.25">
      <c r="A260" s="1165" t="s">
        <v>1019</v>
      </c>
      <c r="B260" s="1164">
        <v>800</v>
      </c>
      <c r="C260" s="1161">
        <v>0.84</v>
      </c>
      <c r="D260" s="1157">
        <v>0.2</v>
      </c>
      <c r="E260" s="1157">
        <v>7</v>
      </c>
      <c r="F260" s="1157">
        <v>10</v>
      </c>
      <c r="G260" s="1157">
        <v>0.23</v>
      </c>
      <c r="H260" s="1157">
        <v>0.28999999999999998</v>
      </c>
    </row>
    <row r="261" spans="1:8" s="1146" customFormat="1" ht="13.5" customHeight="1" x14ac:dyDescent="0.25">
      <c r="A261" s="1841" t="s">
        <v>1100</v>
      </c>
      <c r="B261" s="1841"/>
      <c r="C261" s="1841"/>
      <c r="D261" s="1841"/>
      <c r="E261" s="1841"/>
      <c r="F261" s="1841"/>
      <c r="G261" s="1841"/>
      <c r="H261" s="1841"/>
    </row>
    <row r="262" spans="1:8" s="1146" customFormat="1" ht="13.5" customHeight="1" x14ac:dyDescent="0.25">
      <c r="A262" s="1159" t="s">
        <v>1101</v>
      </c>
      <c r="B262" s="1157">
        <v>1800</v>
      </c>
      <c r="C262" s="1161">
        <v>0.84</v>
      </c>
      <c r="D262" s="1157">
        <v>0.66</v>
      </c>
      <c r="E262" s="1157">
        <v>5</v>
      </c>
      <c r="F262" s="1157">
        <v>10</v>
      </c>
      <c r="G262" s="1157">
        <v>0.8</v>
      </c>
      <c r="H262" s="1157">
        <v>0.92</v>
      </c>
    </row>
    <row r="263" spans="1:8" s="1146" customFormat="1" ht="13.5" customHeight="1" x14ac:dyDescent="0.25">
      <c r="A263" s="1159" t="s">
        <v>1101</v>
      </c>
      <c r="B263" s="1157">
        <v>1600</v>
      </c>
      <c r="C263" s="1161">
        <v>0.84</v>
      </c>
      <c r="D263" s="1157">
        <v>0.57999999999999996</v>
      </c>
      <c r="E263" s="1157">
        <v>5</v>
      </c>
      <c r="F263" s="1157">
        <v>10</v>
      </c>
      <c r="G263" s="1157">
        <v>0.67</v>
      </c>
      <c r="H263" s="1157">
        <v>0.79</v>
      </c>
    </row>
    <row r="264" spans="1:8" s="1146" customFormat="1" ht="13.5" customHeight="1" x14ac:dyDescent="0.25">
      <c r="A264" s="1159" t="s">
        <v>1101</v>
      </c>
      <c r="B264" s="1157">
        <v>1400</v>
      </c>
      <c r="C264" s="1161">
        <v>0.84</v>
      </c>
      <c r="D264" s="1157">
        <v>0.47</v>
      </c>
      <c r="E264" s="1157">
        <v>5</v>
      </c>
      <c r="F264" s="1157">
        <v>10</v>
      </c>
      <c r="G264" s="1157">
        <v>0.56000000000000005</v>
      </c>
      <c r="H264" s="1157">
        <v>0.65</v>
      </c>
    </row>
    <row r="265" spans="1:8" s="1146" customFormat="1" ht="13.5" customHeight="1" x14ac:dyDescent="0.25">
      <c r="A265" s="1159" t="s">
        <v>1101</v>
      </c>
      <c r="B265" s="1157">
        <v>1200</v>
      </c>
      <c r="C265" s="1161">
        <v>0.84</v>
      </c>
      <c r="D265" s="1157">
        <v>0.36</v>
      </c>
      <c r="E265" s="1157">
        <v>5</v>
      </c>
      <c r="F265" s="1157">
        <v>10</v>
      </c>
      <c r="G265" s="1157">
        <v>0.44</v>
      </c>
      <c r="H265" s="1157">
        <v>0.52</v>
      </c>
    </row>
    <row r="266" spans="1:8" s="1146" customFormat="1" ht="13.5" customHeight="1" x14ac:dyDescent="0.25">
      <c r="A266" s="1159" t="s">
        <v>1101</v>
      </c>
      <c r="B266" s="1157">
        <v>1000</v>
      </c>
      <c r="C266" s="1161">
        <v>0.84</v>
      </c>
      <c r="D266" s="1157">
        <v>0.27</v>
      </c>
      <c r="E266" s="1157">
        <v>5</v>
      </c>
      <c r="F266" s="1157">
        <v>10</v>
      </c>
      <c r="G266" s="1157">
        <v>0.33</v>
      </c>
      <c r="H266" s="1157">
        <v>0.41</v>
      </c>
    </row>
    <row r="267" spans="1:8" s="1146" customFormat="1" ht="13.5" customHeight="1" x14ac:dyDescent="0.25">
      <c r="A267" s="1159" t="s">
        <v>1101</v>
      </c>
      <c r="B267" s="1164">
        <v>800</v>
      </c>
      <c r="C267" s="1161">
        <v>0.84</v>
      </c>
      <c r="D267" s="1157">
        <v>0.21</v>
      </c>
      <c r="E267" s="1157">
        <v>5</v>
      </c>
      <c r="F267" s="1157">
        <v>10</v>
      </c>
      <c r="G267" s="1157">
        <v>0.24</v>
      </c>
      <c r="H267" s="1157">
        <v>0.31</v>
      </c>
    </row>
    <row r="268" spans="1:8" s="1146" customFormat="1" ht="13.5" customHeight="1" x14ac:dyDescent="0.25">
      <c r="A268" s="1159" t="s">
        <v>1101</v>
      </c>
      <c r="B268" s="1157">
        <v>600</v>
      </c>
      <c r="C268" s="1161">
        <v>0.84</v>
      </c>
      <c r="D268" s="1157">
        <v>0.16</v>
      </c>
      <c r="E268" s="1157">
        <v>5</v>
      </c>
      <c r="F268" s="1157">
        <v>10</v>
      </c>
      <c r="G268" s="1157">
        <v>0.2</v>
      </c>
      <c r="H268" s="1157">
        <v>0.26</v>
      </c>
    </row>
    <row r="269" spans="1:8" s="1146" customFormat="1" ht="13.5" customHeight="1" x14ac:dyDescent="0.25">
      <c r="A269" s="1159" t="s">
        <v>1101</v>
      </c>
      <c r="B269" s="1164">
        <v>500</v>
      </c>
      <c r="C269" s="1161">
        <v>0.84</v>
      </c>
      <c r="D269" s="1157">
        <v>0.14000000000000001</v>
      </c>
      <c r="E269" s="1157">
        <v>5</v>
      </c>
      <c r="F269" s="1157">
        <v>10</v>
      </c>
      <c r="G269" s="1157">
        <v>0.17</v>
      </c>
      <c r="H269" s="1157">
        <v>0.23</v>
      </c>
    </row>
    <row r="270" spans="1:8" s="1146" customFormat="1" ht="13.5" customHeight="1" x14ac:dyDescent="0.25">
      <c r="A270" s="1157" t="s">
        <v>1102</v>
      </c>
      <c r="B270" s="1157">
        <v>1200</v>
      </c>
      <c r="C270" s="1161">
        <v>0.84</v>
      </c>
      <c r="D270" s="1157">
        <v>0.41</v>
      </c>
      <c r="E270" s="1157">
        <v>4</v>
      </c>
      <c r="F270" s="1157">
        <v>8</v>
      </c>
      <c r="G270" s="1157">
        <v>0.52</v>
      </c>
      <c r="H270" s="1157">
        <v>0.57999999999999996</v>
      </c>
    </row>
    <row r="271" spans="1:8" s="1146" customFormat="1" ht="13.5" customHeight="1" x14ac:dyDescent="0.25">
      <c r="A271" s="1157" t="s">
        <v>1022</v>
      </c>
      <c r="B271" s="1157">
        <v>1000</v>
      </c>
      <c r="C271" s="1161">
        <v>0.84</v>
      </c>
      <c r="D271" s="1157">
        <v>0.33</v>
      </c>
      <c r="E271" s="1157">
        <v>4</v>
      </c>
      <c r="F271" s="1157">
        <v>8</v>
      </c>
      <c r="G271" s="1157">
        <v>0.41</v>
      </c>
      <c r="H271" s="1157">
        <v>0.47</v>
      </c>
    </row>
    <row r="272" spans="1:8" s="1146" customFormat="1" ht="13.5" customHeight="1" x14ac:dyDescent="0.25">
      <c r="A272" s="1165" t="s">
        <v>1019</v>
      </c>
      <c r="B272" s="1164">
        <v>800</v>
      </c>
      <c r="C272" s="1161">
        <v>0.84</v>
      </c>
      <c r="D272" s="1157">
        <v>0.23</v>
      </c>
      <c r="E272" s="1157">
        <v>4</v>
      </c>
      <c r="F272" s="1157">
        <v>8</v>
      </c>
      <c r="G272" s="1157">
        <v>0.28999999999999998</v>
      </c>
      <c r="H272" s="1157">
        <v>0.35</v>
      </c>
    </row>
    <row r="273" spans="1:8" s="1146" customFormat="1" ht="13.5" customHeight="1" x14ac:dyDescent="0.25">
      <c r="A273" s="1157" t="s">
        <v>1103</v>
      </c>
      <c r="B273" s="1157">
        <v>1000</v>
      </c>
      <c r="C273" s="1161">
        <v>0.84</v>
      </c>
      <c r="D273" s="1157">
        <v>0.28000000000000003</v>
      </c>
      <c r="E273" s="1157">
        <v>9</v>
      </c>
      <c r="F273" s="1157">
        <v>13</v>
      </c>
      <c r="G273" s="1157">
        <v>0.35</v>
      </c>
      <c r="H273" s="1157">
        <v>0.41</v>
      </c>
    </row>
    <row r="274" spans="1:8" s="1146" customFormat="1" ht="13.5" customHeight="1" x14ac:dyDescent="0.25">
      <c r="A274" s="1157" t="s">
        <v>1022</v>
      </c>
      <c r="B274" s="1164">
        <v>800</v>
      </c>
      <c r="C274" s="1161">
        <v>0.84</v>
      </c>
      <c r="D274" s="1157">
        <v>0.22</v>
      </c>
      <c r="E274" s="1157">
        <v>9</v>
      </c>
      <c r="F274" s="1157">
        <v>13</v>
      </c>
      <c r="G274" s="1157">
        <v>0.28999999999999998</v>
      </c>
      <c r="H274" s="1157">
        <v>0.35</v>
      </c>
    </row>
    <row r="275" spans="1:8" s="1146" customFormat="1" ht="13.5" customHeight="1" x14ac:dyDescent="0.25">
      <c r="A275" s="1157" t="s">
        <v>1104</v>
      </c>
      <c r="B275" s="1157">
        <v>1400</v>
      </c>
      <c r="C275" s="1161">
        <v>0.84</v>
      </c>
      <c r="D275" s="1157">
        <v>0.49</v>
      </c>
      <c r="E275" s="1157">
        <v>4</v>
      </c>
      <c r="F275" s="1157">
        <v>7</v>
      </c>
      <c r="G275" s="1157">
        <v>0.56000000000000005</v>
      </c>
      <c r="H275" s="1157">
        <v>0.64</v>
      </c>
    </row>
    <row r="276" spans="1:8" s="1146" customFormat="1" ht="13.5" customHeight="1" x14ac:dyDescent="0.25">
      <c r="A276" s="1165" t="s">
        <v>1019</v>
      </c>
      <c r="B276" s="1157">
        <v>1200</v>
      </c>
      <c r="C276" s="1161">
        <v>0.84</v>
      </c>
      <c r="D276" s="1157">
        <v>0.36</v>
      </c>
      <c r="E276" s="1157">
        <v>4</v>
      </c>
      <c r="F276" s="1157">
        <v>7</v>
      </c>
      <c r="G276" s="1157">
        <v>0.44</v>
      </c>
      <c r="H276" s="1157">
        <v>0.5</v>
      </c>
    </row>
    <row r="277" spans="1:8" s="1146" customFormat="1" ht="13.5" customHeight="1" x14ac:dyDescent="0.25">
      <c r="A277" s="1165" t="s">
        <v>1019</v>
      </c>
      <c r="B277" s="1157">
        <v>1000</v>
      </c>
      <c r="C277" s="1161">
        <v>0.84</v>
      </c>
      <c r="D277" s="1157">
        <v>0.27</v>
      </c>
      <c r="E277" s="1157">
        <v>4</v>
      </c>
      <c r="F277" s="1157">
        <v>7</v>
      </c>
      <c r="G277" s="1157">
        <v>0.33</v>
      </c>
      <c r="H277" s="1157">
        <v>0.38</v>
      </c>
    </row>
    <row r="278" spans="1:8" s="1146" customFormat="1" ht="13.5" customHeight="1" x14ac:dyDescent="0.25">
      <c r="A278" s="1157" t="s">
        <v>1105</v>
      </c>
      <c r="B278" s="1157">
        <v>1200</v>
      </c>
      <c r="C278" s="1161">
        <v>0.84</v>
      </c>
      <c r="D278" s="1157">
        <v>0.28999999999999998</v>
      </c>
      <c r="E278" s="1157">
        <v>10</v>
      </c>
      <c r="F278" s="1157">
        <v>15</v>
      </c>
      <c r="G278" s="1157">
        <v>0.44</v>
      </c>
      <c r="H278" s="1157">
        <v>0.5</v>
      </c>
    </row>
    <row r="279" spans="1:8" s="1146" customFormat="1" ht="13.5" customHeight="1" x14ac:dyDescent="0.25">
      <c r="A279" s="1165" t="s">
        <v>1019</v>
      </c>
      <c r="B279" s="1157">
        <v>1000</v>
      </c>
      <c r="C279" s="1161">
        <v>0.84</v>
      </c>
      <c r="D279" s="1157">
        <v>0.22</v>
      </c>
      <c r="E279" s="1157">
        <v>10</v>
      </c>
      <c r="F279" s="1157">
        <v>15</v>
      </c>
      <c r="G279" s="1157">
        <v>0.33</v>
      </c>
      <c r="H279" s="1157">
        <v>0.38</v>
      </c>
    </row>
    <row r="280" spans="1:8" s="1146" customFormat="1" ht="13.5" customHeight="1" x14ac:dyDescent="0.25">
      <c r="A280" s="1165" t="s">
        <v>1019</v>
      </c>
      <c r="B280" s="1164">
        <v>800</v>
      </c>
      <c r="C280" s="1161">
        <v>0.84</v>
      </c>
      <c r="D280" s="1157">
        <v>0.16</v>
      </c>
      <c r="E280" s="1157">
        <v>10</v>
      </c>
      <c r="F280" s="1157">
        <v>15</v>
      </c>
      <c r="G280" s="1157">
        <v>0.27</v>
      </c>
      <c r="H280" s="1157">
        <v>0.33</v>
      </c>
    </row>
    <row r="281" spans="1:8" s="1146" customFormat="1" ht="13.5" customHeight="1" x14ac:dyDescent="0.25">
      <c r="A281" s="1165" t="s">
        <v>1019</v>
      </c>
      <c r="B281" s="1157">
        <v>600</v>
      </c>
      <c r="C281" s="1161">
        <v>0.84</v>
      </c>
      <c r="D281" s="1157">
        <v>0.12</v>
      </c>
      <c r="E281" s="1157">
        <v>10</v>
      </c>
      <c r="F281" s="1157">
        <v>15</v>
      </c>
      <c r="G281" s="1157">
        <v>0.19</v>
      </c>
      <c r="H281" s="1157">
        <v>0.23</v>
      </c>
    </row>
    <row r="282" spans="1:8" s="1146" customFormat="1" ht="13.5" customHeight="1" x14ac:dyDescent="0.25">
      <c r="A282" s="1157" t="s">
        <v>1106</v>
      </c>
      <c r="B282" s="1157">
        <v>1800</v>
      </c>
      <c r="C282" s="1161">
        <v>0.84</v>
      </c>
      <c r="D282" s="1157">
        <v>0.52</v>
      </c>
      <c r="E282" s="1157">
        <v>5</v>
      </c>
      <c r="F282" s="1157">
        <v>8</v>
      </c>
      <c r="G282" s="1157">
        <v>0.63</v>
      </c>
      <c r="H282" s="1157">
        <v>0.76</v>
      </c>
    </row>
    <row r="283" spans="1:8" s="1146" customFormat="1" ht="13.5" customHeight="1" x14ac:dyDescent="0.25">
      <c r="A283" s="1157" t="s">
        <v>1022</v>
      </c>
      <c r="B283" s="1157">
        <v>1600</v>
      </c>
      <c r="C283" s="1161">
        <v>0.84</v>
      </c>
      <c r="D283" s="1157">
        <v>0.41</v>
      </c>
      <c r="E283" s="1157">
        <v>5</v>
      </c>
      <c r="F283" s="1157">
        <v>8</v>
      </c>
      <c r="G283" s="1157">
        <v>0.52</v>
      </c>
      <c r="H283" s="1157">
        <v>0.63</v>
      </c>
    </row>
    <row r="284" spans="1:8" s="1146" customFormat="1" ht="13.5" customHeight="1" x14ac:dyDescent="0.25">
      <c r="A284" s="1165" t="s">
        <v>1019</v>
      </c>
      <c r="B284" s="1157">
        <v>1400</v>
      </c>
      <c r="C284" s="1161">
        <v>0.84</v>
      </c>
      <c r="D284" s="1157">
        <v>0.35</v>
      </c>
      <c r="E284" s="1157">
        <v>5</v>
      </c>
      <c r="F284" s="1157">
        <v>8</v>
      </c>
      <c r="G284" s="1157">
        <v>0.44</v>
      </c>
      <c r="H284" s="1157">
        <v>0.52</v>
      </c>
    </row>
    <row r="285" spans="1:8" s="1146" customFormat="1" ht="13.5" customHeight="1" x14ac:dyDescent="0.25">
      <c r="A285" s="1165" t="s">
        <v>1019</v>
      </c>
      <c r="B285" s="1157">
        <v>1200</v>
      </c>
      <c r="C285" s="1161">
        <v>0.84</v>
      </c>
      <c r="D285" s="1157">
        <v>0.28999999999999998</v>
      </c>
      <c r="E285" s="1157">
        <v>5</v>
      </c>
      <c r="F285" s="1157">
        <v>8</v>
      </c>
      <c r="G285" s="1157">
        <v>0.37</v>
      </c>
      <c r="H285" s="1157">
        <v>0.44</v>
      </c>
    </row>
    <row r="286" spans="1:8" s="1146" customFormat="1" ht="13.5" customHeight="1" x14ac:dyDescent="0.25">
      <c r="A286" s="1165" t="s">
        <v>1019</v>
      </c>
      <c r="B286" s="1157">
        <v>1000</v>
      </c>
      <c r="C286" s="1161">
        <v>0.84</v>
      </c>
      <c r="D286" s="1157">
        <v>0.23</v>
      </c>
      <c r="E286" s="1157">
        <v>5</v>
      </c>
      <c r="F286" s="1157">
        <v>8</v>
      </c>
      <c r="G286" s="1157">
        <v>0.31</v>
      </c>
      <c r="H286" s="1157">
        <v>0.37</v>
      </c>
    </row>
    <row r="287" spans="1:8" s="1146" customFormat="1" ht="13.5" customHeight="1" x14ac:dyDescent="0.25">
      <c r="A287" s="1157" t="s">
        <v>1107</v>
      </c>
      <c r="B287" s="1157">
        <v>1600</v>
      </c>
      <c r="C287" s="1161">
        <v>0.84</v>
      </c>
      <c r="D287" s="1157">
        <v>0.47</v>
      </c>
      <c r="E287" s="1157">
        <v>8</v>
      </c>
      <c r="F287" s="1157">
        <v>11</v>
      </c>
      <c r="G287" s="1157">
        <v>0.63</v>
      </c>
      <c r="H287" s="1157">
        <v>0.7</v>
      </c>
    </row>
    <row r="288" spans="1:8" s="1146" customFormat="1" ht="13.5" customHeight="1" x14ac:dyDescent="0.25">
      <c r="A288" s="1157" t="s">
        <v>1022</v>
      </c>
      <c r="B288" s="1157">
        <v>1400</v>
      </c>
      <c r="C288" s="1161">
        <v>0.84</v>
      </c>
      <c r="D288" s="1157">
        <v>0.35</v>
      </c>
      <c r="E288" s="1157">
        <v>8</v>
      </c>
      <c r="F288" s="1157">
        <v>11</v>
      </c>
      <c r="G288" s="1157">
        <v>0.52</v>
      </c>
      <c r="H288" s="1157">
        <v>0.57999999999999996</v>
      </c>
    </row>
    <row r="289" spans="1:8" s="1146" customFormat="1" ht="13.5" customHeight="1" x14ac:dyDescent="0.25">
      <c r="A289" s="1165" t="s">
        <v>1019</v>
      </c>
      <c r="B289" s="1157">
        <v>1200</v>
      </c>
      <c r="C289" s="1161">
        <v>0.84</v>
      </c>
      <c r="D289" s="1157">
        <v>0.28999999999999998</v>
      </c>
      <c r="E289" s="1157">
        <v>8</v>
      </c>
      <c r="F289" s="1157">
        <v>11</v>
      </c>
      <c r="G289" s="1157">
        <v>0.41</v>
      </c>
      <c r="H289" s="1157">
        <v>0.47</v>
      </c>
    </row>
    <row r="290" spans="1:8" s="1146" customFormat="1" ht="13.5" customHeight="1" x14ac:dyDescent="0.25">
      <c r="A290" s="1165" t="s">
        <v>1019</v>
      </c>
      <c r="B290" s="1157">
        <v>1000</v>
      </c>
      <c r="C290" s="1161">
        <v>0.84</v>
      </c>
      <c r="D290" s="1157">
        <v>0.23</v>
      </c>
      <c r="E290" s="1157">
        <v>8</v>
      </c>
      <c r="F290" s="1157">
        <v>11</v>
      </c>
      <c r="G290" s="1157">
        <v>0.35</v>
      </c>
      <c r="H290" s="1157">
        <v>0.41</v>
      </c>
    </row>
    <row r="291" spans="1:8" s="1146" customFormat="1" ht="13.5" customHeight="1" x14ac:dyDescent="0.25">
      <c r="A291" s="1165" t="s">
        <v>1019</v>
      </c>
      <c r="B291" s="1164">
        <v>800</v>
      </c>
      <c r="C291" s="1161">
        <v>0.84</v>
      </c>
      <c r="D291" s="1157">
        <v>0.17</v>
      </c>
      <c r="E291" s="1157">
        <v>8</v>
      </c>
      <c r="F291" s="1157">
        <v>11</v>
      </c>
      <c r="G291" s="1157">
        <v>0.28999999999999998</v>
      </c>
      <c r="H291" s="1157">
        <v>0.35</v>
      </c>
    </row>
    <row r="292" spans="1:8" s="1146" customFormat="1" ht="13.5" customHeight="1" x14ac:dyDescent="0.25">
      <c r="A292" s="1157" t="s">
        <v>1108</v>
      </c>
      <c r="B292" s="1157">
        <v>1800</v>
      </c>
      <c r="C292" s="1161">
        <v>0.84</v>
      </c>
      <c r="D292" s="1157">
        <v>0.57999999999999996</v>
      </c>
      <c r="E292" s="1157">
        <v>5</v>
      </c>
      <c r="F292" s="1157">
        <v>8</v>
      </c>
      <c r="G292" s="1157">
        <v>0.7</v>
      </c>
      <c r="H292" s="1157">
        <v>0.81</v>
      </c>
    </row>
    <row r="293" spans="1:8" s="1146" customFormat="1" ht="13.5" customHeight="1" x14ac:dyDescent="0.25">
      <c r="A293" s="1157" t="s">
        <v>1108</v>
      </c>
      <c r="B293" s="1157">
        <v>1600</v>
      </c>
      <c r="C293" s="1161">
        <v>0.84</v>
      </c>
      <c r="D293" s="1157">
        <v>0.47</v>
      </c>
      <c r="E293" s="1157">
        <v>5</v>
      </c>
      <c r="F293" s="1157">
        <v>8</v>
      </c>
      <c r="G293" s="1157">
        <v>0.57999999999999996</v>
      </c>
      <c r="H293" s="1157">
        <v>0.64</v>
      </c>
    </row>
    <row r="294" spans="1:8" s="1146" customFormat="1" ht="13.5" customHeight="1" x14ac:dyDescent="0.25">
      <c r="A294" s="1157" t="s">
        <v>1022</v>
      </c>
      <c r="B294" s="1157">
        <v>1400</v>
      </c>
      <c r="C294" s="1161">
        <v>0.84</v>
      </c>
      <c r="D294" s="1157">
        <v>0.41</v>
      </c>
      <c r="E294" s="1157">
        <v>5</v>
      </c>
      <c r="F294" s="1157">
        <v>8</v>
      </c>
      <c r="G294" s="1157">
        <v>0.52</v>
      </c>
      <c r="H294" s="1157">
        <v>0.57999999999999996</v>
      </c>
    </row>
    <row r="295" spans="1:8" s="1146" customFormat="1" ht="13.5" customHeight="1" x14ac:dyDescent="0.25">
      <c r="A295" s="1165" t="s">
        <v>1019</v>
      </c>
      <c r="B295" s="1157">
        <v>1200</v>
      </c>
      <c r="C295" s="1161">
        <v>0.84</v>
      </c>
      <c r="D295" s="1157">
        <v>0.35</v>
      </c>
      <c r="E295" s="1157">
        <v>5</v>
      </c>
      <c r="F295" s="1157">
        <v>8</v>
      </c>
      <c r="G295" s="1157">
        <v>0.47</v>
      </c>
      <c r="H295" s="1157">
        <v>0.52</v>
      </c>
    </row>
    <row r="296" spans="1:8" s="1146" customFormat="1" ht="13.5" customHeight="1" x14ac:dyDescent="0.25">
      <c r="A296" s="1157" t="s">
        <v>1109</v>
      </c>
      <c r="B296" s="1157">
        <v>1800</v>
      </c>
      <c r="C296" s="1161">
        <v>0.84</v>
      </c>
      <c r="D296" s="1157">
        <v>0.7</v>
      </c>
      <c r="E296" s="1157">
        <v>5</v>
      </c>
      <c r="F296" s="1157">
        <v>8</v>
      </c>
      <c r="G296" s="1157">
        <v>0.85</v>
      </c>
      <c r="H296" s="1157">
        <v>0.93</v>
      </c>
    </row>
    <row r="297" spans="1:8" s="1146" customFormat="1" ht="13.5" customHeight="1" x14ac:dyDescent="0.25">
      <c r="A297" s="1157" t="s">
        <v>1022</v>
      </c>
      <c r="B297" s="1157">
        <v>1600</v>
      </c>
      <c r="C297" s="1161">
        <v>0.84</v>
      </c>
      <c r="D297" s="1157">
        <v>0.57999999999999996</v>
      </c>
      <c r="E297" s="1157">
        <v>5</v>
      </c>
      <c r="F297" s="1157">
        <v>8</v>
      </c>
      <c r="G297" s="1157">
        <v>0.72</v>
      </c>
      <c r="H297" s="1157">
        <v>0.78</v>
      </c>
    </row>
    <row r="298" spans="1:8" s="1146" customFormat="1" ht="13.5" customHeight="1" x14ac:dyDescent="0.25">
      <c r="A298" s="1165" t="s">
        <v>1019</v>
      </c>
      <c r="B298" s="1157">
        <v>1400</v>
      </c>
      <c r="C298" s="1161">
        <v>0.84</v>
      </c>
      <c r="D298" s="1157">
        <v>0.47</v>
      </c>
      <c r="E298" s="1157">
        <v>5</v>
      </c>
      <c r="F298" s="1157">
        <v>8</v>
      </c>
      <c r="G298" s="1157">
        <v>0.59</v>
      </c>
      <c r="H298" s="1157">
        <v>0.65</v>
      </c>
    </row>
    <row r="299" spans="1:8" s="1146" customFormat="1" ht="13.5" customHeight="1" x14ac:dyDescent="0.25">
      <c r="A299" s="1165" t="s">
        <v>1019</v>
      </c>
      <c r="B299" s="1157">
        <v>1200</v>
      </c>
      <c r="C299" s="1161">
        <v>0.84</v>
      </c>
      <c r="D299" s="1157">
        <v>0.35</v>
      </c>
      <c r="E299" s="1157">
        <v>5</v>
      </c>
      <c r="F299" s="1157">
        <v>8</v>
      </c>
      <c r="G299" s="1157">
        <v>0.48</v>
      </c>
      <c r="H299" s="1157">
        <v>0.54</v>
      </c>
    </row>
    <row r="300" spans="1:8" s="1146" customFormat="1" ht="13.5" customHeight="1" x14ac:dyDescent="0.25">
      <c r="A300" s="1165" t="s">
        <v>1019</v>
      </c>
      <c r="B300" s="1157">
        <v>1000</v>
      </c>
      <c r="C300" s="1161">
        <v>0.84</v>
      </c>
      <c r="D300" s="1157">
        <v>0.28999999999999998</v>
      </c>
      <c r="E300" s="1157">
        <v>5</v>
      </c>
      <c r="F300" s="1157">
        <v>8</v>
      </c>
      <c r="G300" s="1157">
        <v>0.38</v>
      </c>
      <c r="H300" s="1157">
        <v>0.44</v>
      </c>
    </row>
    <row r="301" spans="1:8" s="1146" customFormat="1" ht="13.5" customHeight="1" x14ac:dyDescent="0.25">
      <c r="A301" s="1157" t="s">
        <v>1110</v>
      </c>
      <c r="B301" s="1157">
        <v>1400</v>
      </c>
      <c r="C301" s="1161">
        <v>0.84</v>
      </c>
      <c r="D301" s="1157">
        <v>0.47</v>
      </c>
      <c r="E301" s="1157">
        <v>5</v>
      </c>
      <c r="F301" s="1157">
        <v>8</v>
      </c>
      <c r="G301" s="1157">
        <v>0.52</v>
      </c>
      <c r="H301" s="1157">
        <v>0.57999999999999996</v>
      </c>
    </row>
    <row r="302" spans="1:8" s="1146" customFormat="1" ht="13.5" customHeight="1" x14ac:dyDescent="0.25">
      <c r="A302" s="1157" t="s">
        <v>1022</v>
      </c>
      <c r="B302" s="1157">
        <v>1200</v>
      </c>
      <c r="C302" s="1161">
        <v>0.84</v>
      </c>
      <c r="D302" s="1157">
        <v>0.35</v>
      </c>
      <c r="E302" s="1157">
        <v>5</v>
      </c>
      <c r="F302" s="1157">
        <v>8</v>
      </c>
      <c r="G302" s="1157">
        <v>0.41</v>
      </c>
      <c r="H302" s="1157">
        <v>0.47</v>
      </c>
    </row>
    <row r="303" spans="1:8" s="1146" customFormat="1" ht="13.5" customHeight="1" x14ac:dyDescent="0.25">
      <c r="A303" s="1165" t="s">
        <v>1019</v>
      </c>
      <c r="B303" s="1157">
        <v>1000</v>
      </c>
      <c r="C303" s="1161">
        <v>0.84</v>
      </c>
      <c r="D303" s="1157">
        <v>0.24</v>
      </c>
      <c r="E303" s="1157">
        <v>5</v>
      </c>
      <c r="F303" s="1157">
        <v>8</v>
      </c>
      <c r="G303" s="1157">
        <v>0.3</v>
      </c>
      <c r="H303" s="1157">
        <v>0.35</v>
      </c>
    </row>
    <row r="304" spans="1:8" s="1146" customFormat="1" ht="13.5" customHeight="1" x14ac:dyDescent="0.25">
      <c r="A304" s="1157" t="s">
        <v>1111</v>
      </c>
      <c r="B304" s="1164">
        <v>800</v>
      </c>
      <c r="C304" s="1161">
        <v>0.84</v>
      </c>
      <c r="D304" s="1157">
        <v>0.21</v>
      </c>
      <c r="E304" s="1157">
        <v>8</v>
      </c>
      <c r="F304" s="1157">
        <v>13</v>
      </c>
      <c r="G304" s="1157">
        <v>0.23</v>
      </c>
      <c r="H304" s="1157">
        <v>0.26</v>
      </c>
    </row>
    <row r="305" spans="1:8" s="1146" customFormat="1" ht="13.5" customHeight="1" x14ac:dyDescent="0.25">
      <c r="A305" s="1165" t="s">
        <v>1019</v>
      </c>
      <c r="B305" s="1157">
        <v>600</v>
      </c>
      <c r="C305" s="1161">
        <v>0.84</v>
      </c>
      <c r="D305" s="1157">
        <v>0.14000000000000001</v>
      </c>
      <c r="E305" s="1157">
        <v>8</v>
      </c>
      <c r="F305" s="1157">
        <v>13</v>
      </c>
      <c r="G305" s="1157">
        <v>0.16</v>
      </c>
      <c r="H305" s="1157">
        <v>0.17</v>
      </c>
    </row>
    <row r="306" spans="1:8" s="1146" customFormat="1" ht="13.5" customHeight="1" x14ac:dyDescent="0.25">
      <c r="A306" s="1165" t="s">
        <v>1019</v>
      </c>
      <c r="B306" s="1157">
        <v>400</v>
      </c>
      <c r="C306" s="1161">
        <v>0.84</v>
      </c>
      <c r="D306" s="1157">
        <v>0.09</v>
      </c>
      <c r="E306" s="1157">
        <v>8</v>
      </c>
      <c r="F306" s="1157">
        <v>13</v>
      </c>
      <c r="G306" s="1157">
        <v>0.11</v>
      </c>
      <c r="H306" s="1157">
        <v>0.13</v>
      </c>
    </row>
    <row r="307" spans="1:8" s="1146" customFormat="1" ht="13.5" customHeight="1" x14ac:dyDescent="0.25">
      <c r="A307" s="1165" t="s">
        <v>1019</v>
      </c>
      <c r="B307" s="1164">
        <v>300</v>
      </c>
      <c r="C307" s="1161">
        <v>0.84</v>
      </c>
      <c r="D307" s="1157">
        <v>0.08</v>
      </c>
      <c r="E307" s="1157">
        <v>8</v>
      </c>
      <c r="F307" s="1157">
        <v>13</v>
      </c>
      <c r="G307" s="1157">
        <v>0.09</v>
      </c>
      <c r="H307" s="1157">
        <v>0.11</v>
      </c>
    </row>
    <row r="308" spans="1:8" s="1146" customFormat="1" ht="13.5" customHeight="1" x14ac:dyDescent="0.25">
      <c r="A308" s="1841" t="s">
        <v>1112</v>
      </c>
      <c r="B308" s="1841"/>
      <c r="C308" s="1841"/>
      <c r="D308" s="1841"/>
      <c r="E308" s="1841"/>
      <c r="F308" s="1841"/>
      <c r="G308" s="1841"/>
      <c r="H308" s="1841"/>
    </row>
    <row r="309" spans="1:8" s="1146" customFormat="1" ht="13.5" customHeight="1" x14ac:dyDescent="0.25">
      <c r="A309" s="1157" t="s">
        <v>1113</v>
      </c>
      <c r="B309" s="1157">
        <v>600</v>
      </c>
      <c r="C309" s="1161">
        <v>1.06</v>
      </c>
      <c r="D309" s="1157">
        <v>0.14499999999999999</v>
      </c>
      <c r="E309" s="1157">
        <v>4</v>
      </c>
      <c r="F309" s="1157">
        <v>8</v>
      </c>
      <c r="G309" s="1157">
        <v>0.17499999999999999</v>
      </c>
      <c r="H309" s="1157">
        <v>0.2</v>
      </c>
    </row>
    <row r="310" spans="1:8" s="1146" customFormat="1" ht="13.5" customHeight="1" x14ac:dyDescent="0.25">
      <c r="A310" s="1163"/>
      <c r="B310" s="1163"/>
      <c r="C310" s="1163"/>
      <c r="D310" s="1163"/>
      <c r="E310" s="1163"/>
      <c r="F310" s="1163"/>
      <c r="G310" s="1163"/>
      <c r="H310" s="1163"/>
    </row>
    <row r="311" spans="1:8" s="1146" customFormat="1" ht="13.5" customHeight="1" x14ac:dyDescent="0.25">
      <c r="A311" s="1165" t="s">
        <v>1019</v>
      </c>
      <c r="B311" s="1164">
        <v>500</v>
      </c>
      <c r="C311" s="1161">
        <v>1.06</v>
      </c>
      <c r="D311" s="1157">
        <v>0.125</v>
      </c>
      <c r="E311" s="1157">
        <v>4</v>
      </c>
      <c r="F311" s="1157">
        <v>8</v>
      </c>
      <c r="G311" s="1157">
        <v>0.14000000000000001</v>
      </c>
      <c r="H311" s="1157">
        <v>0.16</v>
      </c>
    </row>
    <row r="312" spans="1:8" s="1146" customFormat="1" ht="13.5" customHeight="1" x14ac:dyDescent="0.25">
      <c r="A312" s="1165" t="s">
        <v>1019</v>
      </c>
      <c r="B312" s="1157">
        <v>400</v>
      </c>
      <c r="C312" s="1161">
        <v>1.06</v>
      </c>
      <c r="D312" s="1157">
        <v>0.105</v>
      </c>
      <c r="E312" s="1157">
        <v>4</v>
      </c>
      <c r="F312" s="1157">
        <v>8</v>
      </c>
      <c r="G312" s="1157">
        <v>0.12</v>
      </c>
      <c r="H312" s="1157">
        <v>0.13500000000000001</v>
      </c>
    </row>
    <row r="313" spans="1:8" s="1146" customFormat="1" ht="13.5" customHeight="1" x14ac:dyDescent="0.25">
      <c r="A313" s="1165" t="s">
        <v>1019</v>
      </c>
      <c r="B313" s="1164">
        <v>300</v>
      </c>
      <c r="C313" s="1161">
        <v>1.06</v>
      </c>
      <c r="D313" s="1157">
        <v>8.5000000000000006E-2</v>
      </c>
      <c r="E313" s="1157">
        <v>4</v>
      </c>
      <c r="F313" s="1157">
        <v>8</v>
      </c>
      <c r="G313" s="1157">
        <v>0.09</v>
      </c>
      <c r="H313" s="1157">
        <v>0.11</v>
      </c>
    </row>
    <row r="314" spans="1:8" s="1146" customFormat="1" ht="13.5" customHeight="1" x14ac:dyDescent="0.25">
      <c r="A314" s="1165" t="s">
        <v>1019</v>
      </c>
      <c r="B314" s="1157">
        <v>200</v>
      </c>
      <c r="C314" s="1161">
        <v>1.06</v>
      </c>
      <c r="D314" s="1157">
        <v>6.5000000000000002E-2</v>
      </c>
      <c r="E314" s="1157">
        <v>4</v>
      </c>
      <c r="F314" s="1157">
        <v>8</v>
      </c>
      <c r="G314" s="1157">
        <v>7.0000000000000007E-2</v>
      </c>
      <c r="H314" s="1157">
        <v>0.08</v>
      </c>
    </row>
    <row r="315" spans="1:8" s="1146" customFormat="1" ht="13.5" customHeight="1" x14ac:dyDescent="0.25">
      <c r="A315" s="1165" t="s">
        <v>1019</v>
      </c>
      <c r="B315" s="1164">
        <v>150</v>
      </c>
      <c r="C315" s="1161">
        <v>1.06</v>
      </c>
      <c r="D315" s="1157">
        <v>5.5E-2</v>
      </c>
      <c r="E315" s="1157">
        <v>4</v>
      </c>
      <c r="F315" s="1157">
        <v>8</v>
      </c>
      <c r="G315" s="1157">
        <v>5.7000000000000002E-2</v>
      </c>
      <c r="H315" s="1157">
        <v>0.06</v>
      </c>
    </row>
    <row r="316" spans="1:8" s="1146" customFormat="1" ht="13.5" customHeight="1" x14ac:dyDescent="0.25">
      <c r="A316" s="1159" t="s">
        <v>1114</v>
      </c>
      <c r="B316" s="1157">
        <v>1000</v>
      </c>
      <c r="C316" s="1161">
        <v>0.84</v>
      </c>
      <c r="D316" s="1157">
        <v>0.28999999999999998</v>
      </c>
      <c r="E316" s="1157">
        <v>10</v>
      </c>
      <c r="F316" s="1157">
        <v>15</v>
      </c>
      <c r="G316" s="1157">
        <v>0.41</v>
      </c>
      <c r="H316" s="1157">
        <v>0.47</v>
      </c>
    </row>
    <row r="317" spans="1:8" s="1146" customFormat="1" ht="13.5" customHeight="1" x14ac:dyDescent="0.25">
      <c r="A317" s="1157" t="s">
        <v>1022</v>
      </c>
      <c r="B317" s="1164">
        <v>800</v>
      </c>
      <c r="C317" s="1161">
        <v>0.84</v>
      </c>
      <c r="D317" s="1157">
        <v>0.21</v>
      </c>
      <c r="E317" s="1157">
        <v>10</v>
      </c>
      <c r="F317" s="1157">
        <v>15</v>
      </c>
      <c r="G317" s="1157">
        <v>0.33</v>
      </c>
      <c r="H317" s="1157">
        <v>0.37</v>
      </c>
    </row>
    <row r="318" spans="1:8" s="1146" customFormat="1" ht="13.5" customHeight="1" x14ac:dyDescent="0.25">
      <c r="A318" s="1165" t="s">
        <v>1019</v>
      </c>
      <c r="B318" s="1157">
        <v>600</v>
      </c>
      <c r="C318" s="1161">
        <v>0.84</v>
      </c>
      <c r="D318" s="1157">
        <v>0.14000000000000001</v>
      </c>
      <c r="E318" s="1157">
        <v>8</v>
      </c>
      <c r="F318" s="1157">
        <v>12</v>
      </c>
      <c r="G318" s="1157">
        <v>0.22</v>
      </c>
      <c r="H318" s="1157">
        <v>0.26</v>
      </c>
    </row>
    <row r="319" spans="1:8" s="1146" customFormat="1" ht="13.5" customHeight="1" x14ac:dyDescent="0.25">
      <c r="A319" s="1165" t="s">
        <v>1019</v>
      </c>
      <c r="B319" s="1157">
        <v>400</v>
      </c>
      <c r="C319" s="1161">
        <v>0.84</v>
      </c>
      <c r="D319" s="1157">
        <v>0.11</v>
      </c>
      <c r="E319" s="1157">
        <v>8</v>
      </c>
      <c r="F319" s="1157">
        <v>12</v>
      </c>
      <c r="G319" s="1157">
        <v>0.14000000000000001</v>
      </c>
      <c r="H319" s="1157">
        <v>0.15</v>
      </c>
    </row>
    <row r="320" spans="1:8" s="1146" customFormat="1" ht="13.5" customHeight="1" x14ac:dyDescent="0.25">
      <c r="A320" s="1157" t="s">
        <v>1114</v>
      </c>
      <c r="B320" s="1164">
        <v>300</v>
      </c>
      <c r="C320" s="1161">
        <v>0.84</v>
      </c>
      <c r="D320" s="1157">
        <v>0.08</v>
      </c>
      <c r="E320" s="1157">
        <v>8</v>
      </c>
      <c r="F320" s="1157">
        <v>12</v>
      </c>
      <c r="G320" s="1157">
        <v>0.11</v>
      </c>
      <c r="H320" s="1157">
        <v>0.13</v>
      </c>
    </row>
    <row r="321" spans="1:8" s="1146" customFormat="1" ht="13.5" customHeight="1" x14ac:dyDescent="0.25">
      <c r="A321" s="1157" t="s">
        <v>1115</v>
      </c>
      <c r="B321" s="1157">
        <v>1200</v>
      </c>
      <c r="C321" s="1161">
        <v>0.84</v>
      </c>
      <c r="D321" s="1157">
        <v>0.28999999999999998</v>
      </c>
      <c r="E321" s="1157">
        <v>15</v>
      </c>
      <c r="F321" s="1157">
        <v>22</v>
      </c>
      <c r="G321" s="1157">
        <v>0.52</v>
      </c>
      <c r="H321" s="1157">
        <v>0.57999999999999996</v>
      </c>
    </row>
    <row r="322" spans="1:8" s="1146" customFormat="1" ht="13.5" customHeight="1" x14ac:dyDescent="0.25">
      <c r="A322" s="1157" t="s">
        <v>1022</v>
      </c>
      <c r="B322" s="1157">
        <v>1000</v>
      </c>
      <c r="C322" s="1161">
        <v>0.84</v>
      </c>
      <c r="D322" s="1157">
        <v>0.23</v>
      </c>
      <c r="E322" s="1157">
        <v>15</v>
      </c>
      <c r="F322" s="1157">
        <v>22</v>
      </c>
      <c r="G322" s="1157">
        <v>0.44</v>
      </c>
      <c r="H322" s="1157">
        <v>0.5</v>
      </c>
    </row>
    <row r="323" spans="1:8" s="1146" customFormat="1" ht="13.5" customHeight="1" x14ac:dyDescent="0.25">
      <c r="A323" s="1165" t="s">
        <v>1019</v>
      </c>
      <c r="B323" s="1164">
        <v>800</v>
      </c>
      <c r="C323" s="1161">
        <v>0.84</v>
      </c>
      <c r="D323" s="1157">
        <v>0.17</v>
      </c>
      <c r="E323" s="1157">
        <v>15</v>
      </c>
      <c r="F323" s="1157">
        <v>22</v>
      </c>
      <c r="G323" s="1157">
        <v>0.35</v>
      </c>
      <c r="H323" s="1157">
        <v>0.41</v>
      </c>
    </row>
    <row r="324" spans="1:8" s="1146" customFormat="1" ht="13.5" customHeight="1" x14ac:dyDescent="0.25">
      <c r="A324" s="1846" t="s">
        <v>1116</v>
      </c>
      <c r="B324" s="1846"/>
      <c r="C324" s="1846"/>
      <c r="D324" s="1846"/>
      <c r="E324" s="1846"/>
      <c r="F324" s="1846"/>
      <c r="G324" s="1846"/>
      <c r="H324" s="1846"/>
    </row>
    <row r="325" spans="1:8" s="1146" customFormat="1" ht="13.5" customHeight="1" x14ac:dyDescent="0.25">
      <c r="A325" s="1157" t="s">
        <v>1117</v>
      </c>
      <c r="B325" s="1157">
        <v>1800</v>
      </c>
      <c r="C325" s="1161">
        <v>0.88</v>
      </c>
      <c r="D325" s="1157">
        <v>0.56000000000000005</v>
      </c>
      <c r="E325" s="1157">
        <v>1</v>
      </c>
      <c r="F325" s="1157">
        <v>2</v>
      </c>
      <c r="G325" s="1157">
        <v>0.7</v>
      </c>
      <c r="H325" s="1157">
        <v>0.81</v>
      </c>
    </row>
    <row r="326" spans="1:8" s="1146" customFormat="1" ht="13.5" customHeight="1" x14ac:dyDescent="0.25">
      <c r="A326" s="1157" t="s">
        <v>1118</v>
      </c>
      <c r="B326" s="1157">
        <v>1700</v>
      </c>
      <c r="C326" s="1161">
        <v>0.88</v>
      </c>
      <c r="D326" s="1157">
        <v>0.52</v>
      </c>
      <c r="E326" s="1157">
        <v>1.5</v>
      </c>
      <c r="F326" s="1157">
        <v>3</v>
      </c>
      <c r="G326" s="1157">
        <v>0.64</v>
      </c>
      <c r="H326" s="1157">
        <v>0.76</v>
      </c>
    </row>
    <row r="327" spans="1:8" s="1146" customFormat="1" ht="13.5" customHeight="1" x14ac:dyDescent="0.25">
      <c r="A327" s="1157" t="s">
        <v>1119</v>
      </c>
      <c r="B327" s="1157">
        <v>1600</v>
      </c>
      <c r="C327" s="1161">
        <v>0.88</v>
      </c>
      <c r="D327" s="1157">
        <v>0.47</v>
      </c>
      <c r="E327" s="1157">
        <v>2</v>
      </c>
      <c r="F327" s="1157">
        <v>4</v>
      </c>
      <c r="G327" s="1157">
        <v>0.57999999999999996</v>
      </c>
      <c r="H327" s="1157">
        <v>0.7</v>
      </c>
    </row>
    <row r="328" spans="1:8" s="1146" customFormat="1" ht="13.5" customHeight="1" x14ac:dyDescent="0.25">
      <c r="A328" s="1157" t="s">
        <v>1120</v>
      </c>
      <c r="B328" s="1157">
        <v>1800</v>
      </c>
      <c r="C328" s="1161">
        <v>0.88</v>
      </c>
      <c r="D328" s="1157">
        <v>0.7</v>
      </c>
      <c r="E328" s="1157">
        <v>2</v>
      </c>
      <c r="F328" s="1157">
        <v>4</v>
      </c>
      <c r="G328" s="1157">
        <v>0.76</v>
      </c>
      <c r="H328" s="1157">
        <v>0.87</v>
      </c>
    </row>
    <row r="329" spans="1:8" s="1146" customFormat="1" ht="13.5" customHeight="1" x14ac:dyDescent="0.25">
      <c r="A329" s="1157" t="s">
        <v>1121</v>
      </c>
      <c r="B329" s="1157">
        <v>1200</v>
      </c>
      <c r="C329" s="1161">
        <v>0.88</v>
      </c>
      <c r="D329" s="1157">
        <v>0.35</v>
      </c>
      <c r="E329" s="1157">
        <v>2</v>
      </c>
      <c r="F329" s="1157">
        <v>4</v>
      </c>
      <c r="G329" s="1157">
        <v>0.47</v>
      </c>
      <c r="H329" s="1157">
        <v>0.52</v>
      </c>
    </row>
    <row r="330" spans="1:8" s="1146" customFormat="1" ht="13.5" customHeight="1" x14ac:dyDescent="0.25">
      <c r="A330" s="1157" t="s">
        <v>1022</v>
      </c>
      <c r="B330" s="1157">
        <v>1000</v>
      </c>
      <c r="C330" s="1161">
        <v>0.88</v>
      </c>
      <c r="D330" s="1157">
        <v>0.28999999999999998</v>
      </c>
      <c r="E330" s="1157">
        <v>2</v>
      </c>
      <c r="F330" s="1157">
        <v>4</v>
      </c>
      <c r="G330" s="1157">
        <v>0.41</v>
      </c>
      <c r="H330" s="1157">
        <v>0.47</v>
      </c>
    </row>
    <row r="331" spans="1:8" s="1146" customFormat="1" ht="13.5" customHeight="1" x14ac:dyDescent="0.25">
      <c r="A331" s="1157" t="s">
        <v>1122</v>
      </c>
      <c r="B331" s="1157">
        <v>1500</v>
      </c>
      <c r="C331" s="1161">
        <v>0.88</v>
      </c>
      <c r="D331" s="1157">
        <v>0.52</v>
      </c>
      <c r="E331" s="1157">
        <v>1.5</v>
      </c>
      <c r="F331" s="1157">
        <v>3</v>
      </c>
      <c r="G331" s="1157">
        <v>0.64</v>
      </c>
      <c r="H331" s="1157">
        <v>0.7</v>
      </c>
    </row>
    <row r="332" spans="1:8" s="1146" customFormat="1" ht="13.5" customHeight="1" x14ac:dyDescent="0.25">
      <c r="A332" s="1846" t="s">
        <v>1123</v>
      </c>
      <c r="B332" s="1846"/>
      <c r="C332" s="1846"/>
      <c r="D332" s="1846"/>
      <c r="E332" s="1846"/>
      <c r="F332" s="1846"/>
      <c r="G332" s="1846"/>
      <c r="H332" s="1846"/>
    </row>
    <row r="333" spans="1:8" s="1146" customFormat="1" ht="13.5" customHeight="1" x14ac:dyDescent="0.25">
      <c r="A333" s="1157" t="s">
        <v>1124</v>
      </c>
      <c r="B333" s="1157">
        <v>1600</v>
      </c>
      <c r="C333" s="1161">
        <v>0.88</v>
      </c>
      <c r="D333" s="1157">
        <v>0.47</v>
      </c>
      <c r="E333" s="1157">
        <v>1</v>
      </c>
      <c r="F333" s="1157">
        <v>2</v>
      </c>
      <c r="G333" s="1157">
        <v>0.57999999999999996</v>
      </c>
      <c r="H333" s="1157">
        <v>0.64</v>
      </c>
    </row>
    <row r="334" spans="1:8" s="1146" customFormat="1" ht="13.5" customHeight="1" x14ac:dyDescent="0.25">
      <c r="A334" s="1157" t="s">
        <v>1125</v>
      </c>
      <c r="B334" s="1157">
        <v>1400</v>
      </c>
      <c r="C334" s="1161">
        <v>0.88</v>
      </c>
      <c r="D334" s="1157">
        <v>0.41</v>
      </c>
      <c r="E334" s="1157">
        <v>1</v>
      </c>
      <c r="F334" s="1157">
        <v>2</v>
      </c>
      <c r="G334" s="1157">
        <v>0.52</v>
      </c>
      <c r="H334" s="1157">
        <v>0.57999999999999996</v>
      </c>
    </row>
    <row r="335" spans="1:8" s="1146" customFormat="1" ht="13.5" customHeight="1" x14ac:dyDescent="0.25">
      <c r="A335" s="1157" t="s">
        <v>1126</v>
      </c>
      <c r="B335" s="1157">
        <v>1200</v>
      </c>
      <c r="C335" s="1161">
        <v>0.88</v>
      </c>
      <c r="D335" s="1157">
        <v>0.35</v>
      </c>
      <c r="E335" s="1157">
        <v>1</v>
      </c>
      <c r="F335" s="1157">
        <v>2</v>
      </c>
      <c r="G335" s="1157">
        <v>0.47</v>
      </c>
      <c r="H335" s="1157">
        <v>0.52</v>
      </c>
    </row>
    <row r="336" spans="1:8" s="1146" customFormat="1" ht="13.5" customHeight="1" x14ac:dyDescent="0.25">
      <c r="A336" s="1157" t="s">
        <v>1127</v>
      </c>
      <c r="B336" s="1157">
        <v>1500</v>
      </c>
      <c r="C336" s="1161">
        <v>0.88</v>
      </c>
      <c r="D336" s="1157">
        <v>0.64</v>
      </c>
      <c r="E336" s="1157">
        <v>2</v>
      </c>
      <c r="F336" s="1157">
        <v>4</v>
      </c>
      <c r="G336" s="1157">
        <v>0.7</v>
      </c>
      <c r="H336" s="1157">
        <v>0.81</v>
      </c>
    </row>
    <row r="337" spans="1:10" s="1146" customFormat="1" ht="13.5" customHeight="1" x14ac:dyDescent="0.25">
      <c r="A337" s="1157" t="s">
        <v>1128</v>
      </c>
      <c r="B337" s="1847">
        <v>1400</v>
      </c>
      <c r="C337" s="1848">
        <v>0.88</v>
      </c>
      <c r="D337" s="1847">
        <v>0.52</v>
      </c>
      <c r="E337" s="1847">
        <v>2</v>
      </c>
      <c r="F337" s="1847">
        <v>4</v>
      </c>
      <c r="G337" s="1847">
        <v>0.64</v>
      </c>
      <c r="H337" s="1847">
        <v>0.76</v>
      </c>
    </row>
    <row r="338" spans="1:10" s="1146" customFormat="1" ht="13.5" customHeight="1" x14ac:dyDescent="0.25">
      <c r="A338" s="1157" t="s">
        <v>1129</v>
      </c>
      <c r="B338" s="1847"/>
      <c r="C338" s="1848"/>
      <c r="D338" s="1847"/>
      <c r="E338" s="1847"/>
      <c r="F338" s="1847"/>
      <c r="G338" s="1847"/>
      <c r="H338" s="1847"/>
    </row>
    <row r="339" spans="1:10" s="1146" customFormat="1" ht="13.5" customHeight="1" x14ac:dyDescent="0.25">
      <c r="A339" s="1841" t="s">
        <v>1130</v>
      </c>
      <c r="B339" s="1841"/>
      <c r="C339" s="1841"/>
      <c r="D339" s="1841"/>
      <c r="E339" s="1841"/>
      <c r="F339" s="1841"/>
      <c r="G339" s="1841"/>
      <c r="H339" s="1841"/>
    </row>
    <row r="340" spans="1:10" s="1146" customFormat="1" ht="13.5" customHeight="1" x14ac:dyDescent="0.25">
      <c r="A340" s="1157" t="s">
        <v>1131</v>
      </c>
      <c r="B340" s="1164">
        <v>500</v>
      </c>
      <c r="C340" s="1161">
        <v>2.2999999999999998</v>
      </c>
      <c r="D340" s="1157">
        <v>0.09</v>
      </c>
      <c r="E340" s="1157">
        <v>15</v>
      </c>
      <c r="F340" s="1157">
        <v>20</v>
      </c>
      <c r="G340" s="1157">
        <v>0.14000000000000001</v>
      </c>
      <c r="H340" s="1157">
        <v>0.18</v>
      </c>
      <c r="J340" s="1146">
        <f>0.2/H340</f>
        <v>1.1111111111111112</v>
      </c>
    </row>
    <row r="341" spans="1:10" s="1146" customFormat="1" ht="13.5" customHeight="1" x14ac:dyDescent="0.25">
      <c r="A341" s="1157" t="s">
        <v>1132</v>
      </c>
      <c r="B341" s="1164">
        <v>500</v>
      </c>
      <c r="C341" s="1161">
        <v>2.2999999999999998</v>
      </c>
      <c r="D341" s="1157">
        <v>0.18</v>
      </c>
      <c r="E341" s="1157">
        <v>15</v>
      </c>
      <c r="F341" s="1157">
        <v>20</v>
      </c>
      <c r="G341" s="1157">
        <v>0.28999999999999998</v>
      </c>
      <c r="H341" s="1157">
        <v>0.35</v>
      </c>
      <c r="J341" s="1146">
        <f t="shared" ref="J341:J342" si="9">0.2/H341</f>
        <v>0.57142857142857151</v>
      </c>
    </row>
    <row r="342" spans="1:10" s="1146" customFormat="1" ht="13.5" customHeight="1" x14ac:dyDescent="0.25">
      <c r="A342" s="1157" t="s">
        <v>1133</v>
      </c>
      <c r="B342" s="1157">
        <v>700</v>
      </c>
      <c r="C342" s="1161">
        <v>2.2999999999999998</v>
      </c>
      <c r="D342" s="1157">
        <v>0.1</v>
      </c>
      <c r="E342" s="1157">
        <v>10</v>
      </c>
      <c r="F342" s="1157">
        <v>15</v>
      </c>
      <c r="G342" s="1157">
        <v>0.18</v>
      </c>
      <c r="H342" s="1157">
        <v>0.23</v>
      </c>
      <c r="J342" s="1146">
        <f t="shared" si="9"/>
        <v>0.86956521739130432</v>
      </c>
    </row>
    <row r="343" spans="1:10" s="1146" customFormat="1" ht="13.5" customHeight="1" x14ac:dyDescent="0.25">
      <c r="A343" s="1157" t="s">
        <v>1134</v>
      </c>
      <c r="B343" s="1157">
        <v>700</v>
      </c>
      <c r="C343" s="1161">
        <v>2.2999999999999998</v>
      </c>
      <c r="D343" s="1157">
        <v>0.23</v>
      </c>
      <c r="E343" s="1157">
        <v>10</v>
      </c>
      <c r="F343" s="1157">
        <v>15</v>
      </c>
      <c r="G343" s="1157">
        <v>0.35</v>
      </c>
      <c r="H343" s="1157">
        <v>0.41</v>
      </c>
      <c r="J343" s="1146">
        <f>0.2/H343</f>
        <v>0.48780487804878053</v>
      </c>
    </row>
    <row r="344" spans="1:10" s="1146" customFormat="1" ht="13.5" customHeight="1" x14ac:dyDescent="0.25">
      <c r="A344" s="1157" t="s">
        <v>1135</v>
      </c>
      <c r="B344" s="1157">
        <v>600</v>
      </c>
      <c r="C344" s="1161">
        <v>2.2999999999999998</v>
      </c>
      <c r="D344" s="1157">
        <v>0.12</v>
      </c>
      <c r="E344" s="1157">
        <v>10</v>
      </c>
      <c r="F344" s="1157">
        <v>13</v>
      </c>
      <c r="G344" s="1157">
        <v>0.15</v>
      </c>
      <c r="H344" s="1157">
        <v>0.18</v>
      </c>
    </row>
    <row r="345" spans="1:10" s="1146" customFormat="1" ht="13.5" customHeight="1" x14ac:dyDescent="0.25">
      <c r="A345" s="1157" t="s">
        <v>1136</v>
      </c>
      <c r="B345" s="1157">
        <v>1000</v>
      </c>
      <c r="C345" s="1161">
        <v>2.2999999999999998</v>
      </c>
      <c r="D345" s="1157">
        <v>0.18</v>
      </c>
      <c r="E345" s="1157">
        <v>5</v>
      </c>
      <c r="F345" s="1157">
        <v>10</v>
      </c>
      <c r="G345" s="1157">
        <v>0.21</v>
      </c>
      <c r="H345" s="1157">
        <v>0.23</v>
      </c>
    </row>
    <row r="346" spans="1:10" s="1146" customFormat="1" ht="13.5" customHeight="1" x14ac:dyDescent="0.25">
      <c r="A346" s="1157" t="s">
        <v>1137</v>
      </c>
      <c r="B346" s="1157">
        <v>650</v>
      </c>
      <c r="C346" s="1161">
        <v>2.2999999999999998</v>
      </c>
      <c r="D346" s="1157">
        <v>0.13</v>
      </c>
      <c r="E346" s="1157">
        <v>6</v>
      </c>
      <c r="F346" s="1157">
        <v>12</v>
      </c>
      <c r="G346" s="1157">
        <v>0.15</v>
      </c>
      <c r="H346" s="1157">
        <v>0.18</v>
      </c>
    </row>
    <row r="347" spans="1:10" s="1146" customFormat="1" ht="13.5" customHeight="1" x14ac:dyDescent="0.25">
      <c r="A347" s="1845" t="s">
        <v>1138</v>
      </c>
      <c r="B347" s="1845"/>
      <c r="C347" s="1845"/>
      <c r="D347" s="1845"/>
      <c r="E347" s="1845"/>
      <c r="F347" s="1845"/>
      <c r="G347" s="1845"/>
      <c r="H347" s="1845"/>
      <c r="J347" s="1146">
        <v>4.1000000000000002E-2</v>
      </c>
    </row>
    <row r="348" spans="1:10" s="1146" customFormat="1" ht="13.5" customHeight="1" x14ac:dyDescent="0.25">
      <c r="A348" s="1841" t="s">
        <v>1139</v>
      </c>
      <c r="B348" s="1841"/>
      <c r="C348" s="1841"/>
      <c r="D348" s="1841"/>
      <c r="E348" s="1841"/>
      <c r="F348" s="1841"/>
      <c r="G348" s="1841"/>
      <c r="H348" s="1841"/>
    </row>
    <row r="349" spans="1:10" s="1146" customFormat="1" ht="13.5" customHeight="1" x14ac:dyDescent="0.25">
      <c r="A349" s="1166" t="s">
        <v>1140</v>
      </c>
      <c r="B349" s="1157">
        <v>2500</v>
      </c>
      <c r="C349" s="1157">
        <v>0.84</v>
      </c>
      <c r="D349" s="1157">
        <v>1.69</v>
      </c>
      <c r="E349" s="1157">
        <v>2</v>
      </c>
      <c r="F349" s="1157">
        <v>3</v>
      </c>
      <c r="G349" s="1157">
        <v>1.92</v>
      </c>
      <c r="H349" s="1157">
        <v>2.04</v>
      </c>
    </row>
    <row r="350" spans="1:10" s="1146" customFormat="1" ht="13.5" customHeight="1" x14ac:dyDescent="0.25">
      <c r="A350" s="1157" t="s">
        <v>1141</v>
      </c>
      <c r="B350" s="1157">
        <v>2400</v>
      </c>
      <c r="C350" s="1157">
        <v>0.84</v>
      </c>
      <c r="D350" s="1157">
        <v>1.51</v>
      </c>
      <c r="E350" s="1157">
        <v>2</v>
      </c>
      <c r="F350" s="1157">
        <v>3</v>
      </c>
      <c r="G350" s="1157">
        <v>1.74</v>
      </c>
      <c r="H350" s="1157">
        <v>1.86</v>
      </c>
    </row>
    <row r="351" spans="1:10" s="1146" customFormat="1" ht="13.5" customHeight="1" x14ac:dyDescent="0.25">
      <c r="A351" s="1157" t="s">
        <v>1142</v>
      </c>
      <c r="B351" s="1157">
        <v>1800</v>
      </c>
      <c r="C351" s="1157">
        <v>0.84</v>
      </c>
      <c r="D351" s="1157">
        <v>0.57999999999999996</v>
      </c>
      <c r="E351" s="1157">
        <v>2</v>
      </c>
      <c r="F351" s="1157">
        <v>4</v>
      </c>
      <c r="G351" s="1157">
        <v>0.76</v>
      </c>
      <c r="H351" s="1157">
        <v>0.93</v>
      </c>
    </row>
    <row r="352" spans="1:10" s="1146" customFormat="1" ht="13.5" customHeight="1" x14ac:dyDescent="0.25">
      <c r="A352" s="1157" t="s">
        <v>1143</v>
      </c>
      <c r="B352" s="1157">
        <v>1700</v>
      </c>
      <c r="C352" s="1157">
        <v>0.84</v>
      </c>
      <c r="D352" s="1157">
        <v>0.52</v>
      </c>
      <c r="E352" s="1157">
        <v>2</v>
      </c>
      <c r="F352" s="1157">
        <v>4</v>
      </c>
      <c r="G352" s="1157">
        <v>0.7</v>
      </c>
      <c r="H352" s="1157">
        <v>0.87</v>
      </c>
    </row>
    <row r="353" spans="1:8" s="1146" customFormat="1" ht="13.5" customHeight="1" x14ac:dyDescent="0.25">
      <c r="A353" s="1157" t="s">
        <v>1144</v>
      </c>
      <c r="B353" s="1157">
        <v>1600</v>
      </c>
      <c r="C353" s="1157">
        <v>0.84</v>
      </c>
      <c r="D353" s="1157">
        <v>0.47</v>
      </c>
      <c r="E353" s="1157">
        <v>2</v>
      </c>
      <c r="F353" s="1157">
        <v>4</v>
      </c>
      <c r="G353" s="1157">
        <v>0.7</v>
      </c>
      <c r="H353" s="1157">
        <v>0.81</v>
      </c>
    </row>
    <row r="354" spans="1:8" s="1146" customFormat="1" ht="13.5" customHeight="1" x14ac:dyDescent="0.25">
      <c r="A354" s="1841" t="s">
        <v>1145</v>
      </c>
      <c r="B354" s="1841"/>
      <c r="C354" s="1841"/>
      <c r="D354" s="1841"/>
      <c r="E354" s="1841"/>
      <c r="F354" s="1841"/>
      <c r="G354" s="1841"/>
      <c r="H354" s="1841"/>
    </row>
    <row r="355" spans="1:8" s="1146" customFormat="1" ht="13.5" customHeight="1" x14ac:dyDescent="0.25">
      <c r="A355" s="1157" t="s">
        <v>1146</v>
      </c>
      <c r="B355" s="1157">
        <v>2800</v>
      </c>
      <c r="C355" s="1157">
        <v>0.88</v>
      </c>
      <c r="D355" s="1157">
        <v>3.49</v>
      </c>
      <c r="E355" s="1157">
        <v>0</v>
      </c>
      <c r="F355" s="1157">
        <v>0</v>
      </c>
      <c r="G355" s="1157">
        <v>3.49</v>
      </c>
      <c r="H355" s="1157">
        <v>3.49</v>
      </c>
    </row>
    <row r="356" spans="1:8" s="1146" customFormat="1" ht="13.5" customHeight="1" x14ac:dyDescent="0.25">
      <c r="A356" s="1157" t="s">
        <v>1147</v>
      </c>
      <c r="B356" s="1157">
        <v>2800</v>
      </c>
      <c r="C356" s="1157">
        <v>0.88</v>
      </c>
      <c r="D356" s="1157">
        <v>2.91</v>
      </c>
      <c r="E356" s="1157">
        <v>0</v>
      </c>
      <c r="F356" s="1157">
        <v>0</v>
      </c>
      <c r="G356" s="1157">
        <v>2.91</v>
      </c>
      <c r="H356" s="1157">
        <v>2.91</v>
      </c>
    </row>
    <row r="357" spans="1:8" s="1146" customFormat="1" ht="13.5" customHeight="1" x14ac:dyDescent="0.25">
      <c r="A357" s="1157" t="s">
        <v>1148</v>
      </c>
      <c r="B357" s="1157">
        <v>2000</v>
      </c>
      <c r="C357" s="1157">
        <v>0.88</v>
      </c>
      <c r="D357" s="1157">
        <v>0.93</v>
      </c>
      <c r="E357" s="1157">
        <v>2</v>
      </c>
      <c r="F357" s="1157">
        <v>3</v>
      </c>
      <c r="G357" s="1157">
        <v>1.1599999999999999</v>
      </c>
      <c r="H357" s="1157">
        <v>1.28</v>
      </c>
    </row>
    <row r="358" spans="1:8" s="1146" customFormat="1" ht="13.5" customHeight="1" x14ac:dyDescent="0.25">
      <c r="A358" s="1167" t="s">
        <v>1019</v>
      </c>
      <c r="B358" s="1157">
        <v>1800</v>
      </c>
      <c r="C358" s="1157">
        <v>0.88</v>
      </c>
      <c r="D358" s="1157">
        <v>0.7</v>
      </c>
      <c r="E358" s="1157">
        <v>2</v>
      </c>
      <c r="F358" s="1157">
        <v>3</v>
      </c>
      <c r="G358" s="1157">
        <v>0.93</v>
      </c>
      <c r="H358" s="1157">
        <v>1.05</v>
      </c>
    </row>
    <row r="359" spans="1:8" s="1146" customFormat="1" ht="13.5" customHeight="1" x14ac:dyDescent="0.25">
      <c r="A359" s="1157" t="s">
        <v>1148</v>
      </c>
      <c r="B359" s="1157">
        <v>1600</v>
      </c>
      <c r="C359" s="1157">
        <v>0.88</v>
      </c>
      <c r="D359" s="1157">
        <v>0.57999999999999996</v>
      </c>
      <c r="E359" s="1157">
        <v>2</v>
      </c>
      <c r="F359" s="1157">
        <v>3</v>
      </c>
      <c r="G359" s="1157">
        <v>0.73</v>
      </c>
      <c r="H359" s="1157">
        <v>0.81</v>
      </c>
    </row>
    <row r="360" spans="1:8" s="1146" customFormat="1" ht="13.5" customHeight="1" x14ac:dyDescent="0.25">
      <c r="A360" s="1167" t="s">
        <v>1019</v>
      </c>
      <c r="B360" s="1157">
        <v>1400</v>
      </c>
      <c r="C360" s="1157">
        <v>0.88</v>
      </c>
      <c r="D360" s="1157">
        <v>0.49</v>
      </c>
      <c r="E360" s="1157">
        <v>2</v>
      </c>
      <c r="F360" s="1157">
        <v>3</v>
      </c>
      <c r="G360" s="1157">
        <v>0.56000000000000005</v>
      </c>
      <c r="H360" s="1157">
        <v>0.57999999999999996</v>
      </c>
    </row>
    <row r="361" spans="1:8" s="1146" customFormat="1" ht="13.5" customHeight="1" x14ac:dyDescent="0.25">
      <c r="A361" s="1157" t="s">
        <v>1149</v>
      </c>
      <c r="B361" s="1157">
        <v>2000</v>
      </c>
      <c r="C361" s="1157">
        <v>0.88</v>
      </c>
      <c r="D361" s="1157">
        <v>0.76</v>
      </c>
      <c r="E361" s="1157">
        <v>3</v>
      </c>
      <c r="F361" s="1157">
        <v>5</v>
      </c>
      <c r="G361" s="1157">
        <v>0.93</v>
      </c>
      <c r="H361" s="1157">
        <v>1.05</v>
      </c>
    </row>
    <row r="362" spans="1:8" s="1146" customFormat="1" ht="13.5" customHeight="1" x14ac:dyDescent="0.25">
      <c r="A362" s="1167" t="s">
        <v>1019</v>
      </c>
      <c r="B362" s="1157">
        <v>1800</v>
      </c>
      <c r="C362" s="1157">
        <v>0.88</v>
      </c>
      <c r="D362" s="1157">
        <v>0.56000000000000005</v>
      </c>
      <c r="E362" s="1157">
        <v>3</v>
      </c>
      <c r="F362" s="1157">
        <v>5</v>
      </c>
      <c r="G362" s="1157">
        <v>0.7</v>
      </c>
      <c r="H362" s="1157">
        <v>0.81</v>
      </c>
    </row>
    <row r="363" spans="1:8" s="1146" customFormat="1" ht="13.5" customHeight="1" x14ac:dyDescent="0.25">
      <c r="A363" s="1167" t="s">
        <v>1019</v>
      </c>
      <c r="B363" s="1157">
        <v>1600</v>
      </c>
      <c r="C363" s="1157">
        <v>0.88</v>
      </c>
      <c r="D363" s="1157">
        <v>0.41</v>
      </c>
      <c r="E363" s="1157">
        <v>3</v>
      </c>
      <c r="F363" s="1157">
        <v>5</v>
      </c>
      <c r="G363" s="1157">
        <v>0.52</v>
      </c>
      <c r="H363" s="1157">
        <v>0.64</v>
      </c>
    </row>
    <row r="364" spans="1:8" s="1146" customFormat="1" ht="13.5" customHeight="1" x14ac:dyDescent="0.25">
      <c r="A364" s="1167" t="s">
        <v>1019</v>
      </c>
      <c r="B364" s="1157">
        <v>1400</v>
      </c>
      <c r="C364" s="1157">
        <v>0.88</v>
      </c>
      <c r="D364" s="1157">
        <v>0.33</v>
      </c>
      <c r="E364" s="1157">
        <v>3</v>
      </c>
      <c r="F364" s="1157">
        <v>5</v>
      </c>
      <c r="G364" s="1157">
        <v>0.43</v>
      </c>
      <c r="H364" s="1157">
        <v>0.52</v>
      </c>
    </row>
    <row r="365" spans="1:8" s="1146" customFormat="1" ht="13.5" customHeight="1" x14ac:dyDescent="0.25">
      <c r="A365" s="1167" t="s">
        <v>1019</v>
      </c>
      <c r="B365" s="1157">
        <v>1200</v>
      </c>
      <c r="C365" s="1157">
        <v>0.88</v>
      </c>
      <c r="D365" s="1157">
        <v>0.27</v>
      </c>
      <c r="E365" s="1157">
        <v>3</v>
      </c>
      <c r="F365" s="1157">
        <v>5</v>
      </c>
      <c r="G365" s="1157">
        <v>0.35</v>
      </c>
      <c r="H365" s="1157">
        <v>0.41</v>
      </c>
    </row>
    <row r="366" spans="1:8" s="1146" customFormat="1" ht="13.5" customHeight="1" x14ac:dyDescent="0.25">
      <c r="A366" s="1167" t="s">
        <v>1019</v>
      </c>
      <c r="B366" s="1157">
        <v>1000</v>
      </c>
      <c r="C366" s="1157">
        <v>0.88</v>
      </c>
      <c r="D366" s="1157">
        <v>0.21</v>
      </c>
      <c r="E366" s="1157">
        <v>3</v>
      </c>
      <c r="F366" s="1157">
        <v>5</v>
      </c>
      <c r="G366" s="1157">
        <v>0.24</v>
      </c>
      <c r="H366" s="1157">
        <v>0.28999999999999998</v>
      </c>
    </row>
    <row r="367" spans="1:8" s="1146" customFormat="1" ht="13.5" customHeight="1" x14ac:dyDescent="0.25">
      <c r="A367" s="1840" t="s">
        <v>1150</v>
      </c>
      <c r="B367" s="1840"/>
      <c r="C367" s="1840"/>
      <c r="D367" s="1840"/>
      <c r="E367" s="1840"/>
      <c r="F367" s="1840"/>
      <c r="G367" s="1840"/>
      <c r="H367" s="1840"/>
    </row>
    <row r="368" spans="1:8" s="1146" customFormat="1" ht="13.5" customHeight="1" x14ac:dyDescent="0.25">
      <c r="A368" s="1157" t="s">
        <v>1151</v>
      </c>
      <c r="B368" s="1157">
        <v>1800</v>
      </c>
      <c r="C368" s="1157">
        <v>0.84</v>
      </c>
      <c r="D368" s="1157">
        <v>0.35</v>
      </c>
      <c r="E368" s="1157">
        <v>2</v>
      </c>
      <c r="F368" s="1157">
        <v>3</v>
      </c>
      <c r="G368" s="1157">
        <v>0.47</v>
      </c>
      <c r="H368" s="1157">
        <v>0.52</v>
      </c>
    </row>
    <row r="369" spans="1:15" s="1146" customFormat="1" ht="13.5" customHeight="1" x14ac:dyDescent="0.25">
      <c r="A369" s="1157" t="s">
        <v>1022</v>
      </c>
      <c r="B369" s="1157">
        <v>1600</v>
      </c>
      <c r="C369" s="1157">
        <v>0.84</v>
      </c>
      <c r="D369" s="1157">
        <v>0.23</v>
      </c>
      <c r="E369" s="1157">
        <v>2</v>
      </c>
      <c r="F369" s="1157">
        <v>3</v>
      </c>
      <c r="G369" s="1157">
        <v>0.35</v>
      </c>
      <c r="H369" s="1157">
        <v>0.41</v>
      </c>
    </row>
    <row r="370" spans="1:15" ht="24" x14ac:dyDescent="0.25">
      <c r="A370" s="1157" t="s">
        <v>1152</v>
      </c>
      <c r="B370" s="1157">
        <v>1400</v>
      </c>
      <c r="C370" s="1157">
        <v>1.68</v>
      </c>
      <c r="D370" s="1157">
        <v>0.27</v>
      </c>
      <c r="E370" s="1157">
        <v>0</v>
      </c>
      <c r="F370" s="1157">
        <v>0</v>
      </c>
      <c r="G370" s="1157">
        <v>0.27</v>
      </c>
      <c r="H370" s="1157">
        <v>0.27</v>
      </c>
      <c r="I370" s="1146"/>
      <c r="J370" s="1146"/>
      <c r="K370" s="1146"/>
      <c r="L370" s="1146"/>
      <c r="M370" s="1146"/>
      <c r="N370" s="1146"/>
      <c r="O370" s="1146"/>
    </row>
    <row r="371" spans="1:15" x14ac:dyDescent="0.25">
      <c r="A371" s="1157" t="s">
        <v>1022</v>
      </c>
      <c r="B371" s="1157">
        <v>1200</v>
      </c>
      <c r="C371" s="1157">
        <v>1.68</v>
      </c>
      <c r="D371" s="1157">
        <v>0.22</v>
      </c>
      <c r="E371" s="1157">
        <v>0</v>
      </c>
      <c r="F371" s="1157">
        <v>0</v>
      </c>
      <c r="G371" s="1157">
        <v>0.22</v>
      </c>
      <c r="H371" s="1157">
        <v>0.22</v>
      </c>
      <c r="I371" s="1146"/>
      <c r="J371" s="1146"/>
      <c r="K371" s="1146"/>
      <c r="L371" s="1146"/>
      <c r="M371" s="1146"/>
      <c r="N371" s="1146"/>
      <c r="O371" s="1146"/>
    </row>
    <row r="372" spans="1:15" x14ac:dyDescent="0.25">
      <c r="A372" s="1167" t="s">
        <v>1019</v>
      </c>
      <c r="B372" s="1157">
        <v>1000</v>
      </c>
      <c r="C372" s="1157">
        <v>1.68</v>
      </c>
      <c r="D372" s="1157">
        <v>0.17</v>
      </c>
      <c r="E372" s="1157">
        <v>0</v>
      </c>
      <c r="F372" s="1157">
        <v>0</v>
      </c>
      <c r="G372" s="1157">
        <v>0.17</v>
      </c>
      <c r="H372" s="1157">
        <v>0.17</v>
      </c>
      <c r="I372" s="1146"/>
      <c r="J372" s="1146"/>
      <c r="K372" s="1146"/>
      <c r="L372" s="1146"/>
      <c r="M372" s="1146"/>
      <c r="N372" s="1146"/>
      <c r="O372" s="1146"/>
    </row>
    <row r="373" spans="1:15" x14ac:dyDescent="0.25">
      <c r="A373" s="1157" t="s">
        <v>1153</v>
      </c>
      <c r="B373" s="1157">
        <v>2100</v>
      </c>
      <c r="C373" s="1157">
        <v>1.68</v>
      </c>
      <c r="D373" s="1157">
        <v>1.05</v>
      </c>
      <c r="E373" s="1157">
        <v>0</v>
      </c>
      <c r="F373" s="1157">
        <v>0</v>
      </c>
      <c r="G373" s="1157">
        <v>1.05</v>
      </c>
      <c r="H373" s="1157">
        <v>1.05</v>
      </c>
      <c r="I373" s="1146"/>
      <c r="J373" s="1146"/>
      <c r="K373" s="1146"/>
      <c r="L373" s="1146"/>
      <c r="M373" s="1146"/>
      <c r="N373" s="1146"/>
      <c r="O373" s="1146"/>
    </row>
    <row r="374" spans="1:15" ht="24" x14ac:dyDescent="0.25">
      <c r="A374" s="1157" t="s">
        <v>1154</v>
      </c>
      <c r="B374" s="1157">
        <v>600</v>
      </c>
      <c r="C374" s="1157">
        <v>1.68</v>
      </c>
      <c r="D374" s="1157">
        <v>0.17</v>
      </c>
      <c r="E374" s="1157">
        <v>0</v>
      </c>
      <c r="F374" s="1157">
        <v>0</v>
      </c>
      <c r="G374" s="1157">
        <v>0.17</v>
      </c>
      <c r="H374" s="1157">
        <v>0.17</v>
      </c>
      <c r="I374" s="1146"/>
      <c r="J374" s="1146"/>
      <c r="K374" s="1146"/>
      <c r="L374" s="1146"/>
      <c r="M374" s="1146"/>
      <c r="N374" s="1146"/>
      <c r="O374" s="1146"/>
    </row>
    <row r="375" spans="1:15" ht="24" x14ac:dyDescent="0.25">
      <c r="A375" s="1157" t="s">
        <v>1155</v>
      </c>
      <c r="B375" s="1157">
        <v>1800</v>
      </c>
      <c r="C375" s="1157">
        <v>1.47</v>
      </c>
      <c r="D375" s="1157">
        <v>0.38</v>
      </c>
      <c r="E375" s="1157">
        <v>0</v>
      </c>
      <c r="F375" s="1157">
        <v>0</v>
      </c>
      <c r="G375" s="1157">
        <v>0.38</v>
      </c>
      <c r="H375" s="1157">
        <v>0.38</v>
      </c>
      <c r="I375" s="1146"/>
      <c r="J375" s="1146"/>
      <c r="K375" s="1146"/>
      <c r="L375" s="1146"/>
      <c r="M375" s="1146"/>
      <c r="N375" s="1146"/>
      <c r="O375" s="1146"/>
    </row>
    <row r="376" spans="1:15" x14ac:dyDescent="0.25">
      <c r="A376" s="1157" t="s">
        <v>1022</v>
      </c>
      <c r="B376" s="1157">
        <v>1600</v>
      </c>
      <c r="C376" s="1157">
        <v>1.47</v>
      </c>
      <c r="D376" s="1157">
        <v>0.33</v>
      </c>
      <c r="E376" s="1157">
        <v>0</v>
      </c>
      <c r="F376" s="1157">
        <v>0</v>
      </c>
      <c r="G376" s="1157">
        <v>0.33</v>
      </c>
      <c r="H376" s="1157">
        <v>0.33</v>
      </c>
      <c r="I376" s="1146"/>
      <c r="J376" s="1146"/>
      <c r="K376" s="1146"/>
      <c r="L376" s="1146"/>
      <c r="M376" s="1146"/>
      <c r="N376" s="1146"/>
      <c r="O376" s="1146"/>
    </row>
    <row r="377" spans="1:15" ht="24" x14ac:dyDescent="0.25">
      <c r="A377" s="1157" t="s">
        <v>1156</v>
      </c>
      <c r="B377" s="1157">
        <v>1800</v>
      </c>
      <c r="C377" s="1157">
        <v>1.47</v>
      </c>
      <c r="D377" s="1157">
        <v>0.35</v>
      </c>
      <c r="E377" s="1157">
        <v>0</v>
      </c>
      <c r="F377" s="1157">
        <v>0</v>
      </c>
      <c r="G377" s="1157">
        <v>0.35</v>
      </c>
      <c r="H377" s="1157">
        <v>0.35</v>
      </c>
      <c r="I377" s="1146"/>
      <c r="J377" s="1146"/>
      <c r="K377" s="1146"/>
      <c r="L377" s="1146"/>
      <c r="M377" s="1146"/>
      <c r="N377" s="1146"/>
      <c r="O377" s="1146"/>
    </row>
    <row r="378" spans="1:15" x14ac:dyDescent="0.25">
      <c r="A378" s="1157" t="s">
        <v>1022</v>
      </c>
      <c r="B378" s="1157">
        <v>1600</v>
      </c>
      <c r="C378" s="1157">
        <v>1.47</v>
      </c>
      <c r="D378" s="1157">
        <v>0.28999999999999998</v>
      </c>
      <c r="E378" s="1157">
        <v>0</v>
      </c>
      <c r="F378" s="1157">
        <v>0</v>
      </c>
      <c r="G378" s="1157">
        <v>0.28999999999999998</v>
      </c>
      <c r="H378" s="1157">
        <v>0.28999999999999998</v>
      </c>
      <c r="I378" s="1146"/>
      <c r="J378" s="1146"/>
      <c r="K378" s="1146"/>
      <c r="L378" s="1146"/>
      <c r="M378" s="1146"/>
      <c r="N378" s="1146"/>
      <c r="O378" s="1146"/>
    </row>
    <row r="379" spans="1:15" x14ac:dyDescent="0.25">
      <c r="A379" s="1165" t="s">
        <v>1019</v>
      </c>
      <c r="B379" s="1157">
        <v>1400</v>
      </c>
      <c r="C379" s="1157">
        <v>1.47</v>
      </c>
      <c r="D379" s="1157">
        <v>0.23</v>
      </c>
      <c r="E379" s="1157">
        <v>0</v>
      </c>
      <c r="F379" s="1157">
        <v>0</v>
      </c>
      <c r="G379" s="1157">
        <v>0.23</v>
      </c>
      <c r="H379" s="1157">
        <v>0.23</v>
      </c>
      <c r="I379" s="1146"/>
      <c r="J379" s="1146"/>
      <c r="K379" s="1146"/>
      <c r="L379" s="1146"/>
      <c r="M379" s="1146"/>
      <c r="N379" s="1146"/>
      <c r="O379" s="1146"/>
    </row>
    <row r="380" spans="1:15" x14ac:dyDescent="0.25">
      <c r="A380" s="1841" t="s">
        <v>1157</v>
      </c>
      <c r="B380" s="1841"/>
      <c r="C380" s="1841"/>
      <c r="D380" s="1841"/>
      <c r="E380" s="1841"/>
      <c r="F380" s="1841"/>
      <c r="G380" s="1841"/>
      <c r="H380" s="1841"/>
      <c r="I380" s="1146"/>
      <c r="J380" s="1146"/>
      <c r="K380" s="1146"/>
      <c r="L380" s="1146"/>
      <c r="M380" s="1146"/>
      <c r="N380" s="1146"/>
      <c r="O380" s="1146"/>
    </row>
    <row r="381" spans="1:15" ht="24" x14ac:dyDescent="0.25">
      <c r="A381" s="1157" t="s">
        <v>1158</v>
      </c>
      <c r="B381" s="1157">
        <v>7850</v>
      </c>
      <c r="C381" s="1157">
        <v>0.48199999999999998</v>
      </c>
      <c r="D381" s="1157">
        <v>58</v>
      </c>
      <c r="E381" s="1157">
        <v>0</v>
      </c>
      <c r="F381" s="1157">
        <v>0</v>
      </c>
      <c r="G381" s="1157">
        <v>58</v>
      </c>
      <c r="H381" s="1157">
        <v>58</v>
      </c>
      <c r="I381" s="1146"/>
      <c r="J381" s="1146"/>
      <c r="K381" s="1146"/>
      <c r="L381" s="1146"/>
      <c r="M381" s="1146"/>
      <c r="N381" s="1146"/>
      <c r="O381" s="1146"/>
    </row>
    <row r="382" spans="1:15" x14ac:dyDescent="0.25">
      <c r="A382" s="1157" t="s">
        <v>1159</v>
      </c>
      <c r="B382" s="1157">
        <v>7200</v>
      </c>
      <c r="C382" s="1157">
        <v>0.48199999999999998</v>
      </c>
      <c r="D382" s="1157">
        <v>50</v>
      </c>
      <c r="E382" s="1157">
        <v>0</v>
      </c>
      <c r="F382" s="1157">
        <v>0</v>
      </c>
      <c r="G382" s="1157">
        <v>50</v>
      </c>
      <c r="H382" s="1157">
        <v>50</v>
      </c>
      <c r="I382" s="1146"/>
      <c r="J382" s="1146"/>
      <c r="K382" s="1146"/>
      <c r="L382" s="1146"/>
      <c r="M382" s="1146"/>
      <c r="N382" s="1146"/>
      <c r="O382" s="1146"/>
    </row>
    <row r="383" spans="1:15" x14ac:dyDescent="0.25">
      <c r="A383" s="1157" t="s">
        <v>1160</v>
      </c>
      <c r="B383" s="1157">
        <v>2600</v>
      </c>
      <c r="C383" s="1157">
        <v>0.84</v>
      </c>
      <c r="D383" s="1157">
        <v>221</v>
      </c>
      <c r="E383" s="1157">
        <v>0</v>
      </c>
      <c r="F383" s="1157">
        <v>0</v>
      </c>
      <c r="G383" s="1157">
        <v>221</v>
      </c>
      <c r="H383" s="1157">
        <v>221</v>
      </c>
      <c r="I383" s="1146"/>
      <c r="J383" s="1146"/>
      <c r="K383" s="1146"/>
      <c r="L383" s="1146"/>
      <c r="M383" s="1146"/>
      <c r="N383" s="1146"/>
      <c r="O383" s="1146"/>
    </row>
    <row r="384" spans="1:15" x14ac:dyDescent="0.25">
      <c r="A384" s="1157" t="s">
        <v>1161</v>
      </c>
      <c r="B384" s="1157">
        <v>8500</v>
      </c>
      <c r="C384" s="1157">
        <v>0.42</v>
      </c>
      <c r="D384" s="1157">
        <v>407</v>
      </c>
      <c r="E384" s="1157">
        <v>0</v>
      </c>
      <c r="F384" s="1157">
        <v>0</v>
      </c>
      <c r="G384" s="1157">
        <v>407</v>
      </c>
      <c r="H384" s="1157">
        <v>407</v>
      </c>
      <c r="I384" s="1146"/>
      <c r="J384" s="1146"/>
      <c r="K384" s="1146"/>
      <c r="L384" s="1146"/>
      <c r="M384" s="1146"/>
      <c r="N384" s="1146"/>
      <c r="O384" s="1146"/>
    </row>
    <row r="385" spans="1:15" x14ac:dyDescent="0.25">
      <c r="A385" s="1157" t="s">
        <v>1162</v>
      </c>
      <c r="B385" s="1157">
        <v>2500</v>
      </c>
      <c r="C385" s="1157">
        <v>0.84</v>
      </c>
      <c r="D385" s="1157">
        <v>0.76</v>
      </c>
      <c r="E385" s="1157">
        <v>0</v>
      </c>
      <c r="F385" s="1157">
        <v>0</v>
      </c>
      <c r="G385" s="1157">
        <v>0.76</v>
      </c>
      <c r="H385" s="1157">
        <v>0.76</v>
      </c>
      <c r="I385" s="1146"/>
      <c r="J385" s="1146"/>
      <c r="K385" s="1146"/>
      <c r="L385" s="1146"/>
      <c r="M385" s="1146"/>
      <c r="N385" s="1146"/>
      <c r="O385" s="1146"/>
    </row>
    <row r="389" spans="1:15" x14ac:dyDescent="0.25">
      <c r="A389" s="1168"/>
    </row>
    <row r="390" spans="1:15" x14ac:dyDescent="0.25">
      <c r="A390" s="1168" t="s">
        <v>1513</v>
      </c>
    </row>
    <row r="391" spans="1:15" x14ac:dyDescent="0.25">
      <c r="A391" s="1169"/>
      <c r="B391" s="95" t="s">
        <v>1504</v>
      </c>
      <c r="C391" s="95" t="s">
        <v>1505</v>
      </c>
      <c r="D391" s="95" t="s">
        <v>1506</v>
      </c>
      <c r="E391" s="95" t="s">
        <v>1507</v>
      </c>
    </row>
    <row r="392" spans="1:15" x14ac:dyDescent="0.25">
      <c r="A392" s="1169">
        <v>2000</v>
      </c>
      <c r="B392" s="95">
        <v>1.2</v>
      </c>
      <c r="C392" s="95">
        <v>1.8</v>
      </c>
      <c r="D392" s="95">
        <v>1.6</v>
      </c>
      <c r="E392" s="95">
        <v>0.35</v>
      </c>
    </row>
    <row r="393" spans="1:15" x14ac:dyDescent="0.25">
      <c r="A393" s="1169">
        <v>4000</v>
      </c>
      <c r="B393" s="95">
        <v>1.6</v>
      </c>
      <c r="C393" s="95">
        <v>2.5</v>
      </c>
      <c r="D393" s="95">
        <v>2.2000000000000002</v>
      </c>
      <c r="E393" s="95">
        <v>0.4</v>
      </c>
    </row>
    <row r="394" spans="1:15" x14ac:dyDescent="0.25">
      <c r="A394" s="1169">
        <v>6000</v>
      </c>
      <c r="B394" s="95">
        <v>2</v>
      </c>
      <c r="C394" s="95">
        <v>3.2</v>
      </c>
      <c r="D394" s="95">
        <v>2.8</v>
      </c>
      <c r="E394" s="95">
        <v>0.45</v>
      </c>
    </row>
    <row r="395" spans="1:15" x14ac:dyDescent="0.25">
      <c r="A395" s="1169">
        <v>8000</v>
      </c>
      <c r="B395" s="95">
        <v>2.4</v>
      </c>
      <c r="C395" s="95">
        <v>3.9</v>
      </c>
      <c r="D395" s="95">
        <v>3.4</v>
      </c>
      <c r="E395" s="95">
        <v>0.5</v>
      </c>
    </row>
    <row r="396" spans="1:15" x14ac:dyDescent="0.25">
      <c r="A396" s="1169">
        <v>10000</v>
      </c>
      <c r="B396" s="95">
        <v>2.8</v>
      </c>
      <c r="C396" s="95">
        <v>4.5999999999999996</v>
      </c>
      <c r="D396" s="95">
        <v>4</v>
      </c>
      <c r="E396" s="95">
        <v>0.55000000000000004</v>
      </c>
    </row>
    <row r="397" spans="1:15" x14ac:dyDescent="0.25">
      <c r="A397" s="1169">
        <v>12000</v>
      </c>
      <c r="B397" s="95">
        <v>3.2</v>
      </c>
      <c r="C397" s="95">
        <v>5.3</v>
      </c>
      <c r="D397" s="95">
        <v>4.5999999999999996</v>
      </c>
      <c r="E397" s="95">
        <v>0.6</v>
      </c>
    </row>
    <row r="398" spans="1:15" x14ac:dyDescent="0.25">
      <c r="A398" s="1168"/>
      <c r="B398" s="75">
        <f>SLOPE(B392:B397,$A$392:$A$397)</f>
        <v>2.0000000000000001E-4</v>
      </c>
      <c r="C398" s="75">
        <f t="shared" ref="C398:E398" si="10">SLOPE(C392:C397,$A$392:$A$397)</f>
        <v>3.5E-4</v>
      </c>
      <c r="D398" s="75">
        <f t="shared" si="10"/>
        <v>2.9999999999999997E-4</v>
      </c>
      <c r="E398" s="75">
        <f t="shared" si="10"/>
        <v>2.5000000000000001E-5</v>
      </c>
    </row>
    <row r="399" spans="1:15" x14ac:dyDescent="0.25">
      <c r="A399" s="1168"/>
      <c r="B399" s="75">
        <f>INTERCEPT(B392:B397,$A$392:$A$397)</f>
        <v>0.7999999999999996</v>
      </c>
      <c r="C399" s="75">
        <f t="shared" ref="C399:E399" si="11">INTERCEPT(C392:C397,$A$392:$A$397)</f>
        <v>1.1000000000000001</v>
      </c>
      <c r="D399" s="75">
        <f t="shared" si="11"/>
        <v>1.0000000000000004</v>
      </c>
      <c r="E399" s="75">
        <f t="shared" si="11"/>
        <v>0.30000000000000004</v>
      </c>
    </row>
    <row r="400" spans="1:15" x14ac:dyDescent="0.25">
      <c r="A400" s="1168" t="s">
        <v>1514</v>
      </c>
    </row>
    <row r="401" spans="1:5" x14ac:dyDescent="0.25">
      <c r="A401" s="1169"/>
      <c r="B401" s="95" t="s">
        <v>1504</v>
      </c>
      <c r="C401" s="95" t="s">
        <v>1505</v>
      </c>
      <c r="D401" s="95" t="s">
        <v>1506</v>
      </c>
      <c r="E401" s="95" t="s">
        <v>1507</v>
      </c>
    </row>
    <row r="402" spans="1:5" x14ac:dyDescent="0.25">
      <c r="A402" s="1169">
        <v>2000</v>
      </c>
      <c r="B402" s="95">
        <v>2.1</v>
      </c>
      <c r="C402" s="95">
        <v>3.2</v>
      </c>
      <c r="D402" s="95">
        <v>2.8</v>
      </c>
      <c r="E402" s="95">
        <v>0.35</v>
      </c>
    </row>
    <row r="403" spans="1:5" x14ac:dyDescent="0.25">
      <c r="A403" s="1169">
        <v>4000</v>
      </c>
      <c r="B403" s="95">
        <v>2.8</v>
      </c>
      <c r="C403" s="95">
        <v>4.2</v>
      </c>
      <c r="D403" s="95">
        <v>3.7</v>
      </c>
      <c r="E403" s="95">
        <v>0.4</v>
      </c>
    </row>
    <row r="404" spans="1:5" x14ac:dyDescent="0.25">
      <c r="A404" s="1169">
        <v>6000</v>
      </c>
      <c r="B404" s="95">
        <v>3.5</v>
      </c>
      <c r="C404" s="95">
        <v>5.2</v>
      </c>
      <c r="D404" s="95">
        <v>4.5999999999999996</v>
      </c>
      <c r="E404" s="95">
        <v>0.45</v>
      </c>
    </row>
    <row r="405" spans="1:5" x14ac:dyDescent="0.25">
      <c r="A405" s="1169">
        <v>8000</v>
      </c>
      <c r="B405" s="95">
        <v>4.2</v>
      </c>
      <c r="C405" s="95">
        <v>6.2</v>
      </c>
      <c r="D405" s="95">
        <v>5.5</v>
      </c>
      <c r="E405" s="95">
        <v>0.5</v>
      </c>
    </row>
    <row r="406" spans="1:5" x14ac:dyDescent="0.25">
      <c r="A406" s="1169">
        <v>10000</v>
      </c>
      <c r="B406" s="95">
        <v>4.9000000000000004</v>
      </c>
      <c r="C406" s="95">
        <v>7.2</v>
      </c>
      <c r="D406" s="95">
        <v>6.4</v>
      </c>
      <c r="E406" s="95">
        <v>0.55000000000000004</v>
      </c>
    </row>
    <row r="407" spans="1:5" x14ac:dyDescent="0.25">
      <c r="A407" s="1169">
        <v>12000</v>
      </c>
      <c r="B407" s="95">
        <v>5.6</v>
      </c>
      <c r="C407" s="95">
        <v>8.1999999999999993</v>
      </c>
      <c r="D407" s="95">
        <v>7.3</v>
      </c>
      <c r="E407" s="95">
        <v>0.6</v>
      </c>
    </row>
    <row r="408" spans="1:5" x14ac:dyDescent="0.25">
      <c r="B408" s="75">
        <f>SLOPE(B402:B407,$A$402:$A$407)</f>
        <v>3.5E-4</v>
      </c>
      <c r="C408" s="75">
        <f t="shared" ref="C408:E408" si="12">SLOPE(C402:C407,$A$402:$A$407)</f>
        <v>5.0000000000000001E-4</v>
      </c>
      <c r="D408" s="75">
        <f t="shared" si="12"/>
        <v>4.4999999999999999E-4</v>
      </c>
      <c r="E408" s="75">
        <f t="shared" si="12"/>
        <v>2.5000000000000001E-5</v>
      </c>
    </row>
    <row r="409" spans="1:5" x14ac:dyDescent="0.25">
      <c r="B409" s="75">
        <f>INTERCEPT(B402:B407,$A$402:$A$407)</f>
        <v>1.4</v>
      </c>
      <c r="C409" s="75">
        <f t="shared" ref="C409:E409" si="13">INTERCEPT(C402:C407,$A$402:$A$407)</f>
        <v>2.2000000000000002</v>
      </c>
      <c r="D409" s="75">
        <f t="shared" si="13"/>
        <v>1.9</v>
      </c>
      <c r="E409" s="75">
        <f t="shared" si="13"/>
        <v>0.30000000000000004</v>
      </c>
    </row>
    <row r="410" spans="1:5" x14ac:dyDescent="0.25">
      <c r="A410" s="101" t="s">
        <v>1508</v>
      </c>
    </row>
    <row r="411" spans="1:5" x14ac:dyDescent="0.25">
      <c r="A411" s="95"/>
      <c r="B411" s="95" t="s">
        <v>1511</v>
      </c>
      <c r="C411" s="95" t="s">
        <v>1512</v>
      </c>
    </row>
    <row r="412" spans="1:5" x14ac:dyDescent="0.25">
      <c r="A412" s="95" t="s">
        <v>514</v>
      </c>
      <c r="B412" s="285" t="e">
        <f>B399+B398*Климатология!$I$2</f>
        <v>#N/A</v>
      </c>
      <c r="C412" s="285" t="e">
        <f>B409+B408*Климатология!$I$2</f>
        <v>#N/A</v>
      </c>
    </row>
    <row r="413" spans="1:5" x14ac:dyDescent="0.25">
      <c r="A413" s="95" t="s">
        <v>1505</v>
      </c>
      <c r="B413" s="285" t="e">
        <f>C399+C398*Климатология!$I$2</f>
        <v>#N/A</v>
      </c>
      <c r="C413" s="285" t="e">
        <f>C409+C408*Климатология!$I$2</f>
        <v>#N/A</v>
      </c>
    </row>
    <row r="414" spans="1:5" x14ac:dyDescent="0.25">
      <c r="A414" s="95" t="s">
        <v>1506</v>
      </c>
      <c r="B414" s="285" t="e">
        <f>D399+D398*Климатология!$I$2</f>
        <v>#N/A</v>
      </c>
      <c r="C414" s="285" t="e">
        <f>D409+D408*Климатология!$I$2</f>
        <v>#N/A</v>
      </c>
    </row>
    <row r="415" spans="1:5" x14ac:dyDescent="0.25">
      <c r="A415" s="95" t="s">
        <v>1507</v>
      </c>
      <c r="B415" s="285" t="e">
        <f>E399+E398*Климатология!$I$2</f>
        <v>#N/A</v>
      </c>
      <c r="C415" s="285" t="e">
        <f>E409+E408*Климатология!$I$2</f>
        <v>#N/A</v>
      </c>
    </row>
  </sheetData>
  <sheetProtection algorithmName="SHA-512" hashValue="G1+1lFjomSQC5Hu16dpxxhQMSivuWz64kDfj42FeczTH+RdD78CI6PMAsbrzA14TuVXN5F8eyU/sg+XpdSYm5Q==" saltValue="uuvtJtTIjjXcE6TiruNPVg==" spinCount="100000" sheet="1" objects="1" scenarios="1"/>
  <mergeCells count="53">
    <mergeCell ref="A1:U1"/>
    <mergeCell ref="A93:C93"/>
    <mergeCell ref="A74:C74"/>
    <mergeCell ref="A79:C79"/>
    <mergeCell ref="A90:C90"/>
    <mergeCell ref="A91:C91"/>
    <mergeCell ref="A92:C92"/>
    <mergeCell ref="A3:A4"/>
    <mergeCell ref="B3:B4"/>
    <mergeCell ref="C3:H3"/>
    <mergeCell ref="I3:K3"/>
    <mergeCell ref="A97:A101"/>
    <mergeCell ref="B97:D97"/>
    <mergeCell ref="E97:H97"/>
    <mergeCell ref="C98:C101"/>
    <mergeCell ref="E98:F98"/>
    <mergeCell ref="E99:F99"/>
    <mergeCell ref="E100:F100"/>
    <mergeCell ref="G98:H100"/>
    <mergeCell ref="A139:A140"/>
    <mergeCell ref="A143:H143"/>
    <mergeCell ref="A185:H185"/>
    <mergeCell ref="A208:H208"/>
    <mergeCell ref="A103:H103"/>
    <mergeCell ref="A104:H104"/>
    <mergeCell ref="A126:A127"/>
    <mergeCell ref="C126:C127"/>
    <mergeCell ref="D126:D127"/>
    <mergeCell ref="E126:E127"/>
    <mergeCell ref="F126:F127"/>
    <mergeCell ref="G126:G127"/>
    <mergeCell ref="H126:H127"/>
    <mergeCell ref="A237:H237"/>
    <mergeCell ref="A245:H245"/>
    <mergeCell ref="A246:H246"/>
    <mergeCell ref="A261:H261"/>
    <mergeCell ref="A308:H308"/>
    <mergeCell ref="A367:H367"/>
    <mergeCell ref="A380:H380"/>
    <mergeCell ref="D98:D100"/>
    <mergeCell ref="A339:H339"/>
    <mergeCell ref="A347:H347"/>
    <mergeCell ref="A348:H348"/>
    <mergeCell ref="A354:H354"/>
    <mergeCell ref="A324:H324"/>
    <mergeCell ref="A332:H332"/>
    <mergeCell ref="B337:B338"/>
    <mergeCell ref="C337:C338"/>
    <mergeCell ref="D337:D338"/>
    <mergeCell ref="E337:E338"/>
    <mergeCell ref="F337:F338"/>
    <mergeCell ref="G337:G338"/>
    <mergeCell ref="H337:H338"/>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8">
    <tabColor theme="0" tint="-0.249977111117893"/>
  </sheetPr>
  <dimension ref="A1:BH306"/>
  <sheetViews>
    <sheetView topLeftCell="A16" zoomScale="75" zoomScaleNormal="75" workbookViewId="0">
      <selection activeCell="F27" sqref="F27"/>
    </sheetView>
  </sheetViews>
  <sheetFormatPr defaultColWidth="9.140625" defaultRowHeight="15" x14ac:dyDescent="0.25"/>
  <cols>
    <col min="1" max="1" width="95.7109375" style="75" customWidth="1"/>
    <col min="2" max="2" width="35.28515625" style="75" customWidth="1"/>
    <col min="3" max="4" width="10.140625" style="75" customWidth="1"/>
    <col min="5" max="5" width="24.5703125" style="75" customWidth="1"/>
    <col min="6" max="16384" width="9.140625" style="75"/>
  </cols>
  <sheetData>
    <row r="1" spans="1:60" ht="62.25" customHeight="1" x14ac:dyDescent="0.45">
      <c r="A1" s="1762" t="s">
        <v>1457</v>
      </c>
      <c r="B1" s="1762"/>
      <c r="C1" s="1762"/>
      <c r="D1" s="1762"/>
      <c r="E1" s="1762"/>
      <c r="F1" s="1762"/>
      <c r="G1" s="1762"/>
      <c r="H1" s="1762"/>
      <c r="I1" s="1762"/>
      <c r="J1" s="1762"/>
      <c r="K1" s="1762"/>
      <c r="L1" s="1762"/>
      <c r="M1" s="1762"/>
      <c r="N1" s="1762"/>
      <c r="O1" s="1762"/>
      <c r="P1" s="1762"/>
      <c r="Q1" s="1762"/>
      <c r="R1" s="1762"/>
      <c r="S1" s="1762"/>
      <c r="T1" s="1762"/>
      <c r="U1" s="1762"/>
      <c r="V1" s="1762"/>
      <c r="W1" s="74"/>
      <c r="X1" s="74"/>
      <c r="Y1" s="74"/>
      <c r="Z1" s="74"/>
      <c r="AA1" s="74"/>
      <c r="AB1" s="74"/>
      <c r="AC1" s="74"/>
      <c r="AD1" s="74"/>
      <c r="AE1" s="74"/>
      <c r="AF1" s="74"/>
      <c r="AG1" s="74"/>
      <c r="AH1" s="74"/>
      <c r="AI1" s="74"/>
      <c r="AJ1" s="74"/>
      <c r="AK1" s="74"/>
      <c r="AL1" s="74"/>
      <c r="AM1" s="74"/>
      <c r="AN1" s="74"/>
      <c r="AO1" s="74"/>
      <c r="AP1" s="74"/>
      <c r="AQ1" s="74"/>
      <c r="AR1" s="74"/>
      <c r="AS1" s="74"/>
      <c r="AT1" s="74"/>
      <c r="AU1" s="74"/>
      <c r="AV1" s="74"/>
      <c r="AW1" s="74"/>
      <c r="AX1" s="74"/>
      <c r="AY1" s="74"/>
      <c r="AZ1" s="74"/>
      <c r="BA1" s="74"/>
      <c r="BB1" s="74"/>
      <c r="BC1" s="74"/>
      <c r="BD1" s="74"/>
      <c r="BE1" s="74"/>
      <c r="BF1" s="74"/>
      <c r="BG1" s="74"/>
      <c r="BH1" s="74"/>
    </row>
    <row r="2" spans="1:60" x14ac:dyDescent="0.25">
      <c r="E2" s="76"/>
      <c r="F2" s="1870" t="s">
        <v>897</v>
      </c>
      <c r="G2" s="1871"/>
      <c r="H2" s="1870" t="s">
        <v>898</v>
      </c>
      <c r="I2" s="1871"/>
    </row>
    <row r="3" spans="1:60" ht="38.25" x14ac:dyDescent="0.25">
      <c r="A3" s="77" t="s">
        <v>765</v>
      </c>
      <c r="B3" s="78" t="s">
        <v>767</v>
      </c>
      <c r="E3" s="76"/>
      <c r="F3" s="79">
        <v>1</v>
      </c>
      <c r="G3" s="79"/>
      <c r="H3" s="79"/>
      <c r="I3" s="80"/>
    </row>
    <row r="4" spans="1:60" ht="25.5" x14ac:dyDescent="0.25">
      <c r="A4" s="81" t="s">
        <v>768</v>
      </c>
      <c r="B4" s="82">
        <f>0.5</f>
        <v>0.5</v>
      </c>
      <c r="C4" s="75">
        <f>IF(AND($F$9=1,$F$11=0,$F$7=1),1,0)</f>
        <v>0</v>
      </c>
      <c r="D4" s="75">
        <f>IF(AND($H$9=1,$H$11=0,$H$7=1),1,0)</f>
        <v>0</v>
      </c>
      <c r="E4" s="76" t="s">
        <v>799</v>
      </c>
      <c r="F4" s="79">
        <f>IF($F$3=1,1,0)</f>
        <v>1</v>
      </c>
      <c r="G4" s="79"/>
      <c r="H4" s="79">
        <f>IF(OR(F4=0,H5=1,H6=1),0,1)</f>
        <v>0</v>
      </c>
      <c r="I4" s="80"/>
    </row>
    <row r="5" spans="1:60" ht="25.5" x14ac:dyDescent="0.25">
      <c r="A5" s="81" t="s">
        <v>769</v>
      </c>
      <c r="B5" s="82">
        <f>0.5</f>
        <v>0.5</v>
      </c>
      <c r="C5" s="75">
        <f>IF(AND($F$10=1,$F$11=0,$F$7=1),1,0)</f>
        <v>0</v>
      </c>
      <c r="D5" s="75">
        <f>IF(AND($H$10=1,$H$11=0,$H$7=1),1,0)</f>
        <v>0</v>
      </c>
      <c r="E5" s="76" t="s">
        <v>800</v>
      </c>
      <c r="F5" s="79">
        <f>IF($F$3=2,1,0)</f>
        <v>0</v>
      </c>
      <c r="G5" s="79"/>
      <c r="H5" s="79">
        <f>IF(OR(F5=1,'Список мероприятий'!D33=списки!N45),1,0)</f>
        <v>1</v>
      </c>
      <c r="I5" s="80"/>
    </row>
    <row r="6" spans="1:60" ht="30" customHeight="1" x14ac:dyDescent="0.25">
      <c r="A6" s="81" t="s">
        <v>770</v>
      </c>
      <c r="B6" s="82">
        <f>0.85</f>
        <v>0.85</v>
      </c>
      <c r="C6" s="75">
        <f>IF(AND($F$9=1,$F$11=1,$F$7=1),1,0)</f>
        <v>0</v>
      </c>
      <c r="D6" s="75">
        <f>IF(AND($H$9=1,$H$11=1,$H$7=1),1,0)</f>
        <v>0</v>
      </c>
      <c r="E6" s="76" t="s">
        <v>801</v>
      </c>
      <c r="F6" s="79">
        <f>IF($F$3=3,1,0)</f>
        <v>0</v>
      </c>
      <c r="G6" s="79"/>
      <c r="H6" s="79">
        <f>IF(OR(F6=1,'Список мероприятий'!D33=списки!N46),1,0)</f>
        <v>0</v>
      </c>
      <c r="I6" s="80"/>
    </row>
    <row r="7" spans="1:60" ht="29.45" customHeight="1" x14ac:dyDescent="0.25">
      <c r="A7" s="81" t="s">
        <v>771</v>
      </c>
      <c r="B7" s="82">
        <f>0.9</f>
        <v>0.9</v>
      </c>
      <c r="C7" s="75">
        <f>IF(AND($F$10=1,$F$11=1,$F$7=1),1,0)</f>
        <v>0</v>
      </c>
      <c r="D7" s="75">
        <f>IF(AND($H$10=1,$H$11=1,$H$7=1),1,0)</f>
        <v>0</v>
      </c>
      <c r="E7" s="76" t="s">
        <v>803</v>
      </c>
      <c r="F7" s="79">
        <f>IF($F$3=4,1,0)</f>
        <v>0</v>
      </c>
      <c r="G7" s="79"/>
      <c r="H7" s="79">
        <f>IF(AND(H5=0,H6=0,H4=0),1,0)</f>
        <v>0</v>
      </c>
      <c r="I7" s="80"/>
    </row>
    <row r="8" spans="1:60" ht="18" customHeight="1" x14ac:dyDescent="0.25">
      <c r="A8" s="81" t="s">
        <v>772</v>
      </c>
      <c r="B8" s="82">
        <f>0.5</f>
        <v>0.5</v>
      </c>
      <c r="C8" s="75">
        <f>IF(AND($F$9=1,$F$11=0,$F$4=1),1,0)</f>
        <v>1</v>
      </c>
      <c r="D8" s="75">
        <f>IF(AND($H$9=1,$H$11=0,$H$4=1),1,0)</f>
        <v>0</v>
      </c>
      <c r="E8" s="83" t="s">
        <v>739</v>
      </c>
      <c r="F8" s="79">
        <v>1</v>
      </c>
      <c r="G8" s="79"/>
      <c r="H8" s="79"/>
      <c r="I8" s="80"/>
    </row>
    <row r="9" spans="1:60" ht="23.45" customHeight="1" x14ac:dyDescent="0.25">
      <c r="A9" s="81" t="s">
        <v>773</v>
      </c>
      <c r="B9" s="82">
        <f>0.5</f>
        <v>0.5</v>
      </c>
      <c r="C9" s="75">
        <f>IF(AND($F$10=1,$F$11=0,$F$4=1),1,0)</f>
        <v>0</v>
      </c>
      <c r="D9" s="75">
        <f>IF(AND($H$10=1,$H$11=0,$H$4=1),1,0)</f>
        <v>0</v>
      </c>
      <c r="E9" s="83" t="s">
        <v>737</v>
      </c>
      <c r="F9" s="79">
        <f>IF(F8=1,1,0)</f>
        <v>1</v>
      </c>
      <c r="G9" s="79"/>
      <c r="H9" s="79">
        <f>F9</f>
        <v>1</v>
      </c>
      <c r="I9" s="80"/>
    </row>
    <row r="10" spans="1:60" ht="21" customHeight="1" x14ac:dyDescent="0.25">
      <c r="A10" s="81" t="s">
        <v>774</v>
      </c>
      <c r="B10" s="82">
        <f>0.85</f>
        <v>0.85</v>
      </c>
      <c r="C10" s="75">
        <f>IF(AND($F$9=1,$F$11=1,$F$4=1),1,0)</f>
        <v>0</v>
      </c>
      <c r="D10" s="75">
        <f>IF(AND($H$9=1,$H$11=1,$H$4=1),1,0)</f>
        <v>0</v>
      </c>
      <c r="E10" s="83" t="s">
        <v>738</v>
      </c>
      <c r="F10" s="79">
        <f>IF(F8=2,1,0)</f>
        <v>0</v>
      </c>
      <c r="G10" s="79"/>
      <c r="H10" s="79">
        <f>F10</f>
        <v>0</v>
      </c>
      <c r="I10" s="80"/>
    </row>
    <row r="11" spans="1:60" ht="26.45" customHeight="1" x14ac:dyDescent="0.25">
      <c r="A11" s="81" t="s">
        <v>775</v>
      </c>
      <c r="B11" s="82">
        <f>0.9</f>
        <v>0.9</v>
      </c>
      <c r="C11" s="75">
        <f>IF(AND($F$10=1,$F$11=1,$F$4=1),1,0)</f>
        <v>0</v>
      </c>
      <c r="D11" s="75">
        <f>IF(AND($H$10=1,$H$11=1,$H$4=1),1,0)</f>
        <v>0</v>
      </c>
      <c r="E11" s="80" t="s">
        <v>802</v>
      </c>
      <c r="F11" s="79">
        <f>IF(G11=TRUE,1,0)</f>
        <v>0</v>
      </c>
      <c r="G11" s="79" t="b">
        <v>0</v>
      </c>
      <c r="H11" s="79">
        <f>F11</f>
        <v>0</v>
      </c>
      <c r="I11" s="80"/>
    </row>
    <row r="12" spans="1:60" ht="29.45" customHeight="1" x14ac:dyDescent="0.25">
      <c r="A12" s="81" t="s">
        <v>776</v>
      </c>
      <c r="B12" s="82">
        <f>0.7</f>
        <v>0.7</v>
      </c>
      <c r="C12" s="75">
        <f>IF(AND($F$9=1,$F$11=0,$F$5=1),1,0)</f>
        <v>0</v>
      </c>
      <c r="D12" s="75">
        <f>IF(AND($H$9=1,$H$11=0,$H$5=1),1,0)</f>
        <v>1</v>
      </c>
      <c r="E12" s="84"/>
    </row>
    <row r="13" spans="1:60" ht="29.45" customHeight="1" x14ac:dyDescent="0.25">
      <c r="A13" s="81" t="s">
        <v>777</v>
      </c>
      <c r="B13" s="82">
        <f>0.7</f>
        <v>0.7</v>
      </c>
      <c r="C13" s="75">
        <f>IF(AND($F$10=1,$F$11=0,$F$5=1),1,0)</f>
        <v>0</v>
      </c>
      <c r="D13" s="75">
        <f>IF(AND($H$10=1,$H$11=0,$H$5=1),1,0)</f>
        <v>0</v>
      </c>
      <c r="E13" s="84"/>
    </row>
    <row r="14" spans="1:60" ht="32.450000000000003" customHeight="1" x14ac:dyDescent="0.25">
      <c r="A14" s="81" t="s">
        <v>778</v>
      </c>
      <c r="B14" s="82">
        <f>0.9</f>
        <v>0.9</v>
      </c>
      <c r="C14" s="75">
        <f>IF(AND($F$9=1,$F$11=1,$F$5=1),1,0)</f>
        <v>0</v>
      </c>
      <c r="D14" s="75">
        <f>IF(AND($H$9=1,$H$11=1,$H$5=1),1,0)</f>
        <v>0</v>
      </c>
      <c r="E14" s="84"/>
    </row>
    <row r="15" spans="1:60" ht="29.45" customHeight="1" x14ac:dyDescent="0.25">
      <c r="A15" s="81" t="s">
        <v>779</v>
      </c>
      <c r="B15" s="82">
        <f>0.95</f>
        <v>0.95</v>
      </c>
      <c r="C15" s="75">
        <f>IF(AND($F$10=1,$F$11=1,$F$5=1),1,0)</f>
        <v>0</v>
      </c>
      <c r="D15" s="75">
        <f>IF(AND($H$10=1,$H$11=1,$H$5=1),1,0)</f>
        <v>0</v>
      </c>
      <c r="E15" s="84"/>
    </row>
    <row r="16" spans="1:60" ht="29.45" customHeight="1" x14ac:dyDescent="0.25">
      <c r="A16" s="81" t="s">
        <v>780</v>
      </c>
      <c r="B16" s="82">
        <f>0.7</f>
        <v>0.7</v>
      </c>
      <c r="C16" s="75">
        <f>IF(AND($F$9=1,$F$11=0,$F$6=1),1,0)</f>
        <v>0</v>
      </c>
      <c r="D16" s="75">
        <f>IF(AND($H$9=1,$H$11=0,$H$6=1),1,0)</f>
        <v>0</v>
      </c>
      <c r="E16" s="84"/>
    </row>
    <row r="17" spans="1:5" ht="29.45" customHeight="1" x14ac:dyDescent="0.25">
      <c r="A17" s="81" t="s">
        <v>781</v>
      </c>
      <c r="B17" s="82">
        <f>0.7</f>
        <v>0.7</v>
      </c>
      <c r="C17" s="75">
        <f>IF(AND($F$10=1,$F$11=0,$F$6=1),1,0)</f>
        <v>0</v>
      </c>
      <c r="D17" s="75">
        <f>IF(AND($H$10=1,$H$11=0,$H$6=1),1,0)</f>
        <v>0</v>
      </c>
      <c r="E17" s="84"/>
    </row>
    <row r="18" spans="1:5" ht="29.45" customHeight="1" x14ac:dyDescent="0.25">
      <c r="A18" s="81" t="s">
        <v>782</v>
      </c>
      <c r="B18" s="82">
        <f>0.9</f>
        <v>0.9</v>
      </c>
      <c r="C18" s="75">
        <f>IF(AND($F$9=1,$F$11=1,$F$6=1),1,0)</f>
        <v>0</v>
      </c>
      <c r="D18" s="75">
        <f>IF(AND($H$9=1,$H$11=1,$H$6=1),1,0)</f>
        <v>0</v>
      </c>
      <c r="E18" s="84"/>
    </row>
    <row r="19" spans="1:5" ht="27.95" customHeight="1" x14ac:dyDescent="0.25">
      <c r="A19" s="81" t="s">
        <v>783</v>
      </c>
      <c r="B19" s="82">
        <f>0.95</f>
        <v>0.95</v>
      </c>
      <c r="C19" s="75">
        <f>IF(AND($F$10=1,$F$11=1,$F$6=1),1,0)</f>
        <v>0</v>
      </c>
      <c r="D19" s="75">
        <f>IF(AND($H$10=1,$H$11=1,$H$6=1),1,0)</f>
        <v>0</v>
      </c>
      <c r="E19" s="84"/>
    </row>
    <row r="20" spans="1:5" ht="27.95" customHeight="1" x14ac:dyDescent="0.25">
      <c r="A20" s="85"/>
      <c r="B20" s="86"/>
      <c r="E20" s="84"/>
    </row>
    <row r="21" spans="1:5" ht="27.95" customHeight="1" x14ac:dyDescent="0.25">
      <c r="A21" s="87"/>
      <c r="B21" s="88"/>
      <c r="E21" s="84"/>
    </row>
    <row r="22" spans="1:5" ht="105" customHeight="1" x14ac:dyDescent="0.25">
      <c r="A22" s="77" t="s">
        <v>1458</v>
      </c>
      <c r="B22" s="89" t="s">
        <v>1459</v>
      </c>
      <c r="C22" s="75" t="s">
        <v>899</v>
      </c>
      <c r="E22" s="84" t="s">
        <v>900</v>
      </c>
    </row>
    <row r="23" spans="1:5" ht="27.95" customHeight="1" x14ac:dyDescent="0.25">
      <c r="A23" s="81" t="s">
        <v>1460</v>
      </c>
      <c r="B23" s="82">
        <f>1.13</f>
        <v>1.1299999999999999</v>
      </c>
      <c r="C23" s="75">
        <f>IF(AND(списки!D34=0,'Ввод исходных данных'!D17&gt;4),1,0)</f>
        <v>0</v>
      </c>
      <c r="E23" s="84">
        <f>IF(AND(списки!D32=0,списки!D34=0,'Ввод исходных данных'!D17&gt;4),1,0)</f>
        <v>0</v>
      </c>
    </row>
    <row r="24" spans="1:5" ht="27.95" customHeight="1" x14ac:dyDescent="0.25">
      <c r="A24" s="81" t="s">
        <v>1461</v>
      </c>
      <c r="B24" s="82">
        <f>1.11</f>
        <v>1.1100000000000001</v>
      </c>
      <c r="C24" s="75">
        <f>IF(AND(списки!D34=0,'Ввод исходных данных'!D19&gt;=9,'Ввод исходных данных'!D17=1),1,0)</f>
        <v>0</v>
      </c>
      <c r="E24" s="84"/>
    </row>
    <row r="25" spans="1:5" ht="27.95" customHeight="1" x14ac:dyDescent="0.25">
      <c r="A25" s="81" t="s">
        <v>1626</v>
      </c>
      <c r="B25" s="82">
        <v>1.0900000000000001</v>
      </c>
      <c r="C25" s="75">
        <f>IF(AND(списки!D34=0,'Ввод исходных данных'!D19&lt;9,'Ввод исходных данных'!D17&lt;=4),1,0)</f>
        <v>1</v>
      </c>
      <c r="E25" s="84"/>
    </row>
    <row r="26" spans="1:5" ht="27.95" customHeight="1" x14ac:dyDescent="0.25">
      <c r="A26" s="81" t="s">
        <v>1627</v>
      </c>
      <c r="B26" s="82">
        <f>1.07</f>
        <v>1.07</v>
      </c>
      <c r="C26" s="75">
        <f>IF(списки!D34=1,1,0)</f>
        <v>0</v>
      </c>
      <c r="E26" s="84"/>
    </row>
    <row r="27" spans="1:5" ht="27.95" customHeight="1" x14ac:dyDescent="0.25">
      <c r="A27" s="81" t="s">
        <v>1628</v>
      </c>
      <c r="B27" s="82">
        <f>1.05</f>
        <v>1.05</v>
      </c>
      <c r="E27" s="84"/>
    </row>
    <row r="28" spans="1:5" x14ac:dyDescent="0.25">
      <c r="B28" s="75">
        <v>1.0900000000000001</v>
      </c>
      <c r="C28" s="75">
        <f>IF(SUM(C23:C27)=0,1,0)</f>
        <v>0</v>
      </c>
      <c r="E28" s="84"/>
    </row>
    <row r="29" spans="1:5" x14ac:dyDescent="0.25">
      <c r="E29" s="84"/>
    </row>
    <row r="30" spans="1:5" x14ac:dyDescent="0.25">
      <c r="E30" s="84"/>
    </row>
    <row r="31" spans="1:5" x14ac:dyDescent="0.25">
      <c r="E31" s="84"/>
    </row>
    <row r="32" spans="1:5" x14ac:dyDescent="0.25">
      <c r="E32" s="84"/>
    </row>
    <row r="33" spans="5:5" x14ac:dyDescent="0.25">
      <c r="E33" s="84"/>
    </row>
    <row r="34" spans="5:5" x14ac:dyDescent="0.25">
      <c r="E34" s="84"/>
    </row>
    <row r="35" spans="5:5" x14ac:dyDescent="0.25">
      <c r="E35" s="84"/>
    </row>
    <row r="36" spans="5:5" x14ac:dyDescent="0.25">
      <c r="E36" s="84"/>
    </row>
    <row r="37" spans="5:5" x14ac:dyDescent="0.25">
      <c r="E37" s="84"/>
    </row>
    <row r="38" spans="5:5" x14ac:dyDescent="0.25">
      <c r="E38" s="84"/>
    </row>
    <row r="39" spans="5:5" x14ac:dyDescent="0.25">
      <c r="E39" s="84"/>
    </row>
    <row r="40" spans="5:5" x14ac:dyDescent="0.25">
      <c r="E40" s="84"/>
    </row>
    <row r="41" spans="5:5" x14ac:dyDescent="0.25">
      <c r="E41" s="84"/>
    </row>
    <row r="42" spans="5:5" x14ac:dyDescent="0.25">
      <c r="E42" s="84"/>
    </row>
    <row r="43" spans="5:5" x14ac:dyDescent="0.25">
      <c r="E43" s="84"/>
    </row>
    <row r="44" spans="5:5" x14ac:dyDescent="0.25">
      <c r="E44" s="84"/>
    </row>
    <row r="45" spans="5:5" x14ac:dyDescent="0.25">
      <c r="E45" s="84"/>
    </row>
    <row r="46" spans="5:5" x14ac:dyDescent="0.25">
      <c r="E46" s="84"/>
    </row>
    <row r="47" spans="5:5" x14ac:dyDescent="0.25">
      <c r="E47" s="84"/>
    </row>
    <row r="48" spans="5:5" x14ac:dyDescent="0.25">
      <c r="E48" s="84"/>
    </row>
    <row r="49" spans="5:5" x14ac:dyDescent="0.25">
      <c r="E49" s="84"/>
    </row>
    <row r="50" spans="5:5" x14ac:dyDescent="0.25">
      <c r="E50" s="84"/>
    </row>
    <row r="51" spans="5:5" x14ac:dyDescent="0.25">
      <c r="E51" s="84"/>
    </row>
    <row r="52" spans="5:5" x14ac:dyDescent="0.25">
      <c r="E52" s="84"/>
    </row>
    <row r="53" spans="5:5" x14ac:dyDescent="0.25">
      <c r="E53" s="84"/>
    </row>
    <row r="54" spans="5:5" x14ac:dyDescent="0.25">
      <c r="E54" s="84"/>
    </row>
    <row r="55" spans="5:5" x14ac:dyDescent="0.25">
      <c r="E55" s="84"/>
    </row>
    <row r="56" spans="5:5" x14ac:dyDescent="0.25">
      <c r="E56" s="84"/>
    </row>
    <row r="57" spans="5:5" x14ac:dyDescent="0.25">
      <c r="E57" s="84"/>
    </row>
    <row r="58" spans="5:5" x14ac:dyDescent="0.25">
      <c r="E58" s="84"/>
    </row>
    <row r="59" spans="5:5" x14ac:dyDescent="0.25">
      <c r="E59" s="84"/>
    </row>
    <row r="60" spans="5:5" x14ac:dyDescent="0.25">
      <c r="E60" s="84"/>
    </row>
    <row r="61" spans="5:5" x14ac:dyDescent="0.25">
      <c r="E61" s="84"/>
    </row>
    <row r="62" spans="5:5" x14ac:dyDescent="0.25">
      <c r="E62" s="84"/>
    </row>
    <row r="63" spans="5:5" x14ac:dyDescent="0.25">
      <c r="E63" s="84"/>
    </row>
    <row r="64" spans="5:5" x14ac:dyDescent="0.25">
      <c r="E64" s="84"/>
    </row>
    <row r="65" spans="5:5" x14ac:dyDescent="0.25">
      <c r="E65" s="84"/>
    </row>
    <row r="66" spans="5:5" x14ac:dyDescent="0.25">
      <c r="E66" s="84"/>
    </row>
    <row r="67" spans="5:5" x14ac:dyDescent="0.25">
      <c r="E67" s="84"/>
    </row>
    <row r="68" spans="5:5" x14ac:dyDescent="0.25">
      <c r="E68" s="84"/>
    </row>
    <row r="69" spans="5:5" x14ac:dyDescent="0.25">
      <c r="E69" s="84"/>
    </row>
    <row r="70" spans="5:5" x14ac:dyDescent="0.25">
      <c r="E70" s="84"/>
    </row>
    <row r="71" spans="5:5" x14ac:dyDescent="0.25">
      <c r="E71" s="84"/>
    </row>
    <row r="72" spans="5:5" x14ac:dyDescent="0.25">
      <c r="E72" s="84"/>
    </row>
    <row r="73" spans="5:5" x14ac:dyDescent="0.25">
      <c r="E73" s="84"/>
    </row>
    <row r="74" spans="5:5" x14ac:dyDescent="0.25">
      <c r="E74" s="84"/>
    </row>
    <row r="75" spans="5:5" x14ac:dyDescent="0.25">
      <c r="E75" s="84"/>
    </row>
    <row r="76" spans="5:5" x14ac:dyDescent="0.25">
      <c r="E76" s="84"/>
    </row>
    <row r="77" spans="5:5" x14ac:dyDescent="0.25">
      <c r="E77" s="84"/>
    </row>
    <row r="78" spans="5:5" x14ac:dyDescent="0.25">
      <c r="E78" s="84"/>
    </row>
    <row r="79" spans="5:5" x14ac:dyDescent="0.25">
      <c r="E79" s="84"/>
    </row>
    <row r="80" spans="5:5" x14ac:dyDescent="0.25">
      <c r="E80" s="84"/>
    </row>
    <row r="81" spans="5:5" x14ac:dyDescent="0.25">
      <c r="E81" s="84"/>
    </row>
    <row r="82" spans="5:5" x14ac:dyDescent="0.25">
      <c r="E82" s="84"/>
    </row>
    <row r="83" spans="5:5" x14ac:dyDescent="0.25">
      <c r="E83" s="84"/>
    </row>
    <row r="84" spans="5:5" x14ac:dyDescent="0.25">
      <c r="E84" s="84"/>
    </row>
    <row r="85" spans="5:5" x14ac:dyDescent="0.25">
      <c r="E85" s="84"/>
    </row>
    <row r="86" spans="5:5" x14ac:dyDescent="0.25">
      <c r="E86" s="84"/>
    </row>
    <row r="87" spans="5:5" x14ac:dyDescent="0.25">
      <c r="E87" s="84"/>
    </row>
    <row r="88" spans="5:5" x14ac:dyDescent="0.25">
      <c r="E88" s="84"/>
    </row>
    <row r="89" spans="5:5" x14ac:dyDescent="0.25">
      <c r="E89" s="84"/>
    </row>
    <row r="90" spans="5:5" x14ac:dyDescent="0.25">
      <c r="E90" s="84"/>
    </row>
    <row r="91" spans="5:5" x14ac:dyDescent="0.25">
      <c r="E91" s="84"/>
    </row>
    <row r="92" spans="5:5" x14ac:dyDescent="0.25">
      <c r="E92" s="84"/>
    </row>
    <row r="93" spans="5:5" x14ac:dyDescent="0.25">
      <c r="E93" s="84"/>
    </row>
    <row r="94" spans="5:5" x14ac:dyDescent="0.25">
      <c r="E94" s="84"/>
    </row>
    <row r="95" spans="5:5" x14ac:dyDescent="0.25">
      <c r="E95" s="84"/>
    </row>
    <row r="96" spans="5:5" x14ac:dyDescent="0.25">
      <c r="E96" s="84"/>
    </row>
    <row r="97" spans="5:5" x14ac:dyDescent="0.25">
      <c r="E97" s="84"/>
    </row>
    <row r="98" spans="5:5" x14ac:dyDescent="0.25">
      <c r="E98" s="84"/>
    </row>
    <row r="99" spans="5:5" x14ac:dyDescent="0.25">
      <c r="E99" s="84"/>
    </row>
    <row r="100" spans="5:5" x14ac:dyDescent="0.25">
      <c r="E100" s="84"/>
    </row>
    <row r="101" spans="5:5" x14ac:dyDescent="0.25">
      <c r="E101" s="84"/>
    </row>
    <row r="102" spans="5:5" x14ac:dyDescent="0.25">
      <c r="E102" s="84"/>
    </row>
    <row r="103" spans="5:5" x14ac:dyDescent="0.25">
      <c r="E103" s="84"/>
    </row>
    <row r="104" spans="5:5" x14ac:dyDescent="0.25">
      <c r="E104" s="84"/>
    </row>
    <row r="105" spans="5:5" x14ac:dyDescent="0.25">
      <c r="E105" s="84"/>
    </row>
    <row r="106" spans="5:5" x14ac:dyDescent="0.25">
      <c r="E106" s="84"/>
    </row>
    <row r="107" spans="5:5" x14ac:dyDescent="0.25">
      <c r="E107" s="84"/>
    </row>
    <row r="108" spans="5:5" x14ac:dyDescent="0.25">
      <c r="E108" s="84"/>
    </row>
    <row r="109" spans="5:5" x14ac:dyDescent="0.25">
      <c r="E109" s="84"/>
    </row>
    <row r="110" spans="5:5" x14ac:dyDescent="0.25">
      <c r="E110" s="84"/>
    </row>
    <row r="111" spans="5:5" x14ac:dyDescent="0.25">
      <c r="E111" s="84"/>
    </row>
    <row r="112" spans="5:5" x14ac:dyDescent="0.25">
      <c r="E112" s="84"/>
    </row>
    <row r="113" spans="5:5" x14ac:dyDescent="0.25">
      <c r="E113" s="84"/>
    </row>
    <row r="114" spans="5:5" x14ac:dyDescent="0.25">
      <c r="E114" s="84"/>
    </row>
    <row r="115" spans="5:5" x14ac:dyDescent="0.25">
      <c r="E115" s="84"/>
    </row>
    <row r="116" spans="5:5" x14ac:dyDescent="0.25">
      <c r="E116" s="84"/>
    </row>
    <row r="117" spans="5:5" x14ac:dyDescent="0.25">
      <c r="E117" s="84"/>
    </row>
    <row r="118" spans="5:5" x14ac:dyDescent="0.25">
      <c r="E118" s="84"/>
    </row>
    <row r="119" spans="5:5" x14ac:dyDescent="0.25">
      <c r="E119" s="84"/>
    </row>
    <row r="120" spans="5:5" x14ac:dyDescent="0.25">
      <c r="E120" s="84"/>
    </row>
    <row r="121" spans="5:5" x14ac:dyDescent="0.25">
      <c r="E121" s="84"/>
    </row>
    <row r="122" spans="5:5" x14ac:dyDescent="0.25">
      <c r="E122" s="84"/>
    </row>
    <row r="123" spans="5:5" x14ac:dyDescent="0.25">
      <c r="E123" s="84"/>
    </row>
    <row r="124" spans="5:5" x14ac:dyDescent="0.25">
      <c r="E124" s="84"/>
    </row>
    <row r="125" spans="5:5" x14ac:dyDescent="0.25">
      <c r="E125" s="84"/>
    </row>
    <row r="126" spans="5:5" x14ac:dyDescent="0.25">
      <c r="E126" s="84"/>
    </row>
    <row r="127" spans="5:5" x14ac:dyDescent="0.25">
      <c r="E127" s="84"/>
    </row>
    <row r="128" spans="5:5" x14ac:dyDescent="0.25">
      <c r="E128" s="84"/>
    </row>
    <row r="129" spans="5:5" x14ac:dyDescent="0.25">
      <c r="E129" s="84"/>
    </row>
    <row r="130" spans="5:5" x14ac:dyDescent="0.25">
      <c r="E130" s="84"/>
    </row>
    <row r="131" spans="5:5" x14ac:dyDescent="0.25">
      <c r="E131" s="84"/>
    </row>
    <row r="132" spans="5:5" x14ac:dyDescent="0.25">
      <c r="E132" s="84"/>
    </row>
    <row r="133" spans="5:5" x14ac:dyDescent="0.25">
      <c r="E133" s="84"/>
    </row>
    <row r="134" spans="5:5" x14ac:dyDescent="0.25">
      <c r="E134" s="84"/>
    </row>
    <row r="135" spans="5:5" x14ac:dyDescent="0.25">
      <c r="E135" s="84"/>
    </row>
    <row r="136" spans="5:5" x14ac:dyDescent="0.25">
      <c r="E136" s="84"/>
    </row>
    <row r="137" spans="5:5" x14ac:dyDescent="0.25">
      <c r="E137" s="84"/>
    </row>
    <row r="138" spans="5:5" x14ac:dyDescent="0.25">
      <c r="E138" s="84"/>
    </row>
    <row r="139" spans="5:5" x14ac:dyDescent="0.25">
      <c r="E139" s="84"/>
    </row>
    <row r="140" spans="5:5" x14ac:dyDescent="0.25">
      <c r="E140" s="84"/>
    </row>
    <row r="141" spans="5:5" x14ac:dyDescent="0.25">
      <c r="E141" s="84"/>
    </row>
    <row r="142" spans="5:5" x14ac:dyDescent="0.25">
      <c r="E142" s="84"/>
    </row>
    <row r="143" spans="5:5" x14ac:dyDescent="0.25">
      <c r="E143" s="84"/>
    </row>
    <row r="144" spans="5:5" x14ac:dyDescent="0.25">
      <c r="E144" s="84"/>
    </row>
    <row r="145" spans="5:5" x14ac:dyDescent="0.25">
      <c r="E145" s="84"/>
    </row>
    <row r="146" spans="5:5" x14ac:dyDescent="0.25">
      <c r="E146" s="84"/>
    </row>
    <row r="147" spans="5:5" x14ac:dyDescent="0.25">
      <c r="E147" s="84"/>
    </row>
    <row r="148" spans="5:5" x14ac:dyDescent="0.25">
      <c r="E148" s="84"/>
    </row>
    <row r="149" spans="5:5" x14ac:dyDescent="0.25">
      <c r="E149" s="84"/>
    </row>
    <row r="150" spans="5:5" x14ac:dyDescent="0.25">
      <c r="E150" s="84"/>
    </row>
    <row r="151" spans="5:5" x14ac:dyDescent="0.25">
      <c r="E151" s="84"/>
    </row>
    <row r="152" spans="5:5" x14ac:dyDescent="0.25">
      <c r="E152" s="84"/>
    </row>
    <row r="153" spans="5:5" x14ac:dyDescent="0.25">
      <c r="E153" s="84"/>
    </row>
    <row r="154" spans="5:5" x14ac:dyDescent="0.25">
      <c r="E154" s="84"/>
    </row>
    <row r="155" spans="5:5" x14ac:dyDescent="0.25">
      <c r="E155" s="84"/>
    </row>
    <row r="156" spans="5:5" x14ac:dyDescent="0.25">
      <c r="E156" s="84"/>
    </row>
    <row r="157" spans="5:5" x14ac:dyDescent="0.25">
      <c r="E157" s="84"/>
    </row>
    <row r="158" spans="5:5" x14ac:dyDescent="0.25">
      <c r="E158" s="84"/>
    </row>
    <row r="159" spans="5:5" x14ac:dyDescent="0.25">
      <c r="E159" s="84"/>
    </row>
    <row r="160" spans="5:5" x14ac:dyDescent="0.25">
      <c r="E160" s="84"/>
    </row>
    <row r="161" spans="5:5" x14ac:dyDescent="0.25">
      <c r="E161" s="84"/>
    </row>
    <row r="162" spans="5:5" x14ac:dyDescent="0.25">
      <c r="E162" s="84"/>
    </row>
    <row r="163" spans="5:5" x14ac:dyDescent="0.25">
      <c r="E163" s="84"/>
    </row>
    <row r="164" spans="5:5" x14ac:dyDescent="0.25">
      <c r="E164" s="84"/>
    </row>
    <row r="165" spans="5:5" x14ac:dyDescent="0.25">
      <c r="E165" s="84"/>
    </row>
    <row r="166" spans="5:5" x14ac:dyDescent="0.25">
      <c r="E166" s="84"/>
    </row>
    <row r="167" spans="5:5" x14ac:dyDescent="0.25">
      <c r="E167" s="84"/>
    </row>
    <row r="168" spans="5:5" x14ac:dyDescent="0.25">
      <c r="E168" s="84"/>
    </row>
    <row r="169" spans="5:5" x14ac:dyDescent="0.25">
      <c r="E169" s="84"/>
    </row>
    <row r="170" spans="5:5" x14ac:dyDescent="0.25">
      <c r="E170" s="84"/>
    </row>
    <row r="171" spans="5:5" x14ac:dyDescent="0.25">
      <c r="E171" s="84"/>
    </row>
    <row r="172" spans="5:5" x14ac:dyDescent="0.25">
      <c r="E172" s="84"/>
    </row>
    <row r="173" spans="5:5" x14ac:dyDescent="0.25">
      <c r="E173" s="84"/>
    </row>
    <row r="174" spans="5:5" x14ac:dyDescent="0.25">
      <c r="E174" s="84"/>
    </row>
    <row r="175" spans="5:5" x14ac:dyDescent="0.25">
      <c r="E175" s="84"/>
    </row>
    <row r="176" spans="5:5" x14ac:dyDescent="0.25">
      <c r="E176" s="84"/>
    </row>
    <row r="177" spans="5:5" x14ac:dyDescent="0.25">
      <c r="E177" s="84"/>
    </row>
    <row r="178" spans="5:5" x14ac:dyDescent="0.25">
      <c r="E178" s="84"/>
    </row>
    <row r="179" spans="5:5" x14ac:dyDescent="0.25">
      <c r="E179" s="84"/>
    </row>
    <row r="180" spans="5:5" x14ac:dyDescent="0.25">
      <c r="E180" s="84"/>
    </row>
    <row r="181" spans="5:5" x14ac:dyDescent="0.25">
      <c r="E181" s="84"/>
    </row>
    <row r="182" spans="5:5" x14ac:dyDescent="0.25">
      <c r="E182" s="84"/>
    </row>
    <row r="183" spans="5:5" x14ac:dyDescent="0.25">
      <c r="E183" s="84"/>
    </row>
    <row r="184" spans="5:5" x14ac:dyDescent="0.25">
      <c r="E184" s="84"/>
    </row>
    <row r="185" spans="5:5" x14ac:dyDescent="0.25">
      <c r="E185" s="84"/>
    </row>
    <row r="186" spans="5:5" x14ac:dyDescent="0.25">
      <c r="E186" s="84"/>
    </row>
    <row r="187" spans="5:5" x14ac:dyDescent="0.25">
      <c r="E187" s="84"/>
    </row>
    <row r="188" spans="5:5" x14ac:dyDescent="0.25">
      <c r="E188" s="84"/>
    </row>
    <row r="189" spans="5:5" x14ac:dyDescent="0.25">
      <c r="E189" s="84"/>
    </row>
    <row r="190" spans="5:5" x14ac:dyDescent="0.25">
      <c r="E190" s="84"/>
    </row>
    <row r="191" spans="5:5" x14ac:dyDescent="0.25">
      <c r="E191" s="84"/>
    </row>
    <row r="192" spans="5:5" x14ac:dyDescent="0.25">
      <c r="E192" s="84"/>
    </row>
    <row r="193" spans="5:5" x14ac:dyDescent="0.25">
      <c r="E193" s="84"/>
    </row>
    <row r="194" spans="5:5" x14ac:dyDescent="0.25">
      <c r="E194" s="84"/>
    </row>
    <row r="195" spans="5:5" x14ac:dyDescent="0.25">
      <c r="E195" s="84"/>
    </row>
    <row r="196" spans="5:5" x14ac:dyDescent="0.25">
      <c r="E196" s="84"/>
    </row>
    <row r="197" spans="5:5" x14ac:dyDescent="0.25">
      <c r="E197" s="84"/>
    </row>
    <row r="198" spans="5:5" x14ac:dyDescent="0.25">
      <c r="E198" s="84"/>
    </row>
    <row r="199" spans="5:5" x14ac:dyDescent="0.25">
      <c r="E199" s="84"/>
    </row>
    <row r="200" spans="5:5" x14ac:dyDescent="0.25">
      <c r="E200" s="84"/>
    </row>
    <row r="201" spans="5:5" x14ac:dyDescent="0.25">
      <c r="E201" s="84"/>
    </row>
    <row r="202" spans="5:5" x14ac:dyDescent="0.25">
      <c r="E202" s="84"/>
    </row>
    <row r="203" spans="5:5" x14ac:dyDescent="0.25">
      <c r="E203" s="84"/>
    </row>
    <row r="204" spans="5:5" x14ac:dyDescent="0.25">
      <c r="E204" s="84"/>
    </row>
    <row r="205" spans="5:5" x14ac:dyDescent="0.25">
      <c r="E205" s="84"/>
    </row>
    <row r="206" spans="5:5" x14ac:dyDescent="0.25">
      <c r="E206" s="84"/>
    </row>
    <row r="207" spans="5:5" x14ac:dyDescent="0.25">
      <c r="E207" s="84"/>
    </row>
    <row r="208" spans="5:5" x14ac:dyDescent="0.25">
      <c r="E208" s="84"/>
    </row>
    <row r="209" spans="5:5" x14ac:dyDescent="0.25">
      <c r="E209" s="84"/>
    </row>
    <row r="210" spans="5:5" x14ac:dyDescent="0.25">
      <c r="E210" s="84"/>
    </row>
    <row r="211" spans="5:5" x14ac:dyDescent="0.25">
      <c r="E211" s="84"/>
    </row>
    <row r="212" spans="5:5" x14ac:dyDescent="0.25">
      <c r="E212" s="84"/>
    </row>
    <row r="213" spans="5:5" x14ac:dyDescent="0.25">
      <c r="E213" s="84"/>
    </row>
    <row r="214" spans="5:5" x14ac:dyDescent="0.25">
      <c r="E214" s="84"/>
    </row>
    <row r="215" spans="5:5" x14ac:dyDescent="0.25">
      <c r="E215" s="84"/>
    </row>
    <row r="216" spans="5:5" x14ac:dyDescent="0.25">
      <c r="E216" s="84"/>
    </row>
    <row r="217" spans="5:5" x14ac:dyDescent="0.25">
      <c r="E217" s="84"/>
    </row>
    <row r="218" spans="5:5" x14ac:dyDescent="0.25">
      <c r="E218" s="84"/>
    </row>
    <row r="219" spans="5:5" x14ac:dyDescent="0.25">
      <c r="E219" s="84"/>
    </row>
    <row r="220" spans="5:5" x14ac:dyDescent="0.25">
      <c r="E220" s="84"/>
    </row>
    <row r="221" spans="5:5" x14ac:dyDescent="0.25">
      <c r="E221" s="84"/>
    </row>
    <row r="222" spans="5:5" x14ac:dyDescent="0.25">
      <c r="E222" s="84"/>
    </row>
    <row r="223" spans="5:5" x14ac:dyDescent="0.25">
      <c r="E223" s="84"/>
    </row>
    <row r="224" spans="5:5" x14ac:dyDescent="0.25">
      <c r="E224" s="84"/>
    </row>
    <row r="225" spans="5:5" x14ac:dyDescent="0.25">
      <c r="E225" s="84"/>
    </row>
    <row r="226" spans="5:5" x14ac:dyDescent="0.25">
      <c r="E226" s="84"/>
    </row>
    <row r="227" spans="5:5" x14ac:dyDescent="0.25">
      <c r="E227" s="84"/>
    </row>
    <row r="228" spans="5:5" x14ac:dyDescent="0.25">
      <c r="E228" s="84"/>
    </row>
    <row r="229" spans="5:5" x14ac:dyDescent="0.25">
      <c r="E229" s="84"/>
    </row>
    <row r="230" spans="5:5" x14ac:dyDescent="0.25">
      <c r="E230" s="84"/>
    </row>
    <row r="231" spans="5:5" x14ac:dyDescent="0.25">
      <c r="E231" s="84"/>
    </row>
    <row r="232" spans="5:5" x14ac:dyDescent="0.25">
      <c r="E232" s="84"/>
    </row>
    <row r="233" spans="5:5" x14ac:dyDescent="0.25">
      <c r="E233" s="84"/>
    </row>
    <row r="234" spans="5:5" x14ac:dyDescent="0.25">
      <c r="E234" s="84"/>
    </row>
    <row r="235" spans="5:5" x14ac:dyDescent="0.25">
      <c r="E235" s="84"/>
    </row>
    <row r="236" spans="5:5" x14ac:dyDescent="0.25">
      <c r="E236" s="84"/>
    </row>
    <row r="237" spans="5:5" x14ac:dyDescent="0.25">
      <c r="E237" s="84"/>
    </row>
    <row r="238" spans="5:5" x14ac:dyDescent="0.25">
      <c r="E238" s="84"/>
    </row>
    <row r="239" spans="5:5" x14ac:dyDescent="0.25">
      <c r="E239" s="84"/>
    </row>
    <row r="240" spans="5:5" x14ac:dyDescent="0.25">
      <c r="E240" s="84"/>
    </row>
    <row r="241" spans="5:5" x14ac:dyDescent="0.25">
      <c r="E241" s="84"/>
    </row>
    <row r="242" spans="5:5" x14ac:dyDescent="0.25">
      <c r="E242" s="84"/>
    </row>
    <row r="243" spans="5:5" x14ac:dyDescent="0.25">
      <c r="E243" s="84"/>
    </row>
    <row r="244" spans="5:5" x14ac:dyDescent="0.25">
      <c r="E244" s="84"/>
    </row>
    <row r="245" spans="5:5" x14ac:dyDescent="0.25">
      <c r="E245" s="84"/>
    </row>
    <row r="246" spans="5:5" x14ac:dyDescent="0.25">
      <c r="E246" s="84"/>
    </row>
    <row r="247" spans="5:5" x14ac:dyDescent="0.25">
      <c r="E247" s="84"/>
    </row>
    <row r="248" spans="5:5" x14ac:dyDescent="0.25">
      <c r="E248" s="84"/>
    </row>
    <row r="249" spans="5:5" x14ac:dyDescent="0.25">
      <c r="E249" s="84"/>
    </row>
    <row r="250" spans="5:5" x14ac:dyDescent="0.25">
      <c r="E250" s="84"/>
    </row>
    <row r="251" spans="5:5" x14ac:dyDescent="0.25">
      <c r="E251" s="84"/>
    </row>
    <row r="252" spans="5:5" x14ac:dyDescent="0.25">
      <c r="E252" s="84"/>
    </row>
    <row r="253" spans="5:5" x14ac:dyDescent="0.25">
      <c r="E253" s="84"/>
    </row>
    <row r="254" spans="5:5" x14ac:dyDescent="0.25">
      <c r="E254" s="84"/>
    </row>
    <row r="255" spans="5:5" x14ac:dyDescent="0.25">
      <c r="E255" s="84"/>
    </row>
    <row r="256" spans="5:5" x14ac:dyDescent="0.25">
      <c r="E256" s="84"/>
    </row>
    <row r="257" spans="5:5" x14ac:dyDescent="0.25">
      <c r="E257" s="84"/>
    </row>
    <row r="258" spans="5:5" x14ac:dyDescent="0.25">
      <c r="E258" s="84"/>
    </row>
    <row r="259" spans="5:5" x14ac:dyDescent="0.25">
      <c r="E259" s="84"/>
    </row>
    <row r="260" spans="5:5" x14ac:dyDescent="0.25">
      <c r="E260" s="84"/>
    </row>
    <row r="261" spans="5:5" x14ac:dyDescent="0.25">
      <c r="E261" s="84"/>
    </row>
    <row r="262" spans="5:5" x14ac:dyDescent="0.25">
      <c r="E262" s="84"/>
    </row>
    <row r="263" spans="5:5" x14ac:dyDescent="0.25">
      <c r="E263" s="84"/>
    </row>
    <row r="264" spans="5:5" x14ac:dyDescent="0.25">
      <c r="E264" s="84"/>
    </row>
    <row r="265" spans="5:5" x14ac:dyDescent="0.25">
      <c r="E265" s="84"/>
    </row>
    <row r="266" spans="5:5" x14ac:dyDescent="0.25">
      <c r="E266" s="84"/>
    </row>
    <row r="267" spans="5:5" x14ac:dyDescent="0.25">
      <c r="E267" s="84"/>
    </row>
    <row r="268" spans="5:5" x14ac:dyDescent="0.25">
      <c r="E268" s="84"/>
    </row>
    <row r="269" spans="5:5" x14ac:dyDescent="0.25">
      <c r="E269" s="84"/>
    </row>
    <row r="270" spans="5:5" x14ac:dyDescent="0.25">
      <c r="E270" s="84"/>
    </row>
    <row r="271" spans="5:5" x14ac:dyDescent="0.25">
      <c r="E271" s="84"/>
    </row>
    <row r="272" spans="5:5" x14ac:dyDescent="0.25">
      <c r="E272" s="84"/>
    </row>
    <row r="273" spans="5:5" x14ac:dyDescent="0.25">
      <c r="E273" s="84"/>
    </row>
    <row r="274" spans="5:5" x14ac:dyDescent="0.25">
      <c r="E274" s="84"/>
    </row>
    <row r="275" spans="5:5" x14ac:dyDescent="0.25">
      <c r="E275" s="84"/>
    </row>
    <row r="276" spans="5:5" x14ac:dyDescent="0.25">
      <c r="E276" s="84"/>
    </row>
    <row r="277" spans="5:5" x14ac:dyDescent="0.25">
      <c r="E277" s="84"/>
    </row>
    <row r="278" spans="5:5" x14ac:dyDescent="0.25">
      <c r="E278" s="84"/>
    </row>
    <row r="279" spans="5:5" x14ac:dyDescent="0.25">
      <c r="E279" s="84"/>
    </row>
    <row r="280" spans="5:5" x14ac:dyDescent="0.25">
      <c r="E280" s="84"/>
    </row>
    <row r="281" spans="5:5" x14ac:dyDescent="0.25">
      <c r="E281" s="84"/>
    </row>
    <row r="282" spans="5:5" x14ac:dyDescent="0.25">
      <c r="E282" s="84"/>
    </row>
    <row r="283" spans="5:5" x14ac:dyDescent="0.25">
      <c r="E283" s="84"/>
    </row>
    <row r="284" spans="5:5" x14ac:dyDescent="0.25">
      <c r="E284" s="84"/>
    </row>
    <row r="285" spans="5:5" x14ac:dyDescent="0.25">
      <c r="E285" s="84"/>
    </row>
    <row r="286" spans="5:5" x14ac:dyDescent="0.25">
      <c r="E286" s="84"/>
    </row>
    <row r="287" spans="5:5" x14ac:dyDescent="0.25">
      <c r="E287" s="84"/>
    </row>
    <row r="288" spans="5:5" x14ac:dyDescent="0.25">
      <c r="E288" s="84"/>
    </row>
    <row r="289" spans="5:5" x14ac:dyDescent="0.25">
      <c r="E289" s="84"/>
    </row>
    <row r="290" spans="5:5" x14ac:dyDescent="0.25">
      <c r="E290" s="84"/>
    </row>
    <row r="291" spans="5:5" x14ac:dyDescent="0.25">
      <c r="E291" s="84"/>
    </row>
    <row r="292" spans="5:5" x14ac:dyDescent="0.25">
      <c r="E292" s="84"/>
    </row>
    <row r="293" spans="5:5" x14ac:dyDescent="0.25">
      <c r="E293" s="84"/>
    </row>
    <row r="294" spans="5:5" x14ac:dyDescent="0.25">
      <c r="E294" s="84"/>
    </row>
    <row r="295" spans="5:5" x14ac:dyDescent="0.25">
      <c r="E295" s="84"/>
    </row>
    <row r="296" spans="5:5" x14ac:dyDescent="0.25">
      <c r="E296" s="84"/>
    </row>
    <row r="297" spans="5:5" x14ac:dyDescent="0.25">
      <c r="E297" s="84"/>
    </row>
    <row r="298" spans="5:5" x14ac:dyDescent="0.25">
      <c r="E298" s="84"/>
    </row>
    <row r="299" spans="5:5" x14ac:dyDescent="0.25">
      <c r="E299" s="84"/>
    </row>
    <row r="300" spans="5:5" x14ac:dyDescent="0.25">
      <c r="E300" s="84"/>
    </row>
    <row r="301" spans="5:5" x14ac:dyDescent="0.25">
      <c r="E301" s="84"/>
    </row>
    <row r="302" spans="5:5" x14ac:dyDescent="0.25">
      <c r="E302" s="84"/>
    </row>
    <row r="303" spans="5:5" x14ac:dyDescent="0.25">
      <c r="E303" s="84"/>
    </row>
    <row r="304" spans="5:5" x14ac:dyDescent="0.25">
      <c r="E304" s="84"/>
    </row>
    <row r="305" spans="5:5" x14ac:dyDescent="0.25">
      <c r="E305" s="84"/>
    </row>
    <row r="306" spans="5:5" x14ac:dyDescent="0.25">
      <c r="E306" s="84"/>
    </row>
  </sheetData>
  <sheetProtection algorithmName="SHA-512" hashValue="TxrxrXqLGyNU6hMSYUJQDw+nNJZuS5ONBiUg8Gvvi4wGVVgh+aBTcrldKRMf+l2FU6Nq0IMWR1VTsQnudSLp8w==" saltValue="r9CkGVjb3txm8D2qSoSReg==" spinCount="100000" sheet="1" objects="1" scenarios="1"/>
  <sortState ref="A25:A38">
    <sortCondition ref="A25"/>
  </sortState>
  <mergeCells count="3">
    <mergeCell ref="F2:G2"/>
    <mergeCell ref="H2:I2"/>
    <mergeCell ref="A1:V1"/>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6">
    <tabColor theme="0" tint="-0.34998626667073579"/>
  </sheetPr>
  <dimension ref="A1:BI100"/>
  <sheetViews>
    <sheetView zoomScaleNormal="100" workbookViewId="0">
      <selection activeCell="B77" sqref="B77:E77"/>
    </sheetView>
  </sheetViews>
  <sheetFormatPr defaultColWidth="9.140625" defaultRowHeight="15" x14ac:dyDescent="0.25"/>
  <cols>
    <col min="1" max="1" width="50.7109375" style="75" customWidth="1"/>
    <col min="2" max="2" width="15.5703125" style="75" customWidth="1"/>
    <col min="3" max="3" width="17.85546875" style="75" customWidth="1"/>
    <col min="4" max="4" width="20.42578125" style="75" customWidth="1"/>
    <col min="5" max="5" width="8.5703125" style="75" customWidth="1"/>
    <col min="6" max="6" width="10.42578125" style="75" customWidth="1"/>
    <col min="7" max="7" width="9.140625" style="75"/>
    <col min="8" max="8" width="11" style="75" customWidth="1"/>
    <col min="9" max="9" width="11.42578125" style="75" customWidth="1"/>
    <col min="10" max="10" width="10.7109375" style="75" customWidth="1"/>
    <col min="11" max="11" width="9.28515625" style="75" customWidth="1"/>
    <col min="12" max="16384" width="9.140625" style="75"/>
  </cols>
  <sheetData>
    <row r="1" spans="1:61" ht="62.25" customHeight="1" x14ac:dyDescent="0.45">
      <c r="A1" s="1762"/>
      <c r="B1" s="1762"/>
      <c r="C1" s="1762"/>
      <c r="D1" s="1762"/>
      <c r="E1" s="1762"/>
      <c r="F1" s="1762"/>
      <c r="G1" s="1762"/>
      <c r="H1" s="1762"/>
      <c r="I1" s="1762"/>
      <c r="J1" s="1762"/>
      <c r="K1" s="1762"/>
      <c r="L1" s="1762"/>
      <c r="M1" s="1762"/>
      <c r="N1" s="1762"/>
      <c r="O1" s="1762"/>
      <c r="P1" s="1762"/>
      <c r="Q1" s="1762"/>
      <c r="R1" s="1762"/>
      <c r="S1" s="1762"/>
      <c r="T1" s="1762"/>
      <c r="U1" s="1762"/>
      <c r="V1" s="1762"/>
      <c r="W1" s="1762"/>
      <c r="X1" s="74"/>
      <c r="Y1" s="74"/>
      <c r="Z1" s="74"/>
      <c r="AA1" s="74"/>
      <c r="AB1" s="74"/>
      <c r="AC1" s="74"/>
      <c r="AD1" s="74"/>
      <c r="AE1" s="74"/>
      <c r="AF1" s="74"/>
      <c r="AG1" s="74"/>
      <c r="AH1" s="74"/>
      <c r="AI1" s="74"/>
      <c r="AJ1" s="74"/>
      <c r="AK1" s="74"/>
      <c r="AL1" s="74"/>
      <c r="AM1" s="74"/>
      <c r="AN1" s="74"/>
      <c r="AO1" s="74"/>
      <c r="AP1" s="74"/>
      <c r="AQ1" s="74"/>
      <c r="AR1" s="74"/>
      <c r="AS1" s="74"/>
      <c r="AT1" s="74"/>
      <c r="AU1" s="74"/>
      <c r="AV1" s="74"/>
      <c r="AW1" s="74"/>
      <c r="AX1" s="74"/>
      <c r="AY1" s="74"/>
      <c r="AZ1" s="74"/>
      <c r="BA1" s="74"/>
      <c r="BB1" s="74"/>
      <c r="BC1" s="74"/>
      <c r="BD1" s="74"/>
      <c r="BE1" s="74"/>
      <c r="BF1" s="74"/>
      <c r="BG1" s="74"/>
      <c r="BH1" s="74"/>
      <c r="BI1" s="74"/>
    </row>
    <row r="2" spans="1:61" x14ac:dyDescent="0.25">
      <c r="A2" s="90"/>
      <c r="B2" s="90"/>
      <c r="C2" s="91"/>
      <c r="D2" s="92"/>
      <c r="E2" s="93"/>
      <c r="F2" s="94"/>
    </row>
    <row r="3" spans="1:61" x14ac:dyDescent="0.25">
      <c r="A3" s="75" t="s">
        <v>822</v>
      </c>
      <c r="B3" s="75">
        <f>40*12</f>
        <v>480</v>
      </c>
    </row>
    <row r="4" spans="1:61" ht="42.95" customHeight="1" x14ac:dyDescent="0.25">
      <c r="A4" s="95"/>
      <c r="B4" s="95"/>
      <c r="C4" s="95"/>
      <c r="D4" s="75" t="s">
        <v>1342</v>
      </c>
      <c r="F4" s="75" t="s">
        <v>1387</v>
      </c>
    </row>
    <row r="5" spans="1:61" x14ac:dyDescent="0.25">
      <c r="A5" s="95"/>
      <c r="B5" s="96" t="s">
        <v>977</v>
      </c>
      <c r="C5" s="95">
        <v>0.15</v>
      </c>
      <c r="D5" s="75">
        <v>11</v>
      </c>
    </row>
    <row r="6" spans="1:61" x14ac:dyDescent="0.25">
      <c r="A6" s="95"/>
      <c r="B6" s="96" t="s">
        <v>1318</v>
      </c>
      <c r="C6" s="95">
        <v>0.22</v>
      </c>
      <c r="D6" s="75">
        <v>50</v>
      </c>
      <c r="F6" s="97">
        <f>$D$5/D6</f>
        <v>0.22</v>
      </c>
    </row>
    <row r="7" spans="1:61" x14ac:dyDescent="0.25">
      <c r="A7" s="95"/>
      <c r="B7" s="96" t="s">
        <v>978</v>
      </c>
      <c r="C7" s="95">
        <v>0.22</v>
      </c>
      <c r="D7" s="75">
        <v>53.3</v>
      </c>
      <c r="F7" s="97">
        <f>$D$5/D7</f>
        <v>0.20637898686679176</v>
      </c>
    </row>
    <row r="8" spans="1:61" x14ac:dyDescent="0.25">
      <c r="A8" s="95"/>
      <c r="B8" s="96" t="s">
        <v>979</v>
      </c>
      <c r="C8" s="98">
        <v>0.57999999999999996</v>
      </c>
      <c r="D8" s="75">
        <v>78</v>
      </c>
      <c r="F8" s="97">
        <f>$D$5/D8</f>
        <v>0.14102564102564102</v>
      </c>
    </row>
    <row r="9" spans="1:61" ht="32.25" customHeight="1" x14ac:dyDescent="0.25">
      <c r="A9" s="95"/>
      <c r="B9" s="96" t="s">
        <v>461</v>
      </c>
      <c r="C9" s="95">
        <v>0.15</v>
      </c>
      <c r="D9" s="75">
        <v>11</v>
      </c>
      <c r="F9" s="97">
        <v>1</v>
      </c>
    </row>
    <row r="10" spans="1:61" ht="24.75" customHeight="1" x14ac:dyDescent="0.25">
      <c r="A10" s="95"/>
      <c r="B10" s="96" t="s">
        <v>980</v>
      </c>
      <c r="C10" s="95"/>
      <c r="D10" s="75">
        <v>16</v>
      </c>
      <c r="E10" s="75" t="s">
        <v>1343</v>
      </c>
      <c r="F10" s="97">
        <f>$D$5/D10</f>
        <v>0.6875</v>
      </c>
    </row>
    <row r="11" spans="1:61" x14ac:dyDescent="0.25">
      <c r="A11" s="95"/>
      <c r="B11" s="95"/>
      <c r="C11" s="95"/>
    </row>
    <row r="12" spans="1:61" x14ac:dyDescent="0.25">
      <c r="A12" s="99"/>
      <c r="B12" s="95"/>
      <c r="C12" s="95"/>
    </row>
    <row r="13" spans="1:61" ht="28.5" customHeight="1" x14ac:dyDescent="0.25"/>
    <row r="14" spans="1:61" ht="43.5" customHeight="1" x14ac:dyDescent="0.25">
      <c r="B14" s="99"/>
    </row>
    <row r="15" spans="1:61" ht="13.5" customHeight="1" x14ac:dyDescent="0.25">
      <c r="A15" s="100"/>
    </row>
    <row r="16" spans="1:61" ht="13.5" customHeight="1" x14ac:dyDescent="0.25">
      <c r="A16" s="100"/>
      <c r="B16" s="100"/>
      <c r="C16" s="100"/>
      <c r="D16" s="100"/>
      <c r="E16" s="100"/>
      <c r="F16" s="100"/>
    </row>
    <row r="17" spans="1:6" ht="13.5" customHeight="1" x14ac:dyDescent="0.25">
      <c r="A17" s="101" t="s">
        <v>975</v>
      </c>
      <c r="B17" s="100" t="s">
        <v>1494</v>
      </c>
      <c r="D17" s="100"/>
      <c r="E17" s="100"/>
      <c r="F17" s="100"/>
    </row>
    <row r="18" spans="1:6" ht="13.5" customHeight="1" x14ac:dyDescent="0.25">
      <c r="A18" s="101" t="s">
        <v>984</v>
      </c>
      <c r="B18" s="102">
        <f>'Ввод исходных данных'!G131*'Ввод исходных данных'!H131*'Ввод исходных данных'!D131/1000</f>
        <v>0</v>
      </c>
      <c r="C18" s="100"/>
      <c r="D18" s="100"/>
      <c r="E18" s="100"/>
      <c r="F18" s="100"/>
    </row>
    <row r="19" spans="1:6" ht="13.5" customHeight="1" x14ac:dyDescent="0.25">
      <c r="A19" s="101" t="s">
        <v>985</v>
      </c>
      <c r="B19" s="102">
        <f>'Ввод исходных данных'!G132*'Ввод исходных данных'!H132*'Ввод исходных данных'!D132/1000</f>
        <v>0</v>
      </c>
      <c r="C19" s="100"/>
      <c r="D19" s="100"/>
      <c r="E19" s="100"/>
      <c r="F19" s="100"/>
    </row>
    <row r="20" spans="1:6" ht="13.5" customHeight="1" x14ac:dyDescent="0.25">
      <c r="A20" s="101" t="s">
        <v>1468</v>
      </c>
      <c r="B20" s="102">
        <f>'Ввод исходных данных'!G133*'Ввод исходных данных'!H133*'Ввод исходных данных'!D133/1000</f>
        <v>0</v>
      </c>
      <c r="C20" s="100"/>
      <c r="D20" s="100"/>
      <c r="E20" s="100"/>
      <c r="F20" s="100"/>
    </row>
    <row r="21" spans="1:6" ht="13.5" customHeight="1" x14ac:dyDescent="0.25">
      <c r="A21" s="101" t="s">
        <v>1469</v>
      </c>
      <c r="B21" s="103">
        <f>'Ввод исходных данных'!G134*'Ввод исходных данных'!H134*'Ввод исходных данных'!D134/1000</f>
        <v>0</v>
      </c>
      <c r="C21" s="100"/>
      <c r="D21" s="100"/>
      <c r="E21" s="100"/>
      <c r="F21" s="100"/>
    </row>
    <row r="22" spans="1:6" ht="13.5" customHeight="1" x14ac:dyDescent="0.25">
      <c r="A22" s="100"/>
      <c r="B22" s="103">
        <f>'Ввод исходных данных'!G135*'Ввод исходных данных'!H135*'Ввод исходных данных'!D135/1000</f>
        <v>0</v>
      </c>
      <c r="C22" s="100"/>
      <c r="D22" s="100"/>
      <c r="E22" s="100"/>
      <c r="F22" s="100"/>
    </row>
    <row r="23" spans="1:6" ht="13.5" customHeight="1" x14ac:dyDescent="0.25">
      <c r="A23" s="100"/>
      <c r="B23" s="103"/>
      <c r="C23" s="100"/>
      <c r="D23" s="100"/>
      <c r="E23" s="100"/>
      <c r="F23" s="100"/>
    </row>
    <row r="24" spans="1:6" ht="15" customHeight="1" x14ac:dyDescent="0.25">
      <c r="A24" s="104" t="s">
        <v>824</v>
      </c>
      <c r="B24" s="100"/>
      <c r="C24" s="100"/>
      <c r="D24" s="100"/>
      <c r="E24" s="100"/>
      <c r="F24" s="100"/>
    </row>
    <row r="25" spans="1:6" ht="56.1" customHeight="1" x14ac:dyDescent="0.25">
      <c r="A25" s="77" t="s">
        <v>825</v>
      </c>
      <c r="C25" s="105"/>
      <c r="D25" s="105"/>
      <c r="E25" s="105"/>
    </row>
    <row r="26" spans="1:6" ht="15.6" customHeight="1" x14ac:dyDescent="0.25">
      <c r="A26" s="106" t="s">
        <v>829</v>
      </c>
      <c r="B26" s="107" t="s">
        <v>826</v>
      </c>
      <c r="C26" s="108" t="s">
        <v>827</v>
      </c>
      <c r="D26" s="108" t="s">
        <v>828</v>
      </c>
      <c r="E26" s="105"/>
    </row>
    <row r="27" spans="1:6" ht="16.5" customHeight="1" x14ac:dyDescent="0.25">
      <c r="A27" s="109" t="s">
        <v>829</v>
      </c>
      <c r="B27" s="110">
        <f>7.5</f>
        <v>7.5</v>
      </c>
      <c r="C27" s="111">
        <f>2200</f>
        <v>2200</v>
      </c>
      <c r="D27" s="111">
        <f>1460</f>
        <v>1460</v>
      </c>
      <c r="E27" s="105"/>
      <c r="F27" s="75">
        <f>B27*C27</f>
        <v>16500</v>
      </c>
    </row>
    <row r="28" spans="1:6" x14ac:dyDescent="0.25">
      <c r="A28" s="112" t="s">
        <v>830</v>
      </c>
      <c r="B28" s="113"/>
      <c r="C28" s="114"/>
      <c r="D28" s="115"/>
      <c r="E28" s="1875" t="s">
        <v>823</v>
      </c>
    </row>
    <row r="29" spans="1:6" x14ac:dyDescent="0.25">
      <c r="A29" s="112" t="s">
        <v>832</v>
      </c>
      <c r="B29" s="116">
        <f>6.5</f>
        <v>6.5</v>
      </c>
      <c r="C29" s="1876" t="s">
        <v>831</v>
      </c>
      <c r="D29" s="117"/>
      <c r="E29" s="1875"/>
    </row>
    <row r="30" spans="1:6" x14ac:dyDescent="0.25">
      <c r="A30" s="118" t="s">
        <v>833</v>
      </c>
      <c r="B30" s="116">
        <f>25.2</f>
        <v>25.2</v>
      </c>
      <c r="C30" s="1876"/>
      <c r="D30" s="117"/>
      <c r="E30" s="1875"/>
    </row>
    <row r="31" spans="1:6" ht="25.5" customHeight="1" x14ac:dyDescent="0.25">
      <c r="A31" s="119" t="s">
        <v>973</v>
      </c>
      <c r="B31" s="120">
        <f>11</f>
        <v>11</v>
      </c>
      <c r="C31" s="1877"/>
      <c r="D31" s="121"/>
      <c r="E31" s="1875"/>
    </row>
    <row r="32" spans="1:6" x14ac:dyDescent="0.25">
      <c r="A32" s="90"/>
      <c r="B32" s="119"/>
      <c r="C32" s="119"/>
      <c r="D32" s="119"/>
      <c r="E32" s="94"/>
    </row>
    <row r="33" spans="1:23" x14ac:dyDescent="0.25">
      <c r="A33" s="90" t="s">
        <v>866</v>
      </c>
      <c r="B33" s="91"/>
      <c r="C33" s="92" t="s">
        <v>899</v>
      </c>
      <c r="D33" s="93" t="s">
        <v>900</v>
      </c>
      <c r="E33" s="94"/>
      <c r="G33" s="75" t="e">
        <f>C34*0.86/1000</f>
        <v>#N/A</v>
      </c>
    </row>
    <row r="34" spans="1:23" x14ac:dyDescent="0.25">
      <c r="A34" s="90"/>
      <c r="B34" s="91" t="s">
        <v>1599</v>
      </c>
      <c r="C34" s="122" t="e">
        <f>('Расчет базового уровня'!F144+'Расчет базового уровня'!F151-'Расчет базового уровня'!F148)*'Расчет базового уровня'!D158</f>
        <v>#N/A</v>
      </c>
      <c r="D34" s="123" t="e">
        <f>('Расчет после реализации'!F144+'Расчет после реализации'!F151-'Расчет после реализации'!F148)*'Расчет после реализации'!D158</f>
        <v>#N/A</v>
      </c>
      <c r="E34" s="75" t="s">
        <v>1603</v>
      </c>
    </row>
    <row r="35" spans="1:23" x14ac:dyDescent="0.25">
      <c r="A35" s="90" t="e">
        <f>C35*$C$43*0.00272/$C$44</f>
        <v>#N/A</v>
      </c>
      <c r="B35" s="91" t="s">
        <v>1601</v>
      </c>
      <c r="C35" s="124" t="e">
        <f>3.6*C34/('Ввод исходных данных'!$D$177-'Ввод исходных данных'!$D$178)/4.2</f>
        <v>#N/A</v>
      </c>
      <c r="D35" s="124" t="e">
        <f>3.6*D34/('Ввод исходных данных'!$D$177-'Ввод исходных данных'!$D$178)/4.2</f>
        <v>#N/A</v>
      </c>
      <c r="E35" s="93" t="s">
        <v>885</v>
      </c>
    </row>
    <row r="36" spans="1:23" x14ac:dyDescent="0.25">
      <c r="A36" s="77" t="s">
        <v>867</v>
      </c>
      <c r="B36" s="91" t="s">
        <v>1602</v>
      </c>
      <c r="C36" s="125" t="e">
        <f>C35*$C$43*0.00272/$C$44*(24*'Ввод исходных данных'!D246)</f>
        <v>#N/A</v>
      </c>
      <c r="D36" s="125" t="e">
        <f>D35*$C$43*0.00272/$C$44*(24*'Ввод исходных данных'!D246)</f>
        <v>#N/A</v>
      </c>
      <c r="E36" s="93" t="s">
        <v>496</v>
      </c>
      <c r="G36" s="94" t="s">
        <v>490</v>
      </c>
      <c r="H36" s="75" t="s">
        <v>491</v>
      </c>
      <c r="I36" s="94" t="s">
        <v>805</v>
      </c>
      <c r="J36" s="75" t="s">
        <v>806</v>
      </c>
      <c r="K36" s="94" t="s">
        <v>807</v>
      </c>
      <c r="L36" s="75" t="s">
        <v>808</v>
      </c>
      <c r="M36" s="94" t="s">
        <v>809</v>
      </c>
      <c r="N36" s="75" t="s">
        <v>482</v>
      </c>
      <c r="O36" s="94" t="s">
        <v>486</v>
      </c>
      <c r="P36" s="75" t="s">
        <v>487</v>
      </c>
    </row>
    <row r="37" spans="1:23" x14ac:dyDescent="0.25">
      <c r="A37" s="126" t="s">
        <v>870</v>
      </c>
      <c r="B37" s="127" t="s">
        <v>921</v>
      </c>
      <c r="C37" s="128" t="s">
        <v>868</v>
      </c>
      <c r="D37" s="129" t="s">
        <v>869</v>
      </c>
      <c r="E37" s="94" t="s">
        <v>488</v>
      </c>
      <c r="F37" s="75" t="s">
        <v>489</v>
      </c>
      <c r="K37" s="94"/>
    </row>
    <row r="38" spans="1:23" ht="28.5" x14ac:dyDescent="0.25">
      <c r="A38" s="130" t="s">
        <v>871</v>
      </c>
      <c r="B38" s="131"/>
      <c r="C38" s="131"/>
      <c r="D38" s="132"/>
      <c r="K38" s="94"/>
    </row>
    <row r="39" spans="1:23" ht="37.5" x14ac:dyDescent="0.25">
      <c r="A39" s="133" t="s">
        <v>874</v>
      </c>
      <c r="B39" s="134" t="s">
        <v>872</v>
      </c>
      <c r="C39" s="135">
        <f>40</f>
        <v>40</v>
      </c>
      <c r="D39" s="136" t="s">
        <v>873</v>
      </c>
      <c r="K39" s="94"/>
    </row>
    <row r="40" spans="1:23" ht="46.5" customHeight="1" x14ac:dyDescent="0.25">
      <c r="A40" s="137" t="s">
        <v>876</v>
      </c>
      <c r="B40" s="138" t="s">
        <v>875</v>
      </c>
      <c r="C40" s="139">
        <f>C39/(1163*1)</f>
        <v>3.4393809114359415E-2</v>
      </c>
      <c r="D40" s="140"/>
      <c r="G40" s="141" t="e">
        <f>'Расчет базового уровня'!O35/('Ввод исходных данных'!$D$177-'Ввод исходных данных'!$D$178)/4.2*3.6</f>
        <v>#N/A</v>
      </c>
      <c r="H40" s="141" t="e">
        <f>'Расчет базового уровня'!R35/('Ввод исходных данных'!$D$177-'Ввод исходных данных'!$D$178)/4.2*3.6</f>
        <v>#N/A</v>
      </c>
      <c r="I40" s="141" t="e">
        <f>'Расчет базового уровня'!U35/('Ввод исходных данных'!$D$177-'Ввод исходных данных'!$D$178)/4.2*3.6</f>
        <v>#N/A</v>
      </c>
      <c r="J40" s="141" t="e">
        <f>'Расчет базового уровня'!X35/('Ввод исходных данных'!$D$177-'Ввод исходных данных'!$D$178)/4.2*3.6</f>
        <v>#N/A</v>
      </c>
      <c r="K40" s="141" t="e">
        <f>'Расчет базового уровня'!AA35/('Ввод исходных данных'!$D$177-'Ввод исходных данных'!$D$178)/4.2*3.6</f>
        <v>#N/A</v>
      </c>
      <c r="L40" s="141" t="e">
        <f>'Расчет базового уровня'!AD35/('Ввод исходных данных'!$D$177-'Ввод исходных данных'!$D$178)/4.2*3.6</f>
        <v>#N/A</v>
      </c>
      <c r="M40" s="141" t="e">
        <f>'Расчет базового уровня'!AG35/('Ввод исходных данных'!$D$177-'Ввод исходных данных'!$D$178)/4.2*3.6</f>
        <v>#N/A</v>
      </c>
      <c r="N40" s="141" t="e">
        <f>'Расчет базового уровня'!AJ35/('Ввод исходных данных'!$D$177-'Ввод исходных данных'!$D$178)/4.2*3.6</f>
        <v>#N/A</v>
      </c>
      <c r="O40" s="141" t="e">
        <f>'Расчет базового уровня'!AM35/('Ввод исходных данных'!$D$177-'Ввод исходных данных'!$D$178)/4.2*3.6</f>
        <v>#N/A</v>
      </c>
      <c r="P40" s="141" t="e">
        <f>'Расчет базового уровня'!AP35/('Ввод исходных данных'!$D$177-'Ввод исходных данных'!$D$178)/4.2*3.6</f>
        <v>#N/A</v>
      </c>
    </row>
    <row r="41" spans="1:23" ht="22.5" customHeight="1" x14ac:dyDescent="0.25">
      <c r="A41" s="142" t="s">
        <v>1388</v>
      </c>
      <c r="B41" s="134" t="s">
        <v>494</v>
      </c>
      <c r="C41" s="143" t="e">
        <f>'Расчет базового уровня'!C35/('Ввод исходных данных'!D177-'Ввод исходных данных'!D178)/4.2*3.6</f>
        <v>#N/A</v>
      </c>
      <c r="D41" s="136" t="s">
        <v>877</v>
      </c>
      <c r="E41" s="141" t="e">
        <f>'Расчет базового уровня'!I35/('Ввод исходных данных'!$D$177-'Ввод исходных данных'!$D$178)/4.2*3.6</f>
        <v>#N/A</v>
      </c>
      <c r="F41" s="141" t="e">
        <f>'Расчет базового уровня'!L35/('Ввод исходных данных'!$D$177-'Ввод исходных данных'!$D$178)/4.2*3.6</f>
        <v>#N/A</v>
      </c>
      <c r="G41" s="144" t="e">
        <f>'Расчет после реализации'!N35/('Ввод исходных данных'!$D$177-'Ввод исходных данных'!$D$178)/4.2*3.6</f>
        <v>#N/A</v>
      </c>
      <c r="H41" s="144" t="e">
        <f>'Расчет после реализации'!P35/('Ввод исходных данных'!$D$177-'Ввод исходных данных'!$D$178)/4.2*3.6</f>
        <v>#N/A</v>
      </c>
      <c r="I41" s="144" t="e">
        <f>'Расчет после реализации'!R35/('Ввод исходных данных'!$D$177-'Ввод исходных данных'!$D$178)/4.2*3.6</f>
        <v>#N/A</v>
      </c>
      <c r="J41" s="144" t="e">
        <f>'Расчет после реализации'!T35/('Ввод исходных данных'!$D$177-'Ввод исходных данных'!$D$178)/4.2*3.6</f>
        <v>#N/A</v>
      </c>
      <c r="K41" s="144" t="e">
        <f>'Расчет после реализации'!V35/('Ввод исходных данных'!$D$177-'Ввод исходных данных'!$D$178)/4.2*3.6</f>
        <v>#N/A</v>
      </c>
      <c r="L41" s="144" t="e">
        <f>'Расчет после реализации'!X35/('Ввод исходных данных'!$D$177-'Ввод исходных данных'!$D$178)/4.2*3.6</f>
        <v>#N/A</v>
      </c>
      <c r="M41" s="144" t="e">
        <f>'Расчет после реализации'!Z35/('Ввод исходных данных'!$D$177-'Ввод исходных данных'!$D$178)/4.2*3.6</f>
        <v>#N/A</v>
      </c>
      <c r="N41" s="144" t="e">
        <f>'Расчет после реализации'!AB35/('Ввод исходных данных'!$D$177-'Ввод исходных данных'!$D$178)/4.2*3.6</f>
        <v>#N/A</v>
      </c>
      <c r="O41" s="144" t="e">
        <f>'Расчет после реализации'!AD35/('Ввод исходных данных'!$D$177-'Ввод исходных данных'!$D$178)/4.2*3.6</f>
        <v>#N/A</v>
      </c>
      <c r="P41" s="144" t="e">
        <f>'Расчет после реализации'!AF35/('Ввод исходных данных'!$D$177-'Ввод исходных данных'!$D$178)/4.2*3.6</f>
        <v>#N/A</v>
      </c>
      <c r="Q41" s="144"/>
      <c r="R41" s="144"/>
      <c r="S41" s="144"/>
      <c r="T41" s="144"/>
      <c r="U41" s="144"/>
      <c r="V41" s="144"/>
      <c r="W41" s="144"/>
    </row>
    <row r="42" spans="1:23" ht="24" customHeight="1" x14ac:dyDescent="0.25">
      <c r="A42" s="145" t="s">
        <v>878</v>
      </c>
      <c r="B42" s="146"/>
      <c r="C42" s="144" t="e">
        <f>'Расчет после реализации'!D35/('Ввод исходных данных'!$D$177-'Ввод исходных данных'!$D$178)/4.2*3.6</f>
        <v>#N/A</v>
      </c>
      <c r="D42" s="147"/>
      <c r="E42" s="144" t="e">
        <f>'Расчет после реализации'!J35/('Ввод исходных данных'!$D$177-'Ввод исходных данных'!$D$178)/4.2*3.6</f>
        <v>#N/A</v>
      </c>
      <c r="F42" s="144" t="e">
        <f>'Расчет после реализации'!L35/('Ввод исходных данных'!$D$177-'Ввод исходных данных'!$D$178)/4.2*3.6</f>
        <v>#N/A</v>
      </c>
      <c r="K42" s="94"/>
    </row>
    <row r="43" spans="1:23" ht="38.25" customHeight="1" x14ac:dyDescent="0.25">
      <c r="A43" s="148" t="s">
        <v>879</v>
      </c>
      <c r="B43" s="134" t="s">
        <v>922</v>
      </c>
      <c r="C43" s="135">
        <v>6</v>
      </c>
      <c r="D43" s="136" t="s">
        <v>923</v>
      </c>
      <c r="J43" s="99"/>
      <c r="K43" s="94"/>
    </row>
    <row r="44" spans="1:23" ht="12" customHeight="1" x14ac:dyDescent="0.25">
      <c r="A44" s="149" t="s">
        <v>597</v>
      </c>
      <c r="B44" s="110"/>
      <c r="C44" s="150">
        <v>0.7</v>
      </c>
      <c r="D44" s="151" t="s">
        <v>880</v>
      </c>
      <c r="K44" s="94"/>
    </row>
    <row r="45" spans="1:23" ht="36" x14ac:dyDescent="0.25">
      <c r="A45" s="152" t="s">
        <v>882</v>
      </c>
      <c r="B45" s="153"/>
      <c r="C45" s="154">
        <f>1</f>
        <v>1</v>
      </c>
      <c r="D45" s="155" t="s">
        <v>881</v>
      </c>
      <c r="G45" s="99"/>
      <c r="H45" s="99"/>
      <c r="I45" s="99"/>
      <c r="J45" s="99"/>
      <c r="K45" s="99"/>
      <c r="L45" s="99"/>
      <c r="M45" s="99"/>
      <c r="N45" s="99"/>
      <c r="O45" s="99"/>
      <c r="P45" s="99"/>
    </row>
    <row r="46" spans="1:23" ht="25.5" x14ac:dyDescent="0.25">
      <c r="A46" s="156" t="s">
        <v>1607</v>
      </c>
      <c r="B46" s="134" t="s">
        <v>883</v>
      </c>
      <c r="C46" s="139">
        <f>$C$43*0.00272/$C$44</f>
        <v>2.3314285714285718E-2</v>
      </c>
      <c r="D46" s="151"/>
      <c r="E46" s="99"/>
      <c r="F46" s="99"/>
      <c r="G46" s="157" t="e">
        <f t="shared" ref="G46:P46" si="0">0.00272*G40*10/$C$44</f>
        <v>#N/A</v>
      </c>
      <c r="H46" s="157" t="e">
        <f t="shared" si="0"/>
        <v>#N/A</v>
      </c>
      <c r="I46" s="157" t="e">
        <f t="shared" si="0"/>
        <v>#N/A</v>
      </c>
      <c r="J46" s="157" t="e">
        <f t="shared" si="0"/>
        <v>#N/A</v>
      </c>
      <c r="K46" s="157" t="e">
        <f t="shared" si="0"/>
        <v>#N/A</v>
      </c>
      <c r="L46" s="157" t="e">
        <f t="shared" si="0"/>
        <v>#N/A</v>
      </c>
      <c r="M46" s="157" t="e">
        <f t="shared" si="0"/>
        <v>#N/A</v>
      </c>
      <c r="N46" s="157" t="e">
        <f t="shared" si="0"/>
        <v>#N/A</v>
      </c>
      <c r="O46" s="157" t="e">
        <f t="shared" si="0"/>
        <v>#N/A</v>
      </c>
      <c r="P46" s="157" t="e">
        <f t="shared" si="0"/>
        <v>#N/A</v>
      </c>
    </row>
    <row r="47" spans="1:23" x14ac:dyDescent="0.25">
      <c r="A47" s="158" t="s">
        <v>1388</v>
      </c>
      <c r="B47" s="134" t="s">
        <v>842</v>
      </c>
      <c r="C47" s="157" t="e">
        <f>0.00272*C41*10/$C$44</f>
        <v>#N/A</v>
      </c>
      <c r="D47" s="159"/>
      <c r="E47" s="157" t="e">
        <f>0.00272*E41*10/$C$44</f>
        <v>#N/A</v>
      </c>
      <c r="F47" s="157" t="e">
        <f>0.00272*F41*10/$C$44</f>
        <v>#N/A</v>
      </c>
      <c r="G47" s="157" t="e">
        <f t="shared" ref="G47:P47" si="1">0.00272*G41*10/$C$44</f>
        <v>#N/A</v>
      </c>
      <c r="H47" s="157" t="e">
        <f t="shared" si="1"/>
        <v>#N/A</v>
      </c>
      <c r="I47" s="157" t="e">
        <f t="shared" si="1"/>
        <v>#N/A</v>
      </c>
      <c r="J47" s="157" t="e">
        <f t="shared" si="1"/>
        <v>#N/A</v>
      </c>
      <c r="K47" s="157" t="e">
        <f t="shared" si="1"/>
        <v>#N/A</v>
      </c>
      <c r="L47" s="157" t="e">
        <f t="shared" si="1"/>
        <v>#N/A</v>
      </c>
      <c r="M47" s="157" t="e">
        <f t="shared" si="1"/>
        <v>#N/A</v>
      </c>
      <c r="N47" s="157" t="e">
        <f t="shared" si="1"/>
        <v>#N/A</v>
      </c>
      <c r="O47" s="157" t="e">
        <f t="shared" si="1"/>
        <v>#N/A</v>
      </c>
      <c r="P47" s="157" t="e">
        <f t="shared" si="1"/>
        <v>#N/A</v>
      </c>
    </row>
    <row r="48" spans="1:23" ht="25.5" x14ac:dyDescent="0.25">
      <c r="A48" s="156" t="s">
        <v>1608</v>
      </c>
      <c r="B48" s="134"/>
      <c r="C48" s="157" t="e">
        <f>0.00272*C42*10/$C$44</f>
        <v>#N/A</v>
      </c>
      <c r="D48" s="159"/>
      <c r="E48" s="157" t="e">
        <f>0.00272*E42*10/$C$44</f>
        <v>#N/A</v>
      </c>
      <c r="F48" s="157" t="e">
        <f>0.00272*F42*10/$C$44</f>
        <v>#N/A</v>
      </c>
      <c r="G48" s="160" t="e">
        <f>$C$35*$C$43*0.00272/$C$44*(24*'Расчет после реализации'!I146)</f>
        <v>#N/A</v>
      </c>
      <c r="H48" s="160" t="e">
        <f>$C$35*$C$43*0.00272/$C$44*(24*'Расчет после реализации'!J146)</f>
        <v>#N/A</v>
      </c>
      <c r="I48" s="160" t="e">
        <f>$C$35*$C$43*0.00272/$C$44*(24*'Расчет после реализации'!K146)</f>
        <v>#N/A</v>
      </c>
      <c r="J48" s="160" t="e">
        <f>$C$35*$C$43*0.00272/$C$44*(24*'Расчет после реализации'!L146)</f>
        <v>#N/A</v>
      </c>
      <c r="K48" s="160" t="e">
        <f>$C$35*$C$43*0.00272/$C$44*(24*'Расчет после реализации'!M146)</f>
        <v>#N/A</v>
      </c>
      <c r="L48" s="160" t="e">
        <f>$C$35*$C$43*0.00272/$C$44*(24*'Расчет после реализации'!N146)</f>
        <v>#N/A</v>
      </c>
      <c r="M48" s="160" t="e">
        <f>$C$35*$C$43*0.00272/$C$44*(24*'Расчет после реализации'!O146)</f>
        <v>#N/A</v>
      </c>
      <c r="N48" s="160" t="e">
        <f>$C$35*$C$43*0.00272/$C$44*(24*'Расчет после реализации'!P146)</f>
        <v>#N/A</v>
      </c>
      <c r="O48" s="160" t="e">
        <f>$C$35*$C$43*0.00272/$C$44*(24*'Расчет после реализации'!Q146)</f>
        <v>#N/A</v>
      </c>
      <c r="P48" s="160" t="e">
        <f>$C$35*$C$43*0.00272/$C$44*(24*'Расчет после реализации'!R146)</f>
        <v>#N/A</v>
      </c>
      <c r="Q48" s="99"/>
    </row>
    <row r="49" spans="1:17" x14ac:dyDescent="0.25">
      <c r="A49" s="158" t="s">
        <v>1388</v>
      </c>
      <c r="B49" s="134" t="s">
        <v>842</v>
      </c>
      <c r="C49" s="160" t="e">
        <f>C35*6*0.00272/$C$44*(24*'Ввод исходных данных'!D246)</f>
        <v>#N/A</v>
      </c>
      <c r="D49" s="161"/>
      <c r="E49" s="160" t="e">
        <f>$C$35*$C$43*0.00272/$C$44*(24*'Расчет после реализации'!G146)</f>
        <v>#N/A</v>
      </c>
      <c r="F49" s="160" t="e">
        <f>$C$35*$C$43*0.00272/$C$44*(24*'Расчет после реализации'!H146)</f>
        <v>#N/A</v>
      </c>
      <c r="G49" s="162" t="e">
        <f>$D$35*$C$43*0.00272/$C$44*(24*'Расчет после реализации'!I146)</f>
        <v>#N/A</v>
      </c>
      <c r="H49" s="162" t="e">
        <f>$D$35*$C$43*0.00272/$C$44*(24*'Расчет после реализации'!J146)</f>
        <v>#N/A</v>
      </c>
      <c r="I49" s="162" t="e">
        <f>$D$35*$C$43*0.00272/$C$44*(24*'Расчет после реализации'!K146)</f>
        <v>#N/A</v>
      </c>
      <c r="J49" s="162" t="e">
        <f>$D$35*$C$43*0.00272/$C$44*(24*'Расчет после реализации'!L146)</f>
        <v>#N/A</v>
      </c>
      <c r="K49" s="162" t="e">
        <f>$D$35*$C$43*0.00272/$C$44*(24*'Расчет после реализации'!M146)</f>
        <v>#N/A</v>
      </c>
      <c r="L49" s="162" t="e">
        <f>$D$35*$C$43*0.00272/$C$44*(24*'Расчет после реализации'!N146)</f>
        <v>#N/A</v>
      </c>
      <c r="M49" s="162" t="e">
        <f>$D$35*$C$43*0.00272/$C$44*(24*'Расчет после реализации'!O146)</f>
        <v>#N/A</v>
      </c>
      <c r="N49" s="162" t="e">
        <f>$D$35*$C$43*0.00272/$C$44*(24*'Расчет после реализации'!P146)</f>
        <v>#N/A</v>
      </c>
      <c r="O49" s="162" t="e">
        <f>$D$35*$C$43*0.00272/$C$44*(24*'Расчет после реализации'!Q146)</f>
        <v>#N/A</v>
      </c>
      <c r="P49" s="162" t="e">
        <f>$D$35*$C$43*0.00272/$C$44*(24*'Расчет после реализации'!R146)</f>
        <v>#N/A</v>
      </c>
      <c r="Q49" s="99"/>
    </row>
    <row r="50" spans="1:17" x14ac:dyDescent="0.25">
      <c r="A50" s="158" t="s">
        <v>1609</v>
      </c>
      <c r="B50" s="163"/>
      <c r="C50" s="164" t="e">
        <f>D35*$C$43*0.00272/$C$44*(24*'Ввод исходных данных'!D246)</f>
        <v>#N/A</v>
      </c>
      <c r="D50" s="165"/>
      <c r="E50" s="162" t="e">
        <f>$D$35*$C$43*0.00272/$C$44*(24*'Расчет после реализации'!G146)</f>
        <v>#N/A</v>
      </c>
      <c r="F50" s="162" t="e">
        <f>$D$35*$C$43*0.00272/$C$44*(24*'Расчет после реализации'!H146)</f>
        <v>#N/A</v>
      </c>
      <c r="G50" s="166" t="e">
        <f>IF('Список мероприятий'!$D$33=списки!$N$46,'Система электроснабжения'!G49,'Система электроснабжения'!G47)*IF('Список мероприятий'!AF44=1,0.9,1)*IF('Список мероприятий'!$AB$52=1,0.9572,1)</f>
        <v>#N/A</v>
      </c>
      <c r="H50" s="166" t="e">
        <f>IF('Список мероприятий'!$D$33=списки!$N$46,'Система электроснабжения'!H49,'Система электроснабжения'!H47)*IF('Список мероприятий'!AG44=1,0.9,1)*IF('Список мероприятий'!$AB$52=1,0.9572,1)</f>
        <v>#N/A</v>
      </c>
      <c r="I50" s="166" t="e">
        <f>IF('Список мероприятий'!$D$33=списки!$N$46,'Система электроснабжения'!I49,'Система электроснабжения'!I47)*IF('Список мероприятий'!AH44=1,0.9,1)*IF('Список мероприятий'!$AB$52=1,0.9572,1)</f>
        <v>#N/A</v>
      </c>
      <c r="J50" s="166" t="e">
        <f>IF('Список мероприятий'!$D$33=списки!$N$46,'Система электроснабжения'!J49,'Система электроснабжения'!J47)*IF('Список мероприятий'!AI44=1,0.9,1)*IF('Список мероприятий'!$AB$52=1,0.9572,1)</f>
        <v>#N/A</v>
      </c>
      <c r="K50" s="166" t="e">
        <f>IF('Список мероприятий'!$D$33=списки!$N$46,'Система электроснабжения'!K49,'Система электроснабжения'!K47)*IF('Список мероприятий'!AJ44=1,0.9,1)*IF('Список мероприятий'!$AB$52=1,0.9572,1)</f>
        <v>#N/A</v>
      </c>
      <c r="L50" s="166" t="e">
        <f>IF('Список мероприятий'!$D$33=списки!$N$46,'Система электроснабжения'!L49,'Система электроснабжения'!L47)*IF('Список мероприятий'!AK44=1,0.9,1)*IF('Список мероприятий'!$AB$52=1,0.9572,1)</f>
        <v>#N/A</v>
      </c>
      <c r="M50" s="166" t="e">
        <f>IF('Список мероприятий'!$D$33=списки!$N$46,'Система электроснабжения'!M49,'Система электроснабжения'!M47)*IF('Список мероприятий'!AL44=1,0.9,1)*IF('Список мероприятий'!$AB$52=1,0.9572,1)</f>
        <v>#N/A</v>
      </c>
      <c r="N50" s="166" t="e">
        <f>IF('Список мероприятий'!$D$33=списки!$N$46,'Система электроснабжения'!N49,'Система электроснабжения'!N47)*IF('Список мероприятий'!AM44=1,0.9,1)*IF('Список мероприятий'!$AB$52=1,0.9572,1)</f>
        <v>#N/A</v>
      </c>
      <c r="O50" s="166" t="e">
        <f>IF('Список мероприятий'!$D$33=списки!$N$46,'Система электроснабжения'!O49,'Система электроснабжения'!O47)*IF('Список мероприятий'!AN44=1,0.9,1)*IF('Список мероприятий'!$AB$52=1,0.9572,1)</f>
        <v>#N/A</v>
      </c>
      <c r="P50" s="166" t="e">
        <f>IF('Список мероприятий'!$D$33=списки!$N$46,'Система электроснабжения'!P49,'Система электроснабжения'!P47)*IF('Список мероприятий'!AO44=1,0.9,1)*IF('Список мероприятий'!$AB$52=1,0.9572,1)</f>
        <v>#N/A</v>
      </c>
      <c r="Q50" s="99"/>
    </row>
    <row r="51" spans="1:17" ht="15" customHeight="1" x14ac:dyDescent="0.25">
      <c r="A51" s="126" t="s">
        <v>884</v>
      </c>
      <c r="B51" s="163"/>
      <c r="C51" s="166" t="e">
        <f>IF('Список мероприятий'!$D$33=списки!$N$46,'Система электроснабжения'!C50,'Система электроснабжения'!C48)*IF('Список мероприятий'!AB44=1,0.9,1)*IF('Список мероприятий'!$AB$52=1,0.9572,1)</f>
        <v>#N/A</v>
      </c>
      <c r="D51" s="165"/>
      <c r="E51" s="166" t="e">
        <f>IF('Список мероприятий'!$D$33=списки!$N$46,'Система электроснабжения'!E50,'Система электроснабжения'!E48)*IF('Список мероприятий'!AD44=1,0.9,1)*IF('Список мероприятий'!$AB$52=1,0.9572,1)</f>
        <v>#N/A</v>
      </c>
      <c r="F51" s="166" t="e">
        <f>IF('Список мероприятий'!$D$33=списки!$N$46,'Система электроснабжения'!F50,'Система электроснабжения'!F48)*IF('Список мероприятий'!AE44=1,0.9,1)*IF('Список мероприятий'!$AB$52=1,0.9572,1)</f>
        <v>#N/A</v>
      </c>
      <c r="K51" s="94"/>
    </row>
    <row r="52" spans="1:17" ht="34.5" customHeight="1" x14ac:dyDescent="0.25">
      <c r="A52" s="152" t="s">
        <v>1450</v>
      </c>
      <c r="B52" s="131"/>
      <c r="C52" s="131"/>
      <c r="D52" s="132"/>
      <c r="G52" s="167" t="e">
        <f>G55*'Система электроснабжения'!$C$55</f>
        <v>#N/A</v>
      </c>
      <c r="H52" s="167" t="e">
        <f>H55*'Система электроснабжения'!$C$55</f>
        <v>#N/A</v>
      </c>
      <c r="I52" s="167" t="e">
        <f>I55*'Система электроснабжения'!$C$55</f>
        <v>#N/A</v>
      </c>
      <c r="J52" s="167" t="e">
        <f>J55*'Система электроснабжения'!$C$55</f>
        <v>#N/A</v>
      </c>
      <c r="K52" s="167" t="e">
        <f>K55*'Система электроснабжения'!$C$55</f>
        <v>#N/A</v>
      </c>
      <c r="L52" s="167" t="e">
        <f>L55*'Система электроснабжения'!$C$55</f>
        <v>#N/A</v>
      </c>
      <c r="M52" s="167" t="e">
        <f>M55*'Система электроснабжения'!$C$55</f>
        <v>#N/A</v>
      </c>
      <c r="N52" s="167" t="e">
        <f>N55*'Система электроснабжения'!$C$55</f>
        <v>#N/A</v>
      </c>
      <c r="O52" s="167" t="e">
        <f>O55*'Система электроснабжения'!$C$55</f>
        <v>#N/A</v>
      </c>
      <c r="P52" s="167" t="e">
        <f>P55*'Система электроснабжения'!$C$55</f>
        <v>#N/A</v>
      </c>
    </row>
    <row r="53" spans="1:17" s="171" customFormat="1" ht="19.5" customHeight="1" x14ac:dyDescent="0.25">
      <c r="A53" s="168" t="s">
        <v>1348</v>
      </c>
      <c r="B53" s="169" t="s">
        <v>885</v>
      </c>
      <c r="C53" s="167" t="e">
        <f>'Расчет базового уровня'!D171*'Система электроснабжения'!$C$55</f>
        <v>#N/A</v>
      </c>
      <c r="D53" s="95"/>
      <c r="E53" s="167" t="e">
        <f>E56*'Система электроснабжения'!$C$55</f>
        <v>#N/A</v>
      </c>
      <c r="F53" s="167" t="e">
        <f>F56*'Система электроснабжения'!$C$55</f>
        <v>#N/A</v>
      </c>
      <c r="G53" s="170" t="e">
        <f>G56*'Система электроснабжения'!$C$55</f>
        <v>#N/A</v>
      </c>
      <c r="H53" s="170" t="e">
        <f>H56*'Система электроснабжения'!$C$55</f>
        <v>#N/A</v>
      </c>
      <c r="I53" s="170" t="e">
        <f>I56*'Система электроснабжения'!$C$55</f>
        <v>#N/A</v>
      </c>
      <c r="J53" s="170" t="e">
        <f>J56*'Система электроснабжения'!$C$55</f>
        <v>#N/A</v>
      </c>
      <c r="K53" s="170" t="e">
        <f>K56*'Система электроснабжения'!$C$55</f>
        <v>#N/A</v>
      </c>
      <c r="L53" s="170" t="e">
        <f>L56*'Система электроснабжения'!$C$55</f>
        <v>#N/A</v>
      </c>
      <c r="M53" s="170" t="e">
        <f>M56*'Система электроснабжения'!$C$55</f>
        <v>#N/A</v>
      </c>
      <c r="N53" s="170" t="e">
        <f>N56*'Система электроснабжения'!$C$55</f>
        <v>#N/A</v>
      </c>
      <c r="O53" s="170" t="e">
        <f>O56*'Система электроснабжения'!$C$55</f>
        <v>#N/A</v>
      </c>
      <c r="P53" s="170" t="e">
        <f>P56*'Система электроснабжения'!$C$55</f>
        <v>#N/A</v>
      </c>
    </row>
    <row r="54" spans="1:17" ht="30.75" customHeight="1" x14ac:dyDescent="0.25">
      <c r="A54" s="172" t="s">
        <v>893</v>
      </c>
      <c r="B54" s="173"/>
      <c r="C54" s="174" t="e">
        <f>C57*'Система электроснабжения'!C55</f>
        <v>#DIV/0!</v>
      </c>
      <c r="D54" s="175"/>
      <c r="E54" s="170" t="e">
        <f>E57*'Система электроснабжения'!$C$55</f>
        <v>#N/A</v>
      </c>
      <c r="F54" s="170" t="e">
        <f>F57*'Система электроснабжения'!$C$55</f>
        <v>#N/A</v>
      </c>
      <c r="K54" s="176"/>
      <c r="L54" s="177"/>
      <c r="M54" s="177"/>
      <c r="N54" s="177"/>
      <c r="O54" s="177"/>
      <c r="P54" s="177"/>
    </row>
    <row r="55" spans="1:17" ht="30.75" customHeight="1" x14ac:dyDescent="0.25">
      <c r="A55" s="172"/>
      <c r="B55" s="169"/>
      <c r="C55" s="178" t="e">
        <f>11.96*('Ввод исходных данных'!$D$22^(-0.181))</f>
        <v>#DIV/0!</v>
      </c>
      <c r="D55" s="95"/>
      <c r="E55" s="177"/>
      <c r="F55" s="177"/>
      <c r="G55" s="179" t="e">
        <f>'Расчет базового уровня'!I171</f>
        <v>#N/A</v>
      </c>
      <c r="H55" s="179" t="e">
        <f>'Расчет базового уровня'!J171</f>
        <v>#N/A</v>
      </c>
      <c r="I55" s="179" t="e">
        <f>'Расчет базового уровня'!K171</f>
        <v>#N/A</v>
      </c>
      <c r="J55" s="179" t="e">
        <f>'Расчет базового уровня'!L171</f>
        <v>#N/A</v>
      </c>
      <c r="K55" s="179" t="e">
        <f>'Расчет базового уровня'!M171</f>
        <v>#N/A</v>
      </c>
      <c r="L55" s="179" t="e">
        <f>'Расчет базового уровня'!N171</f>
        <v>#N/A</v>
      </c>
      <c r="M55" s="179" t="e">
        <f>'Расчет базового уровня'!O171</f>
        <v>#N/A</v>
      </c>
      <c r="N55" s="179" t="e">
        <f>'Расчет базового уровня'!P171</f>
        <v>#N/A</v>
      </c>
      <c r="O55" s="179" t="e">
        <f>'Расчет базового уровня'!Q171</f>
        <v>#N/A</v>
      </c>
      <c r="P55" s="179" t="e">
        <f>'Расчет базового уровня'!R171</f>
        <v>#N/A</v>
      </c>
    </row>
    <row r="56" spans="1:17" s="171" customFormat="1" ht="16.5" customHeight="1" x14ac:dyDescent="0.25">
      <c r="A56" s="180" t="s">
        <v>1451</v>
      </c>
      <c r="B56" s="169"/>
      <c r="C56" s="178"/>
      <c r="D56" s="95"/>
      <c r="E56" s="179" t="e">
        <f>'Расчет базового уровня'!G171</f>
        <v>#N/A</v>
      </c>
      <c r="F56" s="179" t="e">
        <f>'Расчет базового уровня'!H171</f>
        <v>#N/A</v>
      </c>
      <c r="G56" s="181" t="e">
        <f>'Расчет после реализации'!I169</f>
        <v>#N/A</v>
      </c>
      <c r="H56" s="181" t="e">
        <f>'Расчет после реализации'!J169</f>
        <v>#N/A</v>
      </c>
      <c r="I56" s="181" t="e">
        <f>'Расчет после реализации'!K169</f>
        <v>#N/A</v>
      </c>
      <c r="J56" s="181" t="e">
        <f>'Расчет после реализации'!L169</f>
        <v>#N/A</v>
      </c>
      <c r="K56" s="181" t="e">
        <f>'Расчет после реализации'!M169</f>
        <v>#N/A</v>
      </c>
      <c r="L56" s="181" t="e">
        <f>'Расчет после реализации'!N169</f>
        <v>#N/A</v>
      </c>
      <c r="M56" s="181" t="e">
        <f>'Расчет после реализации'!O169</f>
        <v>#N/A</v>
      </c>
      <c r="N56" s="181" t="e">
        <f>'Расчет после реализации'!P169</f>
        <v>#N/A</v>
      </c>
      <c r="O56" s="181" t="e">
        <f>'Расчет после реализации'!Q169</f>
        <v>#N/A</v>
      </c>
      <c r="P56" s="181" t="e">
        <f>'Расчет после реализации'!R169</f>
        <v>#N/A</v>
      </c>
    </row>
    <row r="57" spans="1:17" ht="24" customHeight="1" x14ac:dyDescent="0.25">
      <c r="A57" s="148" t="s">
        <v>886</v>
      </c>
      <c r="B57" s="173"/>
      <c r="C57" s="182">
        <f>'Расчет после реализации'!D169</f>
        <v>0</v>
      </c>
      <c r="D57" s="175"/>
      <c r="E57" s="181" t="e">
        <f>'Расчет после реализации'!G169</f>
        <v>#N/A</v>
      </c>
      <c r="F57" s="181" t="e">
        <f>'Расчет после реализации'!H169</f>
        <v>#N/A</v>
      </c>
    </row>
    <row r="58" spans="1:17" ht="36" x14ac:dyDescent="0.25">
      <c r="A58" s="172" t="s">
        <v>888</v>
      </c>
      <c r="B58" s="110"/>
      <c r="C58" s="183">
        <v>0.1</v>
      </c>
      <c r="D58" s="184" t="s">
        <v>887</v>
      </c>
      <c r="G58" s="143" t="e">
        <f t="shared" ref="G58:P58" si="2">G52*(1+$C$58)</f>
        <v>#N/A</v>
      </c>
      <c r="H58" s="143" t="e">
        <f t="shared" si="2"/>
        <v>#N/A</v>
      </c>
      <c r="I58" s="143" t="e">
        <f t="shared" si="2"/>
        <v>#N/A</v>
      </c>
      <c r="J58" s="143" t="e">
        <f t="shared" si="2"/>
        <v>#N/A</v>
      </c>
      <c r="K58" s="143" t="e">
        <f t="shared" si="2"/>
        <v>#N/A</v>
      </c>
      <c r="L58" s="143" t="e">
        <f t="shared" si="2"/>
        <v>#N/A</v>
      </c>
      <c r="M58" s="143" t="e">
        <f t="shared" si="2"/>
        <v>#N/A</v>
      </c>
      <c r="N58" s="143" t="e">
        <f t="shared" si="2"/>
        <v>#N/A</v>
      </c>
      <c r="O58" s="143" t="e">
        <f t="shared" si="2"/>
        <v>#N/A</v>
      </c>
      <c r="P58" s="143" t="e">
        <f t="shared" si="2"/>
        <v>#N/A</v>
      </c>
    </row>
    <row r="59" spans="1:17" s="171" customFormat="1" x14ac:dyDescent="0.25">
      <c r="A59" s="168" t="s">
        <v>1348</v>
      </c>
      <c r="B59" s="169" t="s">
        <v>885</v>
      </c>
      <c r="C59" s="143" t="e">
        <f>C53*(1+C$58)</f>
        <v>#N/A</v>
      </c>
      <c r="D59" s="95"/>
      <c r="E59" s="143" t="e">
        <f>E53*(1+$C$58)</f>
        <v>#N/A</v>
      </c>
      <c r="F59" s="143" t="e">
        <f>F53*(1+$C$58)</f>
        <v>#N/A</v>
      </c>
      <c r="G59" s="144" t="e">
        <f t="shared" ref="G59:P59" si="3">G53*(1+$C$58)</f>
        <v>#N/A</v>
      </c>
      <c r="H59" s="144" t="e">
        <f t="shared" si="3"/>
        <v>#N/A</v>
      </c>
      <c r="I59" s="144" t="e">
        <f t="shared" si="3"/>
        <v>#N/A</v>
      </c>
      <c r="J59" s="144" t="e">
        <f t="shared" si="3"/>
        <v>#N/A</v>
      </c>
      <c r="K59" s="144" t="e">
        <f t="shared" si="3"/>
        <v>#N/A</v>
      </c>
      <c r="L59" s="144" t="e">
        <f t="shared" si="3"/>
        <v>#N/A</v>
      </c>
      <c r="M59" s="144" t="e">
        <f t="shared" si="3"/>
        <v>#N/A</v>
      </c>
      <c r="N59" s="144" t="e">
        <f t="shared" si="3"/>
        <v>#N/A</v>
      </c>
      <c r="O59" s="144" t="e">
        <f t="shared" si="3"/>
        <v>#N/A</v>
      </c>
      <c r="P59" s="144" t="e">
        <f t="shared" si="3"/>
        <v>#N/A</v>
      </c>
    </row>
    <row r="60" spans="1:17" x14ac:dyDescent="0.25">
      <c r="A60" s="145" t="s">
        <v>878</v>
      </c>
      <c r="B60" s="173"/>
      <c r="C60" s="144" t="e">
        <f>C54*(1+C$58)</f>
        <v>#DIV/0!</v>
      </c>
      <c r="D60" s="175"/>
      <c r="E60" s="144" t="e">
        <f>E54*(1+$C$58)</f>
        <v>#N/A</v>
      </c>
      <c r="F60" s="144" t="e">
        <f>F54*(1+$C$58)</f>
        <v>#N/A</v>
      </c>
      <c r="K60" s="94"/>
    </row>
    <row r="61" spans="1:17" ht="48" x14ac:dyDescent="0.25">
      <c r="A61" s="148" t="s">
        <v>889</v>
      </c>
      <c r="B61" s="134" t="s">
        <v>922</v>
      </c>
      <c r="C61" s="135">
        <f>10</f>
        <v>10</v>
      </c>
      <c r="D61" s="136" t="s">
        <v>924</v>
      </c>
      <c r="G61" s="94">
        <f>'Расчет базового уровня'!I170*24</f>
        <v>744</v>
      </c>
      <c r="H61" s="94">
        <f>'Расчет базового уровня'!J170*24</f>
        <v>720</v>
      </c>
      <c r="I61" s="94">
        <f>'Расчет базового уровня'!K170*24</f>
        <v>744</v>
      </c>
      <c r="J61" s="94">
        <f>'Расчет базового уровня'!L170*24</f>
        <v>720</v>
      </c>
      <c r="K61" s="94">
        <f>'Расчет базового уровня'!M170*24</f>
        <v>408</v>
      </c>
      <c r="L61" s="94">
        <f>'Расчет базового уровня'!N170*24</f>
        <v>744</v>
      </c>
      <c r="M61" s="94">
        <f>'Расчет базового уровня'!O170*24</f>
        <v>720</v>
      </c>
      <c r="N61" s="94">
        <f>'Расчет базового уровня'!P170*24</f>
        <v>744</v>
      </c>
      <c r="O61" s="94">
        <f>'Расчет базового уровня'!Q170*24</f>
        <v>720</v>
      </c>
      <c r="P61" s="94">
        <f>'Расчет базового уровня'!R170*24</f>
        <v>744</v>
      </c>
    </row>
    <row r="62" spans="1:17" ht="36" x14ac:dyDescent="0.25">
      <c r="A62" s="148" t="s">
        <v>879</v>
      </c>
      <c r="B62" s="134" t="s">
        <v>564</v>
      </c>
      <c r="C62" s="135">
        <f>(365 -'Ввод исходных данных'!D110)*24</f>
        <v>8424</v>
      </c>
      <c r="D62" s="136" t="s">
        <v>890</v>
      </c>
      <c r="E62" s="94">
        <f>'Расчет базового уровня'!G170*24</f>
        <v>744</v>
      </c>
      <c r="F62" s="94">
        <f>'Расчет базового уровня'!H170*24</f>
        <v>672</v>
      </c>
      <c r="K62" s="94"/>
    </row>
    <row r="63" spans="1:17" ht="48" x14ac:dyDescent="0.25">
      <c r="A63" s="148" t="s">
        <v>597</v>
      </c>
      <c r="B63" s="110"/>
      <c r="C63" s="150">
        <v>0.7</v>
      </c>
      <c r="D63" s="151" t="s">
        <v>880</v>
      </c>
      <c r="K63" s="94"/>
    </row>
    <row r="64" spans="1:17" ht="27.95" customHeight="1" x14ac:dyDescent="0.25">
      <c r="A64" s="156" t="s">
        <v>891</v>
      </c>
      <c r="B64" s="110"/>
      <c r="C64" s="150">
        <f>1</f>
        <v>1</v>
      </c>
      <c r="D64" s="151" t="s">
        <v>881</v>
      </c>
      <c r="G64" s="185" t="e">
        <f>0.00272*G58*$C$61*G61/($C$63*$C$64)</f>
        <v>#N/A</v>
      </c>
      <c r="H64" s="185" t="e">
        <f>0.00272*H58*$C$61*H61/($C$63*$C$64)</f>
        <v>#N/A</v>
      </c>
      <c r="I64" s="185" t="e">
        <f>0.00272*I58*$C$61*I61/($C$63*$C$64)</f>
        <v>#N/A</v>
      </c>
      <c r="J64" s="185" t="e">
        <f>0.00272*J58*$C$61*J61/($C$63*$C$64)</f>
        <v>#N/A</v>
      </c>
      <c r="K64" s="185" t="e">
        <f>0.00272*K58*$C$61*K61/($C$63*$C$64)</f>
        <v>#N/A</v>
      </c>
      <c r="L64" s="185" t="e">
        <f t="shared" ref="L64:P64" si="4">0.00272*L58*$C$61*L61/($C$63*$C$64)</f>
        <v>#N/A</v>
      </c>
      <c r="M64" s="185" t="e">
        <f t="shared" si="4"/>
        <v>#N/A</v>
      </c>
      <c r="N64" s="185" t="e">
        <f t="shared" si="4"/>
        <v>#N/A</v>
      </c>
      <c r="O64" s="185" t="e">
        <f t="shared" si="4"/>
        <v>#N/A</v>
      </c>
      <c r="P64" s="185" t="e">
        <f t="shared" si="4"/>
        <v>#N/A</v>
      </c>
    </row>
    <row r="65" spans="1:16" s="171" customFormat="1" ht="27.95" customHeight="1" x14ac:dyDescent="0.25">
      <c r="A65" s="186" t="s">
        <v>1349</v>
      </c>
      <c r="B65" s="134" t="s">
        <v>842</v>
      </c>
      <c r="C65" s="185" t="e">
        <f>0.00272*C59*C61*C62/(C63*C64)</f>
        <v>#N/A</v>
      </c>
      <c r="D65" s="95"/>
      <c r="E65" s="185" t="e">
        <f>0.00272*E59*$C$61*E62/($C$63*$C$64)</f>
        <v>#N/A</v>
      </c>
      <c r="F65" s="185" t="e">
        <f>0.00272*F59*$C$61*F62/($C$63*$C$64)</f>
        <v>#N/A</v>
      </c>
      <c r="G65" s="187" t="e">
        <f>0.00272*G59*$C$61*G61/(C63*C64)*IF('Список мероприятий'!AB44=1,0.9,1)*IF('Список мероприятий'!AB52=1,0.9572,1)</f>
        <v>#N/A</v>
      </c>
      <c r="H65" s="187" t="e">
        <f>0.00272*H59*$C$61*H61/(C63*C64)*IF('Список мероприятий'!AB44=1,0.9,1)*IF('Список мероприятий'!AB52=1,0.9572,1)</f>
        <v>#N/A</v>
      </c>
      <c r="I65" s="187" t="e">
        <f>0.00272*I59*$C$61*I61/(C63*C64)*IF('Список мероприятий'!AB44=1,0.9,1)*IF('Список мероприятий'!AB52=1,0.9572,1)</f>
        <v>#N/A</v>
      </c>
      <c r="J65" s="187" t="e">
        <f>0.00272*J59*$C$61*J61/(C63*C64)*IF('Список мероприятий'!AB44=1,0.9,1)*IF('Список мероприятий'!AB52=1,0.9572,1)</f>
        <v>#N/A</v>
      </c>
      <c r="K65" s="187" t="e">
        <f>0.00272*K59*$C$61*K61/(C63*C64)*IF('Список мероприятий'!AB44=1,0.9,1)*IF('Список мероприятий'!AB52=1,0.9572,1)</f>
        <v>#N/A</v>
      </c>
      <c r="L65" s="187" t="e">
        <f>0.00272*L59*$C$61*L61/(C63*C64)*IF('Список мероприятий'!AB44=1,0.9,1)*IF('Список мероприятий'!AB52=1,0.9572,1)</f>
        <v>#N/A</v>
      </c>
      <c r="M65" s="187" t="e">
        <f>0.00272*M59*$C$61*M61/(C63*C64)*IF('Список мероприятий'!AB44=1,0.9,1)*IF('Список мероприятий'!AB52=1,0.9572,1)</f>
        <v>#N/A</v>
      </c>
      <c r="N65" s="187" t="e">
        <f>0.00272*N59*$C$61*N61/(C63*C64)*IF('Список мероприятий'!AB44=1,0.9,1)*IF('Список мероприятий'!AB52=1,0.9572,1)</f>
        <v>#N/A</v>
      </c>
      <c r="O65" s="187" t="e">
        <f>0.00272*O59*$C$61*O61/(C63*C64)*IF('Список мероприятий'!AB44=1,0.9,1)*IF('Список мероприятий'!AB52=1,0.9572,1)</f>
        <v>#N/A</v>
      </c>
      <c r="P65" s="187" t="e">
        <f>0.00272*P59*$C$61*P61/(C63*C64)*IF('Список мероприятий'!AB44=1,0.9,1)*IF('Список мероприятий'!AB52=1,0.9572,1)</f>
        <v>#N/A</v>
      </c>
    </row>
    <row r="66" spans="1:16" ht="27.95" customHeight="1" x14ac:dyDescent="0.25">
      <c r="A66" s="100" t="s">
        <v>974</v>
      </c>
      <c r="B66" s="188"/>
      <c r="C66" s="189" t="e">
        <f>0.00272*C60*C61*C62/(C63*C64)*IF('Список мероприятий'!AB44=1,0.9,1)*IF('Список мероприятий'!AB52=1,0.9572,1)</f>
        <v>#DIV/0!</v>
      </c>
      <c r="D66" s="190"/>
      <c r="E66" s="187" t="e">
        <f>0.00272*E60*$C$61*E62/(C63*C64)*IF('Список мероприятий'!AB44=1,0.9,1)*IF('Список мероприятий'!AB52=1,0.9572,1)</f>
        <v>#N/A</v>
      </c>
      <c r="F66" s="187" t="e">
        <f>0.00272*F60*$C$61*F62/(C63*C64)*IF('Список мероприятий'!AB44=1,0.9,1)*IF('Список мероприятий'!AB52=1,0.9572,1)</f>
        <v>#N/A</v>
      </c>
      <c r="G66" s="100"/>
    </row>
    <row r="67" spans="1:16" x14ac:dyDescent="0.25">
      <c r="A67" s="90" t="s">
        <v>892</v>
      </c>
      <c r="B67" s="100"/>
      <c r="C67" s="100"/>
      <c r="D67" s="100"/>
      <c r="E67" s="100"/>
      <c r="F67" s="100"/>
    </row>
    <row r="68" spans="1:16" x14ac:dyDescent="0.25">
      <c r="A68" s="1878" t="s">
        <v>834</v>
      </c>
      <c r="B68" s="91"/>
      <c r="C68" s="92"/>
      <c r="D68" s="93"/>
      <c r="E68" s="94"/>
      <c r="G68" s="129"/>
    </row>
    <row r="69" spans="1:16" x14ac:dyDescent="0.25">
      <c r="A69" s="1878"/>
      <c r="B69" s="1878" t="s">
        <v>835</v>
      </c>
      <c r="C69" s="129" t="s">
        <v>754</v>
      </c>
      <c r="D69" s="129"/>
      <c r="E69" s="129"/>
      <c r="F69" s="129"/>
      <c r="G69" s="191" t="s">
        <v>840</v>
      </c>
    </row>
    <row r="70" spans="1:16" ht="51" x14ac:dyDescent="0.25">
      <c r="A70" s="192" t="s">
        <v>841</v>
      </c>
      <c r="B70" s="1878"/>
      <c r="C70" s="193" t="s">
        <v>836</v>
      </c>
      <c r="D70" s="194" t="s">
        <v>837</v>
      </c>
      <c r="E70" s="194" t="s">
        <v>838</v>
      </c>
      <c r="F70" s="194" t="s">
        <v>839</v>
      </c>
      <c r="G70" s="82">
        <f>10.9</f>
        <v>10.9</v>
      </c>
    </row>
    <row r="71" spans="1:16" ht="15" customHeight="1" x14ac:dyDescent="0.25">
      <c r="A71" s="195" t="s">
        <v>843</v>
      </c>
      <c r="B71" s="196" t="s">
        <v>842</v>
      </c>
      <c r="C71" s="197">
        <f>8</f>
        <v>8</v>
      </c>
      <c r="D71" s="183">
        <f>8.5</f>
        <v>8.5</v>
      </c>
      <c r="E71" s="82">
        <f>9.3</f>
        <v>9.3000000000000007</v>
      </c>
      <c r="F71" s="82">
        <f>10</f>
        <v>10</v>
      </c>
      <c r="G71" s="195"/>
    </row>
    <row r="72" spans="1:16" x14ac:dyDescent="0.25">
      <c r="A72" s="90"/>
      <c r="B72" s="195"/>
      <c r="C72" s="195"/>
      <c r="D72" s="195"/>
      <c r="E72" s="195"/>
      <c r="F72" s="195"/>
    </row>
    <row r="73" spans="1:16" x14ac:dyDescent="0.25">
      <c r="B73" s="91"/>
      <c r="C73" s="92"/>
      <c r="D73" s="93"/>
      <c r="E73" s="94"/>
    </row>
    <row r="75" spans="1:16" ht="15.75" thickBot="1" x14ac:dyDescent="0.3">
      <c r="D75" s="75">
        <f>(1/0.77^2-1/0.96^2)/(1/0.77^2)*0.12</f>
        <v>4.2799479166666668E-2</v>
      </c>
    </row>
    <row r="76" spans="1:16" ht="108.75" customHeight="1" thickBot="1" x14ac:dyDescent="0.3">
      <c r="A76" s="198" t="s">
        <v>565</v>
      </c>
      <c r="D76" s="75">
        <f>1-D75</f>
        <v>0.95720052083333329</v>
      </c>
    </row>
    <row r="77" spans="1:16" ht="82.5" thickBot="1" x14ac:dyDescent="0.3">
      <c r="A77" s="199" t="s">
        <v>568</v>
      </c>
      <c r="B77" s="198" t="s">
        <v>566</v>
      </c>
      <c r="C77" s="200" t="s">
        <v>567</v>
      </c>
    </row>
    <row r="78" spans="1:16" ht="16.5" thickBot="1" x14ac:dyDescent="0.3">
      <c r="A78" s="199" t="s">
        <v>569</v>
      </c>
      <c r="B78" s="201">
        <v>50</v>
      </c>
      <c r="C78" s="202">
        <v>6</v>
      </c>
    </row>
    <row r="79" spans="1:16" ht="16.5" thickBot="1" x14ac:dyDescent="0.3">
      <c r="A79" s="199" t="s">
        <v>570</v>
      </c>
      <c r="B79" s="201">
        <v>20</v>
      </c>
      <c r="C79" s="202">
        <v>4</v>
      </c>
    </row>
    <row r="80" spans="1:16" ht="16.5" thickBot="1" x14ac:dyDescent="0.3">
      <c r="B80" s="201">
        <v>20</v>
      </c>
      <c r="C80" s="202">
        <v>4</v>
      </c>
    </row>
    <row r="82" spans="1:5" ht="15.75" x14ac:dyDescent="0.25">
      <c r="A82" s="203" t="s">
        <v>571</v>
      </c>
    </row>
    <row r="83" spans="1:5" ht="31.5" x14ac:dyDescent="0.25">
      <c r="A83" s="204" t="s">
        <v>575</v>
      </c>
      <c r="B83" s="203" t="s">
        <v>572</v>
      </c>
      <c r="C83" s="203" t="s">
        <v>573</v>
      </c>
      <c r="D83" s="203" t="s">
        <v>574</v>
      </c>
    </row>
    <row r="84" spans="1:5" ht="15.75" x14ac:dyDescent="0.25">
      <c r="A84" s="204" t="s">
        <v>576</v>
      </c>
      <c r="B84" s="203"/>
      <c r="C84" s="203"/>
    </row>
    <row r="85" spans="1:5" ht="31.5" x14ac:dyDescent="0.25">
      <c r="A85" s="205"/>
      <c r="B85" s="204" t="s">
        <v>577</v>
      </c>
      <c r="C85" s="203" t="s">
        <v>579</v>
      </c>
      <c r="D85" s="75">
        <v>2920</v>
      </c>
      <c r="E85" s="75">
        <v>120</v>
      </c>
    </row>
    <row r="86" spans="1:5" ht="63" x14ac:dyDescent="0.25">
      <c r="A86" s="205"/>
      <c r="B86" s="204" t="s">
        <v>578</v>
      </c>
      <c r="C86" s="203" t="s">
        <v>579</v>
      </c>
      <c r="D86" s="75">
        <v>4380</v>
      </c>
      <c r="E86" s="75">
        <v>360</v>
      </c>
    </row>
    <row r="87" spans="1:5" ht="15.75" x14ac:dyDescent="0.25">
      <c r="A87" s="1872" t="s">
        <v>580</v>
      </c>
      <c r="B87" s="205"/>
      <c r="C87" s="203" t="s">
        <v>579</v>
      </c>
      <c r="D87" s="75">
        <v>2920</v>
      </c>
      <c r="E87" s="75">
        <v>120</v>
      </c>
    </row>
    <row r="88" spans="1:5" ht="47.25" x14ac:dyDescent="0.25">
      <c r="A88" s="1873"/>
      <c r="B88" s="204" t="s">
        <v>581</v>
      </c>
      <c r="C88" s="203" t="s">
        <v>579</v>
      </c>
      <c r="D88" s="75">
        <v>8760</v>
      </c>
      <c r="E88" s="75">
        <v>240</v>
      </c>
    </row>
    <row r="89" spans="1:5" ht="15.75" x14ac:dyDescent="0.25">
      <c r="A89" s="1873"/>
      <c r="B89" s="204" t="s">
        <v>582</v>
      </c>
      <c r="C89" s="203"/>
    </row>
    <row r="90" spans="1:5" ht="31.5" x14ac:dyDescent="0.25">
      <c r="A90" s="1873"/>
      <c r="B90" s="204" t="s">
        <v>583</v>
      </c>
      <c r="C90" s="203" t="s">
        <v>579</v>
      </c>
      <c r="D90" s="75">
        <v>300</v>
      </c>
    </row>
    <row r="91" spans="1:5" ht="47.25" x14ac:dyDescent="0.25">
      <c r="A91" s="1874"/>
      <c r="B91" s="206" t="s">
        <v>584</v>
      </c>
      <c r="C91" s="203" t="s">
        <v>579</v>
      </c>
      <c r="D91" s="75">
        <v>100</v>
      </c>
    </row>
    <row r="92" spans="1:5" ht="15.75" x14ac:dyDescent="0.25">
      <c r="A92" s="204" t="s">
        <v>585</v>
      </c>
      <c r="B92" s="205"/>
      <c r="C92" s="203" t="s">
        <v>579</v>
      </c>
      <c r="D92" s="75">
        <v>40</v>
      </c>
    </row>
    <row r="93" spans="1:5" ht="15.75" x14ac:dyDescent="0.25">
      <c r="B93" s="203" t="s">
        <v>586</v>
      </c>
      <c r="C93" s="203" t="s">
        <v>586</v>
      </c>
      <c r="D93" s="75">
        <v>2200</v>
      </c>
      <c r="E93" s="75">
        <v>1460</v>
      </c>
    </row>
    <row r="94" spans="1:5" ht="19.5" thickBot="1" x14ac:dyDescent="0.3">
      <c r="A94" s="207" t="s">
        <v>587</v>
      </c>
    </row>
    <row r="95" spans="1:5" ht="16.5" thickBot="1" x14ac:dyDescent="0.3">
      <c r="A95" s="200" t="s">
        <v>588</v>
      </c>
    </row>
    <row r="96" spans="1:5" ht="19.5" thickBot="1" x14ac:dyDescent="0.3">
      <c r="A96" s="208" t="s">
        <v>590</v>
      </c>
      <c r="B96" s="209" t="s">
        <v>589</v>
      </c>
    </row>
    <row r="97" spans="1:2" ht="16.5" thickBot="1" x14ac:dyDescent="0.3">
      <c r="A97" s="208" t="s">
        <v>591</v>
      </c>
      <c r="B97" s="210">
        <v>1</v>
      </c>
    </row>
    <row r="98" spans="1:2" ht="16.5" thickBot="1" x14ac:dyDescent="0.3">
      <c r="A98" s="208" t="s">
        <v>593</v>
      </c>
      <c r="B98" s="210" t="s">
        <v>592</v>
      </c>
    </row>
    <row r="99" spans="1:2" ht="16.5" thickBot="1" x14ac:dyDescent="0.3">
      <c r="A99" s="208" t="s">
        <v>595</v>
      </c>
      <c r="B99" s="210" t="s">
        <v>594</v>
      </c>
    </row>
    <row r="100" spans="1:2" ht="16.5" thickBot="1" x14ac:dyDescent="0.3">
      <c r="B100" s="210" t="s">
        <v>596</v>
      </c>
    </row>
  </sheetData>
  <sheetProtection algorithmName="SHA-512" hashValue="nS37nPh4dOLJfqHd2+Unho9/mK8NKcfCy3ciJNZ20nZ+jRWh9FgfrIbCvOeswZXPSMYBzweZoV7R8z2Vv6RrPg==" saltValue="gSuDrf+3L5GoYgLJVxFNxA==" spinCount="100000" sheet="1" objects="1" scenarios="1"/>
  <mergeCells count="6">
    <mergeCell ref="A1:W1"/>
    <mergeCell ref="A87:A91"/>
    <mergeCell ref="E28:E31"/>
    <mergeCell ref="C29:C31"/>
    <mergeCell ref="A68:A69"/>
    <mergeCell ref="B69:B70"/>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3">
    <tabColor theme="0" tint="-0.249977111117893"/>
  </sheetPr>
  <dimension ref="A1:BG74"/>
  <sheetViews>
    <sheetView topLeftCell="A7" zoomScale="85" zoomScaleNormal="85" workbookViewId="0">
      <selection activeCell="F17" sqref="F17"/>
    </sheetView>
  </sheetViews>
  <sheetFormatPr defaultColWidth="9.140625" defaultRowHeight="15" x14ac:dyDescent="0.25"/>
  <cols>
    <col min="1" max="1" width="44" style="75" customWidth="1"/>
    <col min="2" max="2" width="21.7109375" style="75" customWidth="1"/>
    <col min="3" max="3" width="23.5703125" style="75" customWidth="1"/>
    <col min="4" max="4" width="9.140625" style="75"/>
    <col min="5" max="5" width="11.42578125" style="75" customWidth="1"/>
    <col min="6" max="7" width="9.140625" style="75"/>
    <col min="8" max="8" width="9.140625" style="225"/>
    <col min="9" max="9" width="46" style="75" customWidth="1"/>
    <col min="10" max="15" width="9.140625" style="75"/>
    <col min="16" max="16" width="9.140625" style="225"/>
    <col min="17" max="16384" width="9.140625" style="75"/>
  </cols>
  <sheetData>
    <row r="1" spans="1:59" ht="62.25" customHeight="1" x14ac:dyDescent="0.45">
      <c r="A1" s="1762" t="s">
        <v>1462</v>
      </c>
      <c r="B1" s="1762"/>
      <c r="C1" s="1762"/>
      <c r="D1" s="1762"/>
      <c r="E1" s="1762"/>
      <c r="F1" s="1762"/>
      <c r="G1" s="1762"/>
      <c r="H1" s="1762"/>
      <c r="I1" s="1762"/>
      <c r="J1" s="1762"/>
      <c r="K1" s="1762"/>
      <c r="L1" s="1762"/>
      <c r="M1" s="1762"/>
      <c r="N1" s="1762"/>
      <c r="O1" s="1762"/>
      <c r="P1" s="1762"/>
      <c r="Q1" s="1762"/>
      <c r="R1" s="1762"/>
      <c r="S1" s="1762"/>
      <c r="T1" s="1762"/>
      <c r="U1" s="1762"/>
      <c r="V1" s="74"/>
      <c r="W1" s="74"/>
      <c r="X1" s="74"/>
      <c r="Y1" s="74"/>
      <c r="Z1" s="74"/>
      <c r="AA1" s="74"/>
      <c r="AB1" s="74"/>
      <c r="AC1" s="74"/>
      <c r="AD1" s="74"/>
      <c r="AE1" s="74"/>
      <c r="AF1" s="74"/>
      <c r="AG1" s="74"/>
      <c r="AH1" s="74"/>
      <c r="AI1" s="74"/>
      <c r="AJ1" s="74"/>
      <c r="AK1" s="74"/>
      <c r="AL1" s="74"/>
      <c r="AM1" s="74"/>
      <c r="AN1" s="74"/>
      <c r="AO1" s="74"/>
      <c r="AP1" s="74"/>
      <c r="AQ1" s="74"/>
      <c r="AR1" s="74"/>
      <c r="AS1" s="74"/>
      <c r="AT1" s="74"/>
      <c r="AU1" s="74"/>
      <c r="AV1" s="74"/>
      <c r="AW1" s="74"/>
      <c r="AX1" s="74"/>
      <c r="AY1" s="74"/>
      <c r="AZ1" s="74"/>
      <c r="BA1" s="74"/>
      <c r="BB1" s="74"/>
      <c r="BC1" s="74"/>
      <c r="BD1" s="74"/>
      <c r="BE1" s="74"/>
      <c r="BF1" s="74"/>
      <c r="BG1" s="74"/>
    </row>
    <row r="2" spans="1:59" x14ac:dyDescent="0.25">
      <c r="H2" s="84"/>
      <c r="I2" s="84"/>
      <c r="J2" s="84"/>
      <c r="K2" s="84"/>
      <c r="L2" s="84"/>
      <c r="M2" s="84"/>
      <c r="N2" s="84"/>
      <c r="O2" s="84"/>
      <c r="P2" s="84"/>
      <c r="Q2" s="84"/>
    </row>
    <row r="3" spans="1:59" x14ac:dyDescent="0.25">
      <c r="A3" s="1884" t="s">
        <v>1463</v>
      </c>
      <c r="B3" s="1885" t="s">
        <v>919</v>
      </c>
      <c r="C3" s="1886" t="s">
        <v>1004</v>
      </c>
      <c r="D3" s="1886" t="s">
        <v>790</v>
      </c>
      <c r="F3" s="211">
        <v>1</v>
      </c>
      <c r="H3" s="84"/>
      <c r="I3" s="84"/>
      <c r="J3" s="84"/>
      <c r="K3" s="84"/>
      <c r="L3" s="84"/>
      <c r="M3" s="84"/>
      <c r="N3" s="84"/>
      <c r="O3" s="84"/>
      <c r="P3" s="84"/>
      <c r="Q3" s="84"/>
    </row>
    <row r="4" spans="1:59" x14ac:dyDescent="0.25">
      <c r="A4" s="1884"/>
      <c r="B4" s="1885"/>
      <c r="C4" s="1886"/>
      <c r="D4" s="1886"/>
      <c r="E4" s="212">
        <v>2</v>
      </c>
      <c r="F4" s="101" t="s">
        <v>732</v>
      </c>
      <c r="H4" s="212">
        <f>IF(F3=2,0,1)</f>
        <v>1</v>
      </c>
      <c r="J4" s="84"/>
      <c r="K4" s="84"/>
      <c r="L4" s="84"/>
      <c r="M4" s="84"/>
      <c r="N4" s="84"/>
      <c r="O4" s="84"/>
      <c r="P4" s="84"/>
      <c r="Q4" s="84"/>
    </row>
    <row r="5" spans="1:59" x14ac:dyDescent="0.25">
      <c r="A5" s="213" t="s">
        <v>820</v>
      </c>
      <c r="B5" s="214" t="s">
        <v>789</v>
      </c>
      <c r="C5" s="214">
        <f>195-D5</f>
        <v>110</v>
      </c>
      <c r="D5" s="82">
        <f>85</f>
        <v>85</v>
      </c>
      <c r="E5" s="211">
        <f>IF($E$4=1,1,0)</f>
        <v>0</v>
      </c>
      <c r="F5" s="215" t="s">
        <v>814</v>
      </c>
      <c r="H5" s="84"/>
      <c r="I5" s="84"/>
      <c r="J5" s="84"/>
      <c r="K5" s="84"/>
      <c r="L5" s="84"/>
      <c r="M5" s="84"/>
      <c r="N5" s="84"/>
      <c r="O5" s="84"/>
      <c r="P5" s="84"/>
      <c r="Q5" s="84"/>
    </row>
    <row r="6" spans="1:59" ht="25.5" x14ac:dyDescent="0.25">
      <c r="A6" s="213" t="s">
        <v>819</v>
      </c>
      <c r="B6" s="214" t="s">
        <v>789</v>
      </c>
      <c r="C6" s="214">
        <f>230-D6</f>
        <v>140</v>
      </c>
      <c r="D6" s="82">
        <f>90</f>
        <v>90</v>
      </c>
      <c r="E6" s="211">
        <f>IF($E$4=2,1,0)</f>
        <v>1</v>
      </c>
      <c r="F6" s="215" t="s">
        <v>815</v>
      </c>
      <c r="H6" s="84"/>
      <c r="I6" s="84"/>
      <c r="J6" s="84"/>
      <c r="K6" s="84"/>
      <c r="L6" s="84"/>
      <c r="M6" s="84"/>
      <c r="N6" s="84"/>
      <c r="O6" s="84"/>
      <c r="P6" s="84"/>
      <c r="Q6" s="84"/>
    </row>
    <row r="7" spans="1:59" ht="25.5" x14ac:dyDescent="0.25">
      <c r="A7" s="213" t="s">
        <v>818</v>
      </c>
      <c r="B7" s="214" t="s">
        <v>789</v>
      </c>
      <c r="C7" s="214">
        <f>250-D7</f>
        <v>145</v>
      </c>
      <c r="D7" s="82">
        <f>105</f>
        <v>105</v>
      </c>
      <c r="E7" s="211">
        <f>IF($E$4=3,1,0)</f>
        <v>0</v>
      </c>
      <c r="F7" s="215" t="s">
        <v>813</v>
      </c>
      <c r="H7" s="84"/>
      <c r="I7" s="84"/>
      <c r="J7" s="84"/>
      <c r="K7" s="84"/>
      <c r="L7" s="84"/>
      <c r="M7" s="84"/>
      <c r="N7" s="84"/>
      <c r="O7" s="84"/>
      <c r="P7" s="84"/>
      <c r="Q7" s="84"/>
    </row>
    <row r="8" spans="1:59" ht="25.5" x14ac:dyDescent="0.25">
      <c r="A8" s="216" t="s">
        <v>816</v>
      </c>
      <c r="B8" s="214" t="s">
        <v>789</v>
      </c>
      <c r="C8" s="214">
        <f>250-D8</f>
        <v>150</v>
      </c>
      <c r="D8" s="82">
        <f>100</f>
        <v>100</v>
      </c>
      <c r="E8" s="211">
        <f>IF($E$4=4,1,0)</f>
        <v>0</v>
      </c>
      <c r="F8" s="217" t="s">
        <v>812</v>
      </c>
      <c r="H8" s="84"/>
      <c r="I8" s="84"/>
      <c r="J8" s="84"/>
      <c r="K8" s="84"/>
      <c r="L8" s="84"/>
      <c r="M8" s="84"/>
      <c r="N8" s="84"/>
      <c r="O8" s="84"/>
      <c r="P8" s="84"/>
      <c r="Q8" s="84"/>
    </row>
    <row r="9" spans="1:59" ht="25.5" x14ac:dyDescent="0.25">
      <c r="A9" s="213" t="s">
        <v>817</v>
      </c>
      <c r="B9" s="214" t="s">
        <v>789</v>
      </c>
      <c r="C9" s="214">
        <f>360-D9</f>
        <v>245</v>
      </c>
      <c r="D9" s="82">
        <f>115</f>
        <v>115</v>
      </c>
      <c r="E9" s="211">
        <f>IF($E$4=5,1,0)</f>
        <v>0</v>
      </c>
      <c r="F9" s="215" t="s">
        <v>811</v>
      </c>
      <c r="H9" s="84"/>
      <c r="I9" s="84"/>
      <c r="J9" s="84"/>
      <c r="K9" s="84"/>
      <c r="L9" s="84"/>
      <c r="M9" s="84"/>
      <c r="N9" s="84"/>
      <c r="O9" s="84"/>
      <c r="P9" s="84"/>
      <c r="Q9" s="84"/>
    </row>
    <row r="10" spans="1:59" x14ac:dyDescent="0.25">
      <c r="H10" s="84"/>
      <c r="I10" s="84"/>
      <c r="J10" s="218"/>
      <c r="K10" s="219"/>
      <c r="L10" s="220"/>
      <c r="M10" s="84"/>
      <c r="N10" s="84"/>
      <c r="O10" s="84"/>
      <c r="P10" s="84"/>
      <c r="Q10" s="84"/>
    </row>
    <row r="11" spans="1:59" x14ac:dyDescent="0.25">
      <c r="B11" s="221">
        <f>IF(F14=1,1,0)</f>
        <v>1</v>
      </c>
      <c r="C11" s="221">
        <f>IF(F14=0,1,0)</f>
        <v>0</v>
      </c>
      <c r="H11" s="84"/>
      <c r="I11" s="84"/>
      <c r="J11" s="84"/>
      <c r="K11" s="84"/>
      <c r="L11" s="84"/>
      <c r="M11" s="84"/>
      <c r="N11" s="84"/>
      <c r="O11" s="84"/>
      <c r="P11" s="84"/>
      <c r="Q11" s="84"/>
    </row>
    <row r="12" spans="1:59" ht="18" x14ac:dyDescent="0.35">
      <c r="A12" s="1886" t="s">
        <v>791</v>
      </c>
      <c r="B12" s="1887" t="s">
        <v>797</v>
      </c>
      <c r="C12" s="1887"/>
      <c r="E12" s="75">
        <f>SUMPRODUCT(D14:D17,B14:B17)*B11+SUMPRODUCT(D14:D17,C14:C17)*C11</f>
        <v>0.25</v>
      </c>
      <c r="H12" s="84"/>
      <c r="I12" s="84"/>
      <c r="J12" s="84"/>
      <c r="K12" s="84"/>
      <c r="L12" s="84"/>
      <c r="M12" s="84"/>
      <c r="N12" s="84"/>
      <c r="O12" s="84"/>
      <c r="P12" s="84"/>
      <c r="Q12" s="84"/>
    </row>
    <row r="13" spans="1:59" ht="87.6" customHeight="1" x14ac:dyDescent="0.25">
      <c r="A13" s="1886"/>
      <c r="B13" s="222" t="s">
        <v>796</v>
      </c>
      <c r="C13" s="222" t="s">
        <v>1464</v>
      </c>
      <c r="F13" s="211"/>
      <c r="G13" s="211">
        <f>IF(F20=1,1,IF(F21=1,2,0))</f>
        <v>1</v>
      </c>
      <c r="H13" s="84"/>
      <c r="I13" s="84"/>
      <c r="J13" s="84"/>
      <c r="K13" s="84"/>
      <c r="L13" s="84"/>
      <c r="M13" s="84"/>
      <c r="N13" s="84"/>
      <c r="O13" s="84"/>
      <c r="P13" s="84"/>
      <c r="Q13" s="84"/>
    </row>
    <row r="14" spans="1:59" ht="25.5" x14ac:dyDescent="0.25">
      <c r="A14" s="223" t="s">
        <v>792</v>
      </c>
      <c r="B14" s="224">
        <f>0.25</f>
        <v>0.25</v>
      </c>
      <c r="C14" s="224">
        <f>0.2</f>
        <v>0.2</v>
      </c>
      <c r="D14" s="75">
        <f>IF(AND($F$15=1,$F$16=1),1,0)</f>
        <v>0</v>
      </c>
      <c r="E14" s="75" t="s">
        <v>731</v>
      </c>
      <c r="F14" s="211">
        <f>IF(OR(G13=1),1,0)</f>
        <v>1</v>
      </c>
      <c r="G14" s="211" t="b">
        <v>1</v>
      </c>
    </row>
    <row r="15" spans="1:59" ht="25.5" x14ac:dyDescent="0.25">
      <c r="A15" s="223" t="s">
        <v>793</v>
      </c>
      <c r="B15" s="224">
        <f>0.15</f>
        <v>0.15</v>
      </c>
      <c r="C15" s="224">
        <f>0.1</f>
        <v>0.1</v>
      </c>
      <c r="D15" s="75">
        <f>IF(AND($F$15=1,$F$16=0),1,0)</f>
        <v>0</v>
      </c>
      <c r="E15" s="75" t="s">
        <v>729</v>
      </c>
      <c r="F15" s="211">
        <f t="shared" ref="F15:F17" si="0">IF(G15=TRUE,1,0)</f>
        <v>0</v>
      </c>
      <c r="G15" s="211" t="b">
        <v>0</v>
      </c>
    </row>
    <row r="16" spans="1:59" ht="25.5" x14ac:dyDescent="0.25">
      <c r="A16" s="223" t="s">
        <v>794</v>
      </c>
      <c r="B16" s="224">
        <v>0.35</v>
      </c>
      <c r="C16" s="224">
        <v>0.3</v>
      </c>
      <c r="D16" s="75">
        <f>IF(AND($F$15=0,$F$16=1),1,0)</f>
        <v>0</v>
      </c>
      <c r="E16" s="75" t="s">
        <v>730</v>
      </c>
      <c r="F16" s="211">
        <f t="shared" si="0"/>
        <v>0</v>
      </c>
      <c r="G16" s="211" t="b">
        <v>0</v>
      </c>
    </row>
    <row r="17" spans="1:11" ht="25.5" x14ac:dyDescent="0.25">
      <c r="A17" s="223" t="s">
        <v>795</v>
      </c>
      <c r="B17" s="224">
        <f>0.25</f>
        <v>0.25</v>
      </c>
      <c r="C17" s="224">
        <f>0.2</f>
        <v>0.2</v>
      </c>
      <c r="D17" s="75">
        <f>IF(AND($F$15=0,$F$16=0),1,0)</f>
        <v>1</v>
      </c>
      <c r="E17" s="75" t="s">
        <v>1381</v>
      </c>
      <c r="F17" s="211">
        <f t="shared" si="0"/>
        <v>0</v>
      </c>
      <c r="G17" s="211" t="b">
        <v>0</v>
      </c>
    </row>
    <row r="18" spans="1:11" x14ac:dyDescent="0.25">
      <c r="F18" s="211"/>
      <c r="G18" s="211">
        <v>2</v>
      </c>
    </row>
    <row r="19" spans="1:11" x14ac:dyDescent="0.25">
      <c r="E19" s="75" t="s">
        <v>1382</v>
      </c>
      <c r="F19" s="211">
        <f>IF($G$18=1,1,0)</f>
        <v>0</v>
      </c>
      <c r="G19" s="211"/>
    </row>
    <row r="20" spans="1:11" x14ac:dyDescent="0.25">
      <c r="E20" s="75" t="s">
        <v>1555</v>
      </c>
      <c r="F20" s="211">
        <f>IF($G$18=2,1,0)</f>
        <v>1</v>
      </c>
      <c r="G20" s="211"/>
    </row>
    <row r="21" spans="1:11" x14ac:dyDescent="0.25">
      <c r="E21" s="75" t="s">
        <v>1556</v>
      </c>
      <c r="F21" s="211">
        <f>IF($G$18=3,1,0)</f>
        <v>0</v>
      </c>
      <c r="G21" s="211"/>
    </row>
    <row r="30" spans="1:11" ht="15.75" thickBot="1" x14ac:dyDescent="0.3"/>
    <row r="31" spans="1:11" ht="16.5" thickBot="1" x14ac:dyDescent="0.3">
      <c r="A31" s="226" t="s">
        <v>728</v>
      </c>
      <c r="B31" s="1882" t="s">
        <v>554</v>
      </c>
      <c r="C31" s="1883"/>
      <c r="I31" s="227" t="s">
        <v>920</v>
      </c>
    </row>
    <row r="32" spans="1:11" ht="63.75" thickBot="1" x14ac:dyDescent="0.3">
      <c r="A32" s="228"/>
      <c r="B32" s="229" t="s">
        <v>555</v>
      </c>
      <c r="C32" s="230" t="s">
        <v>556</v>
      </c>
      <c r="I32" s="1879" t="s">
        <v>1465</v>
      </c>
      <c r="J32" s="1879"/>
      <c r="K32" s="1879"/>
    </row>
    <row r="33" spans="1:15" ht="32.25" thickBot="1" x14ac:dyDescent="0.3">
      <c r="A33" s="231" t="s">
        <v>557</v>
      </c>
      <c r="B33" s="229">
        <v>0.15</v>
      </c>
      <c r="C33" s="229">
        <v>0.1</v>
      </c>
      <c r="D33" s="229">
        <f>IF((G15=TRUE)*AND(G16=FALSE)*AND(G14=TRUE),1,0)</f>
        <v>0</v>
      </c>
      <c r="E33" s="229">
        <f>IF((G15=TRUE)*AND(G16=FALSE)*AND(G14=FALSE),1,0)</f>
        <v>0</v>
      </c>
      <c r="I33" s="232"/>
      <c r="J33" s="232" t="e">
        <f>IF(VLOOKUP(CONCATENATE('Ввод исходных данных'!$D$10,'Ввод исходных данных'!$D$11),Климатология!$D$8:$BF$530,Климатология!#REF!,FALSE)&lt;=2,1,0)</f>
        <v>#REF!</v>
      </c>
      <c r="K33" s="232" t="e">
        <f>IF(VLOOKUP(CONCATENATE('Ввод исходных данных'!$D$10,'Ввод исходных данных'!$D$11),Климатология!$D$8:$BF$530,Климатология!#REF!,FALSE)&gt;=3,1,0)</f>
        <v>#REF!</v>
      </c>
    </row>
    <row r="34" spans="1:15" ht="16.5" thickBot="1" x14ac:dyDescent="0.3">
      <c r="A34" s="233" t="s">
        <v>495</v>
      </c>
      <c r="B34" s="233">
        <v>0.25</v>
      </c>
      <c r="C34" s="233">
        <v>0.2</v>
      </c>
      <c r="D34" s="233">
        <f>IF((G15=TRUE)*AND(G16=TRUE)*AND(G14=TRUE),1,0)</f>
        <v>0</v>
      </c>
      <c r="E34" s="233">
        <f>IF((G15=TRUE)*AND(G16=TRUE)*AND(G14=FALSE),1,0)</f>
        <v>0</v>
      </c>
      <c r="I34" s="234" t="s">
        <v>1466</v>
      </c>
      <c r="J34" s="1880"/>
      <c r="K34" s="1881"/>
    </row>
    <row r="35" spans="1:15" ht="32.25" thickBot="1" x14ac:dyDescent="0.3">
      <c r="A35" s="231" t="s">
        <v>558</v>
      </c>
      <c r="B35" s="229">
        <v>0.35</v>
      </c>
      <c r="C35" s="229">
        <v>0.3</v>
      </c>
      <c r="D35" s="229">
        <f>IF((G15=FALSE)*AND(G16=TRUE)*AND(G14=TRUE),1,0)</f>
        <v>0</v>
      </c>
      <c r="E35" s="229">
        <f>IF((G15=FALSE)*AND(G16=TRUE)*AND(G14=FALSE),1,0)</f>
        <v>0</v>
      </c>
      <c r="I35" s="235"/>
      <c r="J35" s="236" t="s">
        <v>598</v>
      </c>
      <c r="K35" s="236" t="s">
        <v>599</v>
      </c>
    </row>
    <row r="36" spans="1:15" ht="15.75" thickBot="1" x14ac:dyDescent="0.3">
      <c r="I36" s="237" t="s">
        <v>600</v>
      </c>
      <c r="J36" s="238">
        <v>40</v>
      </c>
      <c r="K36" s="238">
        <v>45</v>
      </c>
      <c r="N36" s="211"/>
    </row>
    <row r="37" spans="1:15" ht="15.75" thickBot="1" x14ac:dyDescent="0.3">
      <c r="I37" s="237" t="s">
        <v>601</v>
      </c>
      <c r="J37" s="238">
        <v>48</v>
      </c>
      <c r="K37" s="238">
        <v>55</v>
      </c>
      <c r="M37" s="95"/>
      <c r="N37" s="239">
        <v>1</v>
      </c>
      <c r="O37" s="239"/>
    </row>
    <row r="38" spans="1:15" ht="43.5" thickBot="1" x14ac:dyDescent="0.3">
      <c r="I38" s="237" t="s">
        <v>602</v>
      </c>
      <c r="J38" s="238">
        <v>60</v>
      </c>
      <c r="K38" s="238">
        <v>70</v>
      </c>
      <c r="L38" s="75">
        <f>IF((N38=0)*AND(N39=1),1,0)</f>
        <v>0</v>
      </c>
      <c r="M38" s="95" t="s">
        <v>732</v>
      </c>
      <c r="N38" s="239">
        <f>IF(N37=1,1,0)</f>
        <v>1</v>
      </c>
      <c r="O38" s="239"/>
    </row>
    <row r="39" spans="1:15" ht="15.75" thickBot="1" x14ac:dyDescent="0.3">
      <c r="I39" s="237" t="s">
        <v>603</v>
      </c>
      <c r="J39" s="238">
        <v>85</v>
      </c>
      <c r="K39" s="238">
        <v>95</v>
      </c>
      <c r="L39" s="75">
        <f>IF((N38=0)*AND(N41=0)*AND(N40=1),1,0)</f>
        <v>0</v>
      </c>
      <c r="M39" s="95" t="s">
        <v>733</v>
      </c>
      <c r="N39" s="239">
        <f>IF(N37=2,1,0)</f>
        <v>0</v>
      </c>
      <c r="O39" s="239"/>
    </row>
    <row r="40" spans="1:15" ht="29.25" thickBot="1" x14ac:dyDescent="0.3">
      <c r="I40" s="237" t="s">
        <v>604</v>
      </c>
      <c r="J40" s="238">
        <v>95</v>
      </c>
      <c r="K40" s="238">
        <v>105</v>
      </c>
      <c r="L40" s="75">
        <f>IF((N38=1)*AND(N41=0),1,0)</f>
        <v>0</v>
      </c>
      <c r="M40" s="95" t="s">
        <v>734</v>
      </c>
      <c r="N40" s="239">
        <f>IF(N37=3,1,0)</f>
        <v>0</v>
      </c>
      <c r="O40" s="239"/>
    </row>
    <row r="41" spans="1:15" ht="29.25" thickBot="1" x14ac:dyDescent="0.3">
      <c r="I41" s="237" t="s">
        <v>605</v>
      </c>
      <c r="J41" s="238">
        <v>100</v>
      </c>
      <c r="K41" s="238">
        <v>115</v>
      </c>
      <c r="L41" s="75">
        <f>IF((N38=1)*AND(N41=1),1,0)</f>
        <v>1</v>
      </c>
      <c r="M41" s="95" t="s">
        <v>735</v>
      </c>
      <c r="N41" s="239">
        <f>IF(O41=TRUE,1,0)</f>
        <v>1</v>
      </c>
      <c r="O41" s="239" t="b">
        <v>1</v>
      </c>
    </row>
    <row r="43" spans="1:15" ht="15.75" thickBot="1" x14ac:dyDescent="0.3">
      <c r="A43" s="240" t="s">
        <v>736</v>
      </c>
      <c r="B43" s="240"/>
    </row>
    <row r="44" spans="1:15" ht="35.25" thickBot="1" x14ac:dyDescent="0.3">
      <c r="A44" s="200" t="s">
        <v>549</v>
      </c>
      <c r="B44" s="209" t="s">
        <v>550</v>
      </c>
    </row>
    <row r="45" spans="1:15" ht="16.5" thickBot="1" x14ac:dyDescent="0.3">
      <c r="A45" s="241">
        <v>150</v>
      </c>
      <c r="B45" s="210">
        <v>5.15</v>
      </c>
    </row>
    <row r="46" spans="1:15" ht="16.5" thickBot="1" x14ac:dyDescent="0.3">
      <c r="A46" s="241">
        <v>250</v>
      </c>
      <c r="B46" s="210">
        <v>4.5</v>
      </c>
    </row>
    <row r="47" spans="1:15" ht="16.5" thickBot="1" x14ac:dyDescent="0.3">
      <c r="A47" s="241">
        <v>350</v>
      </c>
      <c r="B47" s="210">
        <v>4.0999999999999996</v>
      </c>
    </row>
    <row r="48" spans="1:15" ht="16.5" thickBot="1" x14ac:dyDescent="0.3">
      <c r="A48" s="241">
        <v>500</v>
      </c>
      <c r="B48" s="210">
        <v>3.75</v>
      </c>
    </row>
    <row r="49" spans="1:2" ht="16.5" thickBot="1" x14ac:dyDescent="0.3">
      <c r="A49" s="241">
        <v>700</v>
      </c>
      <c r="B49" s="210">
        <v>3.5</v>
      </c>
    </row>
    <row r="50" spans="1:2" ht="16.5" thickBot="1" x14ac:dyDescent="0.3">
      <c r="A50" s="242">
        <v>1000</v>
      </c>
      <c r="B50" s="210">
        <v>3.27</v>
      </c>
    </row>
    <row r="51" spans="1:2" ht="16.5" thickBot="1" x14ac:dyDescent="0.3">
      <c r="A51" s="242">
        <v>1500</v>
      </c>
      <c r="B51" s="210">
        <v>3.09</v>
      </c>
    </row>
    <row r="52" spans="1:2" ht="16.5" thickBot="1" x14ac:dyDescent="0.3">
      <c r="A52" s="242">
        <v>2000</v>
      </c>
      <c r="B52" s="210">
        <v>2.97</v>
      </c>
    </row>
    <row r="53" spans="1:2" ht="16.5" thickBot="1" x14ac:dyDescent="0.3">
      <c r="A53" s="242">
        <v>3000</v>
      </c>
      <c r="B53" s="210">
        <v>2.85</v>
      </c>
    </row>
    <row r="54" spans="1:2" ht="16.5" thickBot="1" x14ac:dyDescent="0.3">
      <c r="A54" s="242">
        <v>5000</v>
      </c>
      <c r="B54" s="210">
        <v>2.74</v>
      </c>
    </row>
    <row r="59" spans="1:2" x14ac:dyDescent="0.25">
      <c r="A59" s="243">
        <v>150</v>
      </c>
      <c r="B59" s="97">
        <v>5.15</v>
      </c>
    </row>
    <row r="60" spans="1:2" x14ac:dyDescent="0.25">
      <c r="A60" s="243">
        <v>250</v>
      </c>
      <c r="B60" s="243">
        <v>4.5</v>
      </c>
    </row>
    <row r="61" spans="1:2" x14ac:dyDescent="0.25">
      <c r="A61" s="243">
        <v>350</v>
      </c>
      <c r="B61" s="243">
        <v>4.0999999999999996</v>
      </c>
    </row>
    <row r="62" spans="1:2" x14ac:dyDescent="0.25">
      <c r="A62" s="243">
        <v>500</v>
      </c>
      <c r="B62" s="243">
        <v>3.75</v>
      </c>
    </row>
    <row r="63" spans="1:2" x14ac:dyDescent="0.25">
      <c r="A63" s="243">
        <v>700</v>
      </c>
      <c r="B63" s="243">
        <v>3.5</v>
      </c>
    </row>
    <row r="64" spans="1:2" x14ac:dyDescent="0.25">
      <c r="A64" s="243">
        <v>1000</v>
      </c>
      <c r="B64" s="243">
        <v>3.27</v>
      </c>
    </row>
    <row r="65" spans="1:2" x14ac:dyDescent="0.25">
      <c r="A65" s="243">
        <v>1500</v>
      </c>
      <c r="B65" s="243">
        <v>3.09</v>
      </c>
    </row>
    <row r="66" spans="1:2" x14ac:dyDescent="0.25">
      <c r="A66" s="243">
        <v>2000</v>
      </c>
      <c r="B66" s="243">
        <v>2.97</v>
      </c>
    </row>
    <row r="67" spans="1:2" x14ac:dyDescent="0.25">
      <c r="A67" s="243">
        <v>2500</v>
      </c>
      <c r="B67" s="243">
        <v>2.9</v>
      </c>
    </row>
    <row r="68" spans="1:2" x14ac:dyDescent="0.25">
      <c r="A68" s="243">
        <v>3000</v>
      </c>
      <c r="B68" s="243">
        <v>2.85</v>
      </c>
    </row>
    <row r="69" spans="1:2" x14ac:dyDescent="0.25">
      <c r="A69" s="243">
        <v>4000</v>
      </c>
      <c r="B69" s="243">
        <v>2.78</v>
      </c>
    </row>
    <row r="70" spans="1:2" x14ac:dyDescent="0.25">
      <c r="A70" s="243">
        <v>5000</v>
      </c>
      <c r="B70" s="243">
        <v>2.74</v>
      </c>
    </row>
    <row r="71" spans="1:2" x14ac:dyDescent="0.25">
      <c r="A71" s="243">
        <v>6000</v>
      </c>
      <c r="B71" s="243">
        <v>2.7</v>
      </c>
    </row>
    <row r="72" spans="1:2" x14ac:dyDescent="0.25">
      <c r="A72" s="243">
        <v>7500</v>
      </c>
      <c r="B72" s="243">
        <v>2.65</v>
      </c>
    </row>
    <row r="73" spans="1:2" x14ac:dyDescent="0.25">
      <c r="A73" s="243">
        <v>10000</v>
      </c>
      <c r="B73" s="243">
        <v>2.6</v>
      </c>
    </row>
    <row r="74" spans="1:2" x14ac:dyDescent="0.25">
      <c r="A74" s="243">
        <v>20000</v>
      </c>
      <c r="B74" s="243">
        <v>2.4</v>
      </c>
    </row>
  </sheetData>
  <sheetProtection algorithmName="SHA-512" hashValue="Oej+jGyuNLGIf0MS7fc1rgbwq7DTyP/iGS8qNA3FmqL69RYsUPrEB9I5ULnk4crj5lUmo6bZqNvAPBwhJwrWuQ==" saltValue="sMGQc2R7huTeBhBbGhI7+w==" spinCount="100000" sheet="1" objects="1" scenarios="1"/>
  <mergeCells count="10">
    <mergeCell ref="A1:U1"/>
    <mergeCell ref="I32:K32"/>
    <mergeCell ref="J34:K34"/>
    <mergeCell ref="B31:C31"/>
    <mergeCell ref="A3:A4"/>
    <mergeCell ref="B3:B4"/>
    <mergeCell ref="D3:D4"/>
    <mergeCell ref="B12:C12"/>
    <mergeCell ref="A12:A13"/>
    <mergeCell ref="C3:C4"/>
  </mergeCell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dimension ref="A1:AR543"/>
  <sheetViews>
    <sheetView topLeftCell="O31" workbookViewId="0">
      <selection activeCell="A31" sqref="A1:N1048576"/>
    </sheetView>
  </sheetViews>
  <sheetFormatPr defaultColWidth="3.28515625" defaultRowHeight="15" x14ac:dyDescent="0.25"/>
  <cols>
    <col min="1" max="1" width="3.28515625" style="75" hidden="1" customWidth="1"/>
    <col min="2" max="3" width="15" style="75" hidden="1" customWidth="1"/>
    <col min="4" max="4" width="23.85546875" style="75" hidden="1" customWidth="1"/>
    <col min="5" max="14" width="3.28515625" style="75" hidden="1" customWidth="1"/>
    <col min="15" max="66" width="3.28515625" style="75" customWidth="1"/>
    <col min="67" max="16384" width="3.28515625" style="75"/>
  </cols>
  <sheetData>
    <row r="1" spans="2:44" x14ac:dyDescent="0.25">
      <c r="B1" s="75" t="s">
        <v>447</v>
      </c>
      <c r="D1" s="75" t="s">
        <v>442</v>
      </c>
      <c r="F1" s="75" t="s">
        <v>459</v>
      </c>
      <c r="N1" s="75" t="s">
        <v>465</v>
      </c>
    </row>
    <row r="2" spans="2:44" x14ac:dyDescent="0.25">
      <c r="B2" s="244" t="s">
        <v>461</v>
      </c>
      <c r="D2" s="244" t="s">
        <v>461</v>
      </c>
      <c r="F2" s="244" t="s">
        <v>461</v>
      </c>
      <c r="G2" s="245" t="s">
        <v>461</v>
      </c>
      <c r="J2" s="246" t="s">
        <v>460</v>
      </c>
      <c r="K2" s="247" t="s">
        <v>457</v>
      </c>
      <c r="N2" s="244" t="s">
        <v>461</v>
      </c>
      <c r="P2" s="248" t="s">
        <v>468</v>
      </c>
      <c r="R2" s="248" t="s">
        <v>469</v>
      </c>
      <c r="T2" s="248" t="s">
        <v>470</v>
      </c>
      <c r="W2" s="75" t="s">
        <v>606</v>
      </c>
      <c r="Y2" s="75" t="s">
        <v>607</v>
      </c>
      <c r="AA2" s="75" t="s">
        <v>608</v>
      </c>
      <c r="AC2" s="75" t="s">
        <v>1241</v>
      </c>
      <c r="AE2" s="75" t="s">
        <v>1242</v>
      </c>
      <c r="AG2" s="75" t="s">
        <v>1279</v>
      </c>
      <c r="AI2" s="249" t="s">
        <v>760</v>
      </c>
      <c r="AK2" s="249" t="s">
        <v>804</v>
      </c>
      <c r="AN2" s="75" t="s">
        <v>1169</v>
      </c>
      <c r="AR2" s="75" t="s">
        <v>1171</v>
      </c>
    </row>
    <row r="3" spans="2:44" ht="15.75" x14ac:dyDescent="0.25">
      <c r="B3" s="95" t="s">
        <v>446</v>
      </c>
      <c r="D3" s="75" t="s">
        <v>448</v>
      </c>
      <c r="F3" s="250" t="s">
        <v>0</v>
      </c>
      <c r="G3" s="251">
        <v>3</v>
      </c>
      <c r="J3" s="252" t="s">
        <v>461</v>
      </c>
      <c r="K3" s="252" t="s">
        <v>461</v>
      </c>
      <c r="N3" s="75" t="s">
        <v>466</v>
      </c>
      <c r="P3" s="253" t="s">
        <v>461</v>
      </c>
      <c r="R3" s="253" t="s">
        <v>461</v>
      </c>
      <c r="T3" s="253" t="s">
        <v>461</v>
      </c>
      <c r="W3" s="244" t="s">
        <v>461</v>
      </c>
      <c r="Y3" s="244" t="s">
        <v>461</v>
      </c>
      <c r="AA3" s="244" t="s">
        <v>461</v>
      </c>
      <c r="AC3" s="244" t="s">
        <v>461</v>
      </c>
      <c r="AD3" s="244"/>
      <c r="AE3" s="244" t="s">
        <v>461</v>
      </c>
      <c r="AG3" s="244" t="s">
        <v>1271</v>
      </c>
      <c r="AI3" s="254" t="s">
        <v>461</v>
      </c>
      <c r="AK3" s="75" t="s">
        <v>491</v>
      </c>
      <c r="AN3" s="254" t="s">
        <v>461</v>
      </c>
      <c r="AR3" s="254" t="s">
        <v>461</v>
      </c>
    </row>
    <row r="4" spans="2:44" ht="15.75" x14ac:dyDescent="0.25">
      <c r="B4" s="95" t="s">
        <v>1432</v>
      </c>
      <c r="D4" s="75" t="s">
        <v>449</v>
      </c>
      <c r="F4" s="255" t="s">
        <v>13</v>
      </c>
      <c r="G4" s="256">
        <v>4</v>
      </c>
      <c r="J4" s="257" t="s">
        <v>0</v>
      </c>
      <c r="K4" s="258" t="s">
        <v>1</v>
      </c>
      <c r="N4" s="75" t="s">
        <v>467</v>
      </c>
      <c r="P4" s="259" t="s">
        <v>471</v>
      </c>
      <c r="R4" s="260" t="s">
        <v>472</v>
      </c>
      <c r="T4" s="259" t="s">
        <v>473</v>
      </c>
      <c r="W4" s="75" t="s">
        <v>933</v>
      </c>
      <c r="AC4" s="75" t="s">
        <v>930</v>
      </c>
      <c r="AE4" s="244" t="s">
        <v>1243</v>
      </c>
      <c r="AF4" s="75">
        <v>0.7</v>
      </c>
      <c r="AG4" s="75" t="str">
        <f>CONCATENATE($AC$4,", ",AE5)</f>
        <v>дерево, двойной раздельный</v>
      </c>
      <c r="AI4" s="261" t="s">
        <v>761</v>
      </c>
      <c r="AK4" s="254" t="s">
        <v>805</v>
      </c>
      <c r="AN4" s="262" t="s">
        <v>977</v>
      </c>
      <c r="AR4" s="75" t="s">
        <v>1170</v>
      </c>
    </row>
    <row r="5" spans="2:44" ht="15.75" x14ac:dyDescent="0.25">
      <c r="B5" s="95" t="s">
        <v>1631</v>
      </c>
      <c r="D5" s="75" t="s">
        <v>450</v>
      </c>
      <c r="F5" s="251" t="s">
        <v>36</v>
      </c>
      <c r="G5" s="251">
        <v>5</v>
      </c>
      <c r="J5" s="257" t="s">
        <v>0</v>
      </c>
      <c r="K5" s="263" t="s">
        <v>3</v>
      </c>
      <c r="P5" s="260" t="s">
        <v>474</v>
      </c>
      <c r="R5" s="260" t="s">
        <v>475</v>
      </c>
      <c r="T5" s="259" t="s">
        <v>476</v>
      </c>
      <c r="W5" s="75" t="s">
        <v>934</v>
      </c>
      <c r="AC5" s="75" t="s">
        <v>931</v>
      </c>
      <c r="AE5" s="75" t="s">
        <v>1244</v>
      </c>
      <c r="AF5" s="75">
        <v>0.8</v>
      </c>
      <c r="AG5" s="75" t="str">
        <f>CONCATENATE($AC$4,", ",AE6)</f>
        <v>дерево, спаренный</v>
      </c>
      <c r="AI5" s="264" t="s">
        <v>1392</v>
      </c>
      <c r="AK5" s="75" t="s">
        <v>806</v>
      </c>
      <c r="AN5" s="262" t="s">
        <v>1318</v>
      </c>
      <c r="AR5" s="75" t="s">
        <v>467</v>
      </c>
    </row>
    <row r="6" spans="2:44" ht="15.75" x14ac:dyDescent="0.25">
      <c r="B6" s="75" t="s">
        <v>1441</v>
      </c>
      <c r="D6" s="75" t="s">
        <v>451</v>
      </c>
      <c r="F6" s="255" t="s">
        <v>44</v>
      </c>
      <c r="G6" s="256">
        <v>6</v>
      </c>
      <c r="J6" s="257" t="s">
        <v>0</v>
      </c>
      <c r="K6" s="258" t="s">
        <v>632</v>
      </c>
      <c r="R6" s="259" t="s">
        <v>477</v>
      </c>
      <c r="T6" s="260" t="s">
        <v>478</v>
      </c>
      <c r="W6" s="75" t="s">
        <v>935</v>
      </c>
      <c r="AC6" s="75" t="s">
        <v>932</v>
      </c>
      <c r="AE6" s="75" t="s">
        <v>1245</v>
      </c>
      <c r="AF6" s="75">
        <v>0.9</v>
      </c>
      <c r="AG6" s="75" t="str">
        <f>CONCATENATE($AC$4,", ",AE7)</f>
        <v>дерево, одинарный</v>
      </c>
      <c r="AK6" s="254" t="s">
        <v>807</v>
      </c>
      <c r="AN6" s="262" t="s">
        <v>978</v>
      </c>
    </row>
    <row r="7" spans="2:44" ht="15.75" x14ac:dyDescent="0.25">
      <c r="B7" s="95" t="s">
        <v>1940</v>
      </c>
      <c r="D7" s="75" t="s">
        <v>452</v>
      </c>
      <c r="F7" s="250" t="s">
        <v>47</v>
      </c>
      <c r="G7" s="251">
        <v>7</v>
      </c>
      <c r="J7" s="257" t="s">
        <v>0</v>
      </c>
      <c r="K7" s="258" t="s">
        <v>8</v>
      </c>
      <c r="P7" s="248"/>
      <c r="R7" s="260" t="s">
        <v>479</v>
      </c>
      <c r="W7" s="75" t="s">
        <v>936</v>
      </c>
      <c r="AE7" s="75" t="s">
        <v>1246</v>
      </c>
      <c r="AF7" s="75">
        <v>1</v>
      </c>
      <c r="AG7" s="75" t="str">
        <f>CONCATENATE($AC$6,", ",AE5)</f>
        <v>алюминий, двойной раздельный</v>
      </c>
      <c r="AK7" s="75" t="s">
        <v>808</v>
      </c>
      <c r="AN7" s="262" t="s">
        <v>979</v>
      </c>
    </row>
    <row r="8" spans="2:44" ht="15.75" x14ac:dyDescent="0.25">
      <c r="B8" s="75" t="s">
        <v>1941</v>
      </c>
      <c r="D8" s="75" t="s">
        <v>453</v>
      </c>
      <c r="F8" s="255" t="s">
        <v>50</v>
      </c>
      <c r="G8" s="256">
        <v>8</v>
      </c>
      <c r="J8" s="257" t="s">
        <v>0</v>
      </c>
      <c r="K8" s="258" t="s">
        <v>4</v>
      </c>
      <c r="P8" s="260"/>
      <c r="R8" s="259" t="s">
        <v>480</v>
      </c>
      <c r="W8" s="265" t="s">
        <v>926</v>
      </c>
      <c r="AG8" s="75" t="str">
        <f>CONCATENATE($AC$6,", ",AE6)</f>
        <v>алюминий, спаренный</v>
      </c>
      <c r="AK8" s="254" t="s">
        <v>809</v>
      </c>
      <c r="AN8" s="262" t="s">
        <v>980</v>
      </c>
    </row>
    <row r="9" spans="2:44" ht="15.75" x14ac:dyDescent="0.25">
      <c r="B9" s="95" t="s">
        <v>1490</v>
      </c>
      <c r="D9" s="75" t="s">
        <v>454</v>
      </c>
      <c r="F9" s="250" t="s">
        <v>409</v>
      </c>
      <c r="G9" s="251">
        <v>9</v>
      </c>
      <c r="J9" s="257" t="s">
        <v>0</v>
      </c>
      <c r="K9" s="258" t="s">
        <v>5</v>
      </c>
      <c r="R9" s="260" t="s">
        <v>481</v>
      </c>
      <c r="W9" s="265" t="s">
        <v>929</v>
      </c>
      <c r="AG9" s="75" t="str">
        <f>CONCATENATE($AC$6,", ",AE7)</f>
        <v>алюминий, одинарный</v>
      </c>
    </row>
    <row r="10" spans="2:44" ht="15.75" x14ac:dyDescent="0.25">
      <c r="B10" s="95" t="s">
        <v>1433</v>
      </c>
      <c r="D10" s="75" t="s">
        <v>455</v>
      </c>
      <c r="F10" s="255" t="s">
        <v>293</v>
      </c>
      <c r="G10" s="256">
        <v>10</v>
      </c>
      <c r="J10" s="257" t="s">
        <v>0</v>
      </c>
      <c r="K10" s="258" t="s">
        <v>6</v>
      </c>
      <c r="AI10" s="249" t="s">
        <v>1866</v>
      </c>
      <c r="AK10" s="249" t="s">
        <v>804</v>
      </c>
      <c r="AN10" s="75" t="s">
        <v>1301</v>
      </c>
    </row>
    <row r="11" spans="2:44" ht="15.75" x14ac:dyDescent="0.25">
      <c r="B11" s="95" t="s">
        <v>1434</v>
      </c>
      <c r="D11" s="75" t="s">
        <v>456</v>
      </c>
      <c r="F11" s="250" t="s">
        <v>419</v>
      </c>
      <c r="G11" s="251">
        <v>11</v>
      </c>
      <c r="J11" s="257" t="s">
        <v>0</v>
      </c>
      <c r="K11" s="258" t="s">
        <v>7</v>
      </c>
      <c r="R11" s="248"/>
      <c r="AI11" s="99">
        <f ca="1">AI12-1</f>
        <v>2016</v>
      </c>
      <c r="AK11" s="75" t="s">
        <v>535</v>
      </c>
      <c r="AL11" s="75">
        <v>1</v>
      </c>
      <c r="AM11" s="75">
        <v>31</v>
      </c>
      <c r="AN11" s="254" t="s">
        <v>461</v>
      </c>
    </row>
    <row r="12" spans="2:44" ht="15.75" x14ac:dyDescent="0.25">
      <c r="B12" s="266" t="s">
        <v>1435</v>
      </c>
      <c r="F12" s="255" t="s">
        <v>422</v>
      </c>
      <c r="G12" s="256">
        <v>12</v>
      </c>
      <c r="J12" s="257" t="s">
        <v>13</v>
      </c>
      <c r="K12" s="258" t="s">
        <v>633</v>
      </c>
      <c r="R12" s="253"/>
      <c r="AI12" s="99">
        <f ca="1">YEAR(TODAY())</f>
        <v>2017</v>
      </c>
      <c r="AK12" s="75" t="s">
        <v>536</v>
      </c>
      <c r="AL12" s="75">
        <v>2</v>
      </c>
      <c r="AM12" s="75">
        <v>28</v>
      </c>
      <c r="AN12" s="262" t="s">
        <v>1318</v>
      </c>
    </row>
    <row r="13" spans="2:44" ht="15.75" x14ac:dyDescent="0.25">
      <c r="B13" s="95" t="s">
        <v>1436</v>
      </c>
      <c r="F13" s="250" t="s">
        <v>95</v>
      </c>
      <c r="G13" s="251">
        <v>13</v>
      </c>
      <c r="J13" s="257" t="s">
        <v>13</v>
      </c>
      <c r="K13" s="258" t="s">
        <v>14</v>
      </c>
      <c r="R13" s="260"/>
      <c r="AK13" s="75" t="s">
        <v>537</v>
      </c>
      <c r="AL13" s="75">
        <v>3</v>
      </c>
      <c r="AM13" s="75">
        <v>31</v>
      </c>
      <c r="AN13" s="262" t="s">
        <v>978</v>
      </c>
    </row>
    <row r="14" spans="2:44" ht="15.75" x14ac:dyDescent="0.25">
      <c r="B14" s="95" t="s">
        <v>445</v>
      </c>
      <c r="F14" s="255" t="s">
        <v>255</v>
      </c>
      <c r="G14" s="256">
        <v>14</v>
      </c>
      <c r="J14" s="257" t="s">
        <v>13</v>
      </c>
      <c r="K14" s="258" t="s">
        <v>15</v>
      </c>
      <c r="R14" s="260"/>
      <c r="AK14" s="75" t="s">
        <v>538</v>
      </c>
      <c r="AL14" s="75">
        <v>4</v>
      </c>
      <c r="AM14" s="75">
        <v>30</v>
      </c>
      <c r="AN14" s="262" t="s">
        <v>979</v>
      </c>
    </row>
    <row r="15" spans="2:44" ht="15.75" x14ac:dyDescent="0.25">
      <c r="B15" s="95" t="s">
        <v>1629</v>
      </c>
      <c r="F15" s="250" t="s">
        <v>91</v>
      </c>
      <c r="G15" s="251">
        <v>15</v>
      </c>
      <c r="J15" s="257" t="s">
        <v>13</v>
      </c>
      <c r="K15" s="258" t="s">
        <v>16</v>
      </c>
      <c r="M15" s="249" t="s">
        <v>613</v>
      </c>
      <c r="O15" s="249" t="s">
        <v>1247</v>
      </c>
      <c r="R15" s="259"/>
      <c r="AK15" s="75" t="s">
        <v>724</v>
      </c>
      <c r="AL15" s="75">
        <v>5</v>
      </c>
      <c r="AM15" s="75">
        <v>31</v>
      </c>
      <c r="AN15" s="262" t="s">
        <v>980</v>
      </c>
    </row>
    <row r="16" spans="2:44" ht="15.75" x14ac:dyDescent="0.25">
      <c r="B16" s="75" t="s">
        <v>1630</v>
      </c>
      <c r="F16" s="255" t="s">
        <v>71</v>
      </c>
      <c r="G16" s="256">
        <v>16</v>
      </c>
      <c r="J16" s="257" t="s">
        <v>13</v>
      </c>
      <c r="K16" s="258" t="s">
        <v>17</v>
      </c>
      <c r="M16" s="254" t="s">
        <v>1269</v>
      </c>
      <c r="O16" s="254" t="s">
        <v>1268</v>
      </c>
      <c r="R16" s="260"/>
      <c r="AK16" s="75" t="s">
        <v>725</v>
      </c>
      <c r="AL16" s="75">
        <v>6</v>
      </c>
      <c r="AM16" s="75">
        <v>30</v>
      </c>
    </row>
    <row r="17" spans="2:40" ht="15.75" x14ac:dyDescent="0.25">
      <c r="B17" s="95" t="s">
        <v>1437</v>
      </c>
      <c r="F17" s="250" t="s">
        <v>614</v>
      </c>
      <c r="G17" s="251">
        <v>17</v>
      </c>
      <c r="J17" s="257" t="s">
        <v>13</v>
      </c>
      <c r="K17" s="258" t="s">
        <v>18</v>
      </c>
      <c r="M17" s="75" t="s">
        <v>1248</v>
      </c>
      <c r="O17" s="95">
        <v>5</v>
      </c>
      <c r="R17" s="259"/>
      <c r="AK17" s="75" t="s">
        <v>720</v>
      </c>
      <c r="AL17" s="75">
        <v>7</v>
      </c>
      <c r="AM17" s="75">
        <v>31</v>
      </c>
    </row>
    <row r="18" spans="2:40" ht="15.75" x14ac:dyDescent="0.25">
      <c r="B18" s="95" t="s">
        <v>1438</v>
      </c>
      <c r="F18" s="255" t="s">
        <v>100</v>
      </c>
      <c r="G18" s="256">
        <v>18</v>
      </c>
      <c r="J18" s="257" t="s">
        <v>13</v>
      </c>
      <c r="K18" s="267" t="s">
        <v>23</v>
      </c>
      <c r="M18" s="75" t="s">
        <v>1249</v>
      </c>
      <c r="O18" s="95">
        <v>10</v>
      </c>
      <c r="R18" s="260"/>
      <c r="AK18" s="75" t="s">
        <v>721</v>
      </c>
      <c r="AL18" s="75">
        <v>8</v>
      </c>
      <c r="AM18" s="75">
        <v>31</v>
      </c>
    </row>
    <row r="19" spans="2:40" ht="15.75" x14ac:dyDescent="0.25">
      <c r="B19" s="95" t="s">
        <v>1439</v>
      </c>
      <c r="F19" s="250" t="s">
        <v>102</v>
      </c>
      <c r="G19" s="251">
        <v>19</v>
      </c>
      <c r="J19" s="257" t="s">
        <v>13</v>
      </c>
      <c r="K19" s="258" t="s">
        <v>20</v>
      </c>
      <c r="M19" s="75" t="s">
        <v>1250</v>
      </c>
      <c r="O19" s="95">
        <v>15</v>
      </c>
      <c r="AK19" s="75" t="s">
        <v>722</v>
      </c>
      <c r="AL19" s="75">
        <v>9</v>
      </c>
      <c r="AM19" s="75">
        <v>30</v>
      </c>
    </row>
    <row r="20" spans="2:40" ht="15.75" x14ac:dyDescent="0.25">
      <c r="B20" s="268" t="s">
        <v>1440</v>
      </c>
      <c r="F20" s="255" t="s">
        <v>615</v>
      </c>
      <c r="G20" s="256">
        <v>20</v>
      </c>
      <c r="J20" s="257" t="s">
        <v>13</v>
      </c>
      <c r="K20" s="258" t="s">
        <v>22</v>
      </c>
      <c r="M20" s="75" t="s">
        <v>1530</v>
      </c>
      <c r="O20" s="95">
        <v>20</v>
      </c>
      <c r="R20" s="248"/>
      <c r="AK20" s="75" t="s">
        <v>727</v>
      </c>
      <c r="AL20" s="75">
        <v>10</v>
      </c>
      <c r="AM20" s="75">
        <v>31</v>
      </c>
    </row>
    <row r="21" spans="2:40" ht="15.75" x14ac:dyDescent="0.25">
      <c r="B21" s="269" t="s">
        <v>1489</v>
      </c>
      <c r="F21" s="250" t="s">
        <v>616</v>
      </c>
      <c r="G21" s="251">
        <v>21</v>
      </c>
      <c r="J21" s="257" t="s">
        <v>13</v>
      </c>
      <c r="K21" s="258" t="s">
        <v>34</v>
      </c>
      <c r="O21" s="95">
        <v>25</v>
      </c>
      <c r="R21" s="253"/>
      <c r="AK21" s="75" t="s">
        <v>533</v>
      </c>
      <c r="AL21" s="75">
        <v>11</v>
      </c>
      <c r="AM21" s="75">
        <v>30</v>
      </c>
    </row>
    <row r="22" spans="2:40" ht="36" customHeight="1" x14ac:dyDescent="0.25">
      <c r="B22" s="268" t="s">
        <v>609</v>
      </c>
      <c r="F22" s="255" t="s">
        <v>113</v>
      </c>
      <c r="G22" s="256">
        <v>22</v>
      </c>
      <c r="J22" s="257" t="s">
        <v>13</v>
      </c>
      <c r="K22" s="258" t="s">
        <v>35</v>
      </c>
      <c r="M22" s="249" t="s">
        <v>1251</v>
      </c>
      <c r="O22" s="95">
        <v>30</v>
      </c>
      <c r="R22" s="259"/>
      <c r="AK22" s="75" t="s">
        <v>534</v>
      </c>
      <c r="AL22" s="75">
        <v>12</v>
      </c>
      <c r="AM22" s="75">
        <v>31</v>
      </c>
    </row>
    <row r="23" spans="2:40" ht="24" x14ac:dyDescent="0.25">
      <c r="B23" s="268" t="s">
        <v>1397</v>
      </c>
      <c r="F23" s="250" t="s">
        <v>142</v>
      </c>
      <c r="G23" s="251">
        <v>23</v>
      </c>
      <c r="J23" s="257" t="s">
        <v>13</v>
      </c>
      <c r="K23" s="258" t="s">
        <v>634</v>
      </c>
      <c r="M23" s="254" t="s">
        <v>1252</v>
      </c>
      <c r="R23" s="260"/>
      <c r="AK23" s="221"/>
    </row>
    <row r="24" spans="2:40" ht="15.75" x14ac:dyDescent="0.25">
      <c r="B24" s="270"/>
      <c r="F24" s="255" t="s">
        <v>155</v>
      </c>
      <c r="G24" s="256">
        <v>24</v>
      </c>
      <c r="J24" s="257" t="s">
        <v>13</v>
      </c>
      <c r="K24" s="258" t="s">
        <v>24</v>
      </c>
      <c r="M24" s="75" t="s">
        <v>1423</v>
      </c>
      <c r="AL24" s="1407">
        <f>DATE('Ввод исходных данных'!E240,VLOOKUP('Ввод исходных данных'!D240,списки!AK11:AM22,2,0),VLOOKUP('Ввод исходных данных'!D240,списки!AK11:AM22,3,0))</f>
        <v>42886</v>
      </c>
      <c r="AM24" s="1407"/>
    </row>
    <row r="25" spans="2:40" ht="15.75" x14ac:dyDescent="0.25">
      <c r="B25" s="270"/>
      <c r="F25" s="250" t="s">
        <v>159</v>
      </c>
      <c r="G25" s="251">
        <v>25</v>
      </c>
      <c r="J25" s="257" t="s">
        <v>13</v>
      </c>
      <c r="K25" s="258" t="s">
        <v>25</v>
      </c>
      <c r="R25" s="271"/>
      <c r="AN25" s="221"/>
    </row>
    <row r="26" spans="2:40" s="221" customFormat="1" ht="15.75" x14ac:dyDescent="0.25">
      <c r="B26" s="270"/>
      <c r="C26" s="75"/>
      <c r="D26" s="75"/>
      <c r="F26" s="255" t="s">
        <v>165</v>
      </c>
      <c r="G26" s="256">
        <v>26</v>
      </c>
      <c r="J26" s="257" t="s">
        <v>13</v>
      </c>
      <c r="K26" s="258" t="s">
        <v>29</v>
      </c>
      <c r="M26" s="75"/>
      <c r="N26" s="75"/>
      <c r="O26" s="75"/>
      <c r="P26" s="75"/>
      <c r="Q26" s="75"/>
      <c r="R26" s="75"/>
      <c r="S26" s="75"/>
      <c r="T26" s="75"/>
      <c r="AK26" s="75"/>
      <c r="AN26" s="75"/>
    </row>
    <row r="27" spans="2:40" ht="15.75" x14ac:dyDescent="0.25">
      <c r="B27" s="270"/>
      <c r="F27" s="272" t="s">
        <v>182</v>
      </c>
      <c r="G27" s="251">
        <v>27</v>
      </c>
      <c r="J27" s="257" t="s">
        <v>13</v>
      </c>
      <c r="K27" s="258" t="s">
        <v>27</v>
      </c>
      <c r="M27" s="249" t="s">
        <v>1255</v>
      </c>
      <c r="R27" s="248"/>
    </row>
    <row r="28" spans="2:40" ht="15.75" x14ac:dyDescent="0.25">
      <c r="B28" s="270"/>
      <c r="F28" s="255" t="s">
        <v>49</v>
      </c>
      <c r="G28" s="256">
        <v>28</v>
      </c>
      <c r="J28" s="257" t="s">
        <v>13</v>
      </c>
      <c r="K28" s="258" t="s">
        <v>28</v>
      </c>
      <c r="M28" s="254" t="s">
        <v>1269</v>
      </c>
      <c r="R28" s="253"/>
    </row>
    <row r="29" spans="2:40" ht="15.75" customHeight="1" x14ac:dyDescent="0.25">
      <c r="F29" s="250" t="s">
        <v>185</v>
      </c>
      <c r="G29" s="251">
        <v>29</v>
      </c>
      <c r="J29" s="257" t="s">
        <v>13</v>
      </c>
      <c r="K29" s="258" t="s">
        <v>30</v>
      </c>
      <c r="M29" s="75" t="s">
        <v>1253</v>
      </c>
      <c r="R29" s="260"/>
    </row>
    <row r="30" spans="2:40" ht="24" x14ac:dyDescent="0.25">
      <c r="B30" s="1524" t="s">
        <v>1527</v>
      </c>
      <c r="C30" s="1524"/>
      <c r="D30" s="1524"/>
      <c r="F30" s="255" t="s">
        <v>188</v>
      </c>
      <c r="G30" s="256">
        <v>30</v>
      </c>
      <c r="J30" s="257" t="s">
        <v>13</v>
      </c>
      <c r="K30" s="258" t="s">
        <v>31</v>
      </c>
      <c r="M30" s="75" t="s">
        <v>1254</v>
      </c>
      <c r="R30" s="260"/>
    </row>
    <row r="31" spans="2:40" ht="15.75" x14ac:dyDescent="0.25">
      <c r="B31" s="95" t="s">
        <v>519</v>
      </c>
      <c r="C31" s="239" t="b">
        <v>0</v>
      </c>
      <c r="D31" s="95">
        <f t="shared" ref="D31:D48" si="0">IF(C31=TRUE,1,0)</f>
        <v>0</v>
      </c>
      <c r="F31" s="250" t="s">
        <v>190</v>
      </c>
      <c r="G31" s="251">
        <v>31</v>
      </c>
      <c r="J31" s="257" t="s">
        <v>13</v>
      </c>
      <c r="K31" s="258" t="s">
        <v>32</v>
      </c>
      <c r="N31" s="101" t="s">
        <v>864</v>
      </c>
      <c r="R31" s="259"/>
    </row>
    <row r="32" spans="2:40" ht="15.75" x14ac:dyDescent="0.25">
      <c r="B32" s="95" t="s">
        <v>521</v>
      </c>
      <c r="C32" s="239" t="b">
        <v>0</v>
      </c>
      <c r="D32" s="95">
        <f t="shared" si="0"/>
        <v>0</v>
      </c>
      <c r="F32" s="255" t="s">
        <v>617</v>
      </c>
      <c r="G32" s="256">
        <v>32</v>
      </c>
      <c r="J32" s="257" t="s">
        <v>13</v>
      </c>
      <c r="K32" s="258" t="s">
        <v>33</v>
      </c>
      <c r="N32" s="254" t="s">
        <v>1271</v>
      </c>
      <c r="R32" s="260"/>
    </row>
    <row r="33" spans="2:25" ht="15.75" x14ac:dyDescent="0.25">
      <c r="B33" s="95" t="s">
        <v>518</v>
      </c>
      <c r="C33" s="239" t="b">
        <v>0</v>
      </c>
      <c r="D33" s="95">
        <f t="shared" si="0"/>
        <v>0</v>
      </c>
      <c r="F33" s="250" t="s">
        <v>52</v>
      </c>
      <c r="G33" s="251">
        <v>33</v>
      </c>
      <c r="J33" s="257" t="s">
        <v>13</v>
      </c>
      <c r="K33" s="258" t="s">
        <v>19</v>
      </c>
      <c r="N33" s="75" t="s">
        <v>1258</v>
      </c>
      <c r="R33" s="259"/>
    </row>
    <row r="34" spans="2:25" ht="15.75" x14ac:dyDescent="0.25">
      <c r="B34" s="95" t="s">
        <v>520</v>
      </c>
      <c r="C34" s="239" t="b">
        <v>0</v>
      </c>
      <c r="D34" s="95">
        <f t="shared" si="0"/>
        <v>0</v>
      </c>
      <c r="F34" s="255" t="s">
        <v>202</v>
      </c>
      <c r="G34" s="256">
        <v>34</v>
      </c>
      <c r="J34" s="257" t="s">
        <v>13</v>
      </c>
      <c r="K34" s="258" t="s">
        <v>26</v>
      </c>
      <c r="N34" s="75" t="s">
        <v>1259</v>
      </c>
    </row>
    <row r="35" spans="2:25" ht="15.75" x14ac:dyDescent="0.25">
      <c r="B35" s="98" t="s">
        <v>1389</v>
      </c>
      <c r="C35" s="273" t="b">
        <v>0</v>
      </c>
      <c r="D35" s="98">
        <f t="shared" si="0"/>
        <v>0</v>
      </c>
      <c r="F35" s="250" t="s">
        <v>618</v>
      </c>
      <c r="G35" s="251">
        <v>35</v>
      </c>
      <c r="J35" s="257" t="s">
        <v>13</v>
      </c>
      <c r="K35" s="258" t="s">
        <v>21</v>
      </c>
      <c r="N35" s="75" t="s">
        <v>1260</v>
      </c>
      <c r="R35" s="248"/>
    </row>
    <row r="36" spans="2:25" ht="15.75" x14ac:dyDescent="0.25">
      <c r="B36" s="98" t="s">
        <v>1390</v>
      </c>
      <c r="C36" s="273" t="b">
        <v>0</v>
      </c>
      <c r="D36" s="98">
        <f t="shared" si="0"/>
        <v>0</v>
      </c>
      <c r="F36" s="255" t="s">
        <v>67</v>
      </c>
      <c r="G36" s="256">
        <v>36</v>
      </c>
      <c r="J36" s="257" t="s">
        <v>36</v>
      </c>
      <c r="K36" s="258" t="s">
        <v>37</v>
      </c>
      <c r="N36" s="75" t="s">
        <v>1264</v>
      </c>
      <c r="R36" s="253"/>
    </row>
    <row r="37" spans="2:25" ht="15.75" x14ac:dyDescent="0.25">
      <c r="B37" s="98" t="s">
        <v>1391</v>
      </c>
      <c r="C37" s="273" t="b">
        <v>0</v>
      </c>
      <c r="D37" s="98">
        <f t="shared" si="0"/>
        <v>0</v>
      </c>
      <c r="F37" s="250" t="s">
        <v>226</v>
      </c>
      <c r="G37" s="251">
        <v>37</v>
      </c>
      <c r="J37" s="257" t="s">
        <v>36</v>
      </c>
      <c r="K37" s="258" t="s">
        <v>38</v>
      </c>
      <c r="N37" s="75" t="s">
        <v>1265</v>
      </c>
      <c r="R37" s="260"/>
    </row>
    <row r="38" spans="2:25" ht="15.75" x14ac:dyDescent="0.25">
      <c r="B38" s="98" t="s">
        <v>1393</v>
      </c>
      <c r="C38" s="273" t="b">
        <v>1</v>
      </c>
      <c r="D38" s="98">
        <f t="shared" si="0"/>
        <v>1</v>
      </c>
      <c r="F38" s="255" t="s">
        <v>229</v>
      </c>
      <c r="G38" s="256">
        <v>38</v>
      </c>
      <c r="J38" s="257" t="s">
        <v>36</v>
      </c>
      <c r="K38" s="258" t="s">
        <v>39</v>
      </c>
      <c r="N38" s="75" t="s">
        <v>1261</v>
      </c>
      <c r="R38" s="260"/>
    </row>
    <row r="39" spans="2:25" ht="15.75" x14ac:dyDescent="0.25">
      <c r="B39" s="98" t="s">
        <v>1394</v>
      </c>
      <c r="C39" s="273" t="b">
        <v>1</v>
      </c>
      <c r="D39" s="98">
        <f t="shared" si="0"/>
        <v>1</v>
      </c>
      <c r="F39" s="250" t="s">
        <v>238</v>
      </c>
      <c r="G39" s="251">
        <v>39</v>
      </c>
      <c r="J39" s="257" t="s">
        <v>36</v>
      </c>
      <c r="K39" s="258" t="s">
        <v>41</v>
      </c>
      <c r="N39" s="75" t="s">
        <v>1262</v>
      </c>
      <c r="R39" s="259"/>
    </row>
    <row r="40" spans="2:25" ht="15.75" x14ac:dyDescent="0.25">
      <c r="B40" s="98" t="s">
        <v>1495</v>
      </c>
      <c r="C40" s="273" t="b">
        <v>0</v>
      </c>
      <c r="D40" s="98">
        <f t="shared" si="0"/>
        <v>0</v>
      </c>
      <c r="F40" s="255" t="s">
        <v>242</v>
      </c>
      <c r="G40" s="256">
        <v>40</v>
      </c>
      <c r="J40" s="257" t="s">
        <v>36</v>
      </c>
      <c r="K40" s="258" t="s">
        <v>40</v>
      </c>
      <c r="N40" s="75" t="s">
        <v>1263</v>
      </c>
      <c r="R40" s="260"/>
    </row>
    <row r="41" spans="2:25" ht="15.75" x14ac:dyDescent="0.25">
      <c r="B41" s="98" t="s">
        <v>1517</v>
      </c>
      <c r="C41" s="273" t="b">
        <v>0</v>
      </c>
      <c r="D41" s="98">
        <f t="shared" si="0"/>
        <v>0</v>
      </c>
      <c r="F41" s="250" t="s">
        <v>246</v>
      </c>
      <c r="G41" s="251">
        <v>41</v>
      </c>
      <c r="J41" s="257" t="s">
        <v>36</v>
      </c>
      <c r="K41" s="258" t="s">
        <v>42</v>
      </c>
      <c r="R41" s="259"/>
    </row>
    <row r="42" spans="2:25" ht="15.75" x14ac:dyDescent="0.25">
      <c r="B42" s="98" t="s">
        <v>1518</v>
      </c>
      <c r="C42" s="273" t="b">
        <v>0</v>
      </c>
      <c r="D42" s="98">
        <f t="shared" si="0"/>
        <v>0</v>
      </c>
      <c r="F42" s="255" t="s">
        <v>248</v>
      </c>
      <c r="G42" s="256">
        <v>42</v>
      </c>
      <c r="J42" s="257" t="s">
        <v>36</v>
      </c>
      <c r="K42" s="258" t="s">
        <v>43</v>
      </c>
    </row>
    <row r="43" spans="2:25" ht="15.75" x14ac:dyDescent="0.25">
      <c r="B43" s="98" t="s">
        <v>1519</v>
      </c>
      <c r="C43" s="273" t="b">
        <v>0</v>
      </c>
      <c r="D43" s="98">
        <f t="shared" si="0"/>
        <v>0</v>
      </c>
      <c r="F43" s="250" t="s">
        <v>619</v>
      </c>
      <c r="G43" s="251">
        <v>43</v>
      </c>
      <c r="J43" s="275" t="s">
        <v>44</v>
      </c>
      <c r="K43" s="267" t="s">
        <v>45</v>
      </c>
      <c r="N43" s="75" t="s">
        <v>801</v>
      </c>
      <c r="R43" s="248"/>
    </row>
    <row r="44" spans="2:25" ht="15.75" x14ac:dyDescent="0.25">
      <c r="B44" s="274" t="s">
        <v>1532</v>
      </c>
      <c r="C44" s="211" t="b">
        <v>0</v>
      </c>
      <c r="D44" s="98">
        <f t="shared" si="0"/>
        <v>0</v>
      </c>
      <c r="F44" s="255" t="s">
        <v>254</v>
      </c>
      <c r="G44" s="256">
        <v>44</v>
      </c>
      <c r="J44" s="275" t="s">
        <v>44</v>
      </c>
      <c r="K44" s="258" t="s">
        <v>46</v>
      </c>
      <c r="N44" s="254" t="s">
        <v>1270</v>
      </c>
      <c r="R44" s="253"/>
    </row>
    <row r="45" spans="2:25" ht="15.75" x14ac:dyDescent="0.25">
      <c r="B45" s="274" t="s">
        <v>1533</v>
      </c>
      <c r="C45" s="211" t="b">
        <v>0</v>
      </c>
      <c r="D45" s="276">
        <f t="shared" si="0"/>
        <v>0</v>
      </c>
      <c r="F45" s="250" t="s">
        <v>265</v>
      </c>
      <c r="G45" s="251">
        <v>45</v>
      </c>
      <c r="J45" s="275" t="s">
        <v>47</v>
      </c>
      <c r="K45" s="258" t="s">
        <v>48</v>
      </c>
      <c r="N45" s="277" t="s">
        <v>1266</v>
      </c>
      <c r="R45" s="259"/>
    </row>
    <row r="46" spans="2:25" ht="15.75" x14ac:dyDescent="0.25">
      <c r="B46" s="95" t="s">
        <v>1540</v>
      </c>
      <c r="C46" s="239" t="b">
        <v>0</v>
      </c>
      <c r="D46" s="276">
        <f t="shared" si="0"/>
        <v>0</v>
      </c>
      <c r="F46" s="255" t="s">
        <v>267</v>
      </c>
      <c r="G46" s="256">
        <v>46</v>
      </c>
      <c r="J46" s="275" t="s">
        <v>50</v>
      </c>
      <c r="K46" s="258" t="s">
        <v>51</v>
      </c>
      <c r="N46" s="277" t="s">
        <v>1267</v>
      </c>
    </row>
    <row r="47" spans="2:25" ht="15.75" x14ac:dyDescent="0.25">
      <c r="B47" s="161" t="s">
        <v>1400</v>
      </c>
      <c r="C47" s="278">
        <f>IF('Ввод исходных данных'!E17=CONCATENATE('Ввод исходных данных'!D14,'Ввод исходных данных'!D19,'Ввод исходных данных'!D17),0,1)</f>
        <v>1</v>
      </c>
      <c r="D47" s="95"/>
      <c r="F47" s="250" t="s">
        <v>620</v>
      </c>
      <c r="G47" s="251">
        <v>47</v>
      </c>
      <c r="J47" s="275" t="s">
        <v>409</v>
      </c>
      <c r="K47" s="258" t="s">
        <v>411</v>
      </c>
    </row>
    <row r="48" spans="2:25" ht="15.75" x14ac:dyDescent="0.25">
      <c r="B48" s="95" t="s">
        <v>1596</v>
      </c>
      <c r="C48" s="239" t="b">
        <v>0</v>
      </c>
      <c r="D48" s="276">
        <f t="shared" si="0"/>
        <v>0</v>
      </c>
      <c r="F48" s="255" t="s">
        <v>269</v>
      </c>
      <c r="G48" s="256">
        <v>48</v>
      </c>
      <c r="J48" s="275" t="s">
        <v>409</v>
      </c>
      <c r="K48" s="258" t="s">
        <v>410</v>
      </c>
      <c r="Y48" s="254" t="s">
        <v>461</v>
      </c>
    </row>
    <row r="49" spans="2:25" ht="15.75" x14ac:dyDescent="0.25">
      <c r="B49" s="95" t="s">
        <v>1535</v>
      </c>
      <c r="C49" s="161">
        <f>IF(OR('Ввод исходных данных'!E289&lt;&gt;"Ошибок нет",AND('Ввод исходных данных'!D23&gt;0,списки!D42&lt;1),AND('Список мероприятий'!$AB$32=0,'Система отопления'!F5=0,'Система отопления'!F6=0)),1,0)</f>
        <v>1</v>
      </c>
      <c r="D49" s="95" t="s">
        <v>1651</v>
      </c>
      <c r="F49" s="250" t="s">
        <v>275</v>
      </c>
      <c r="G49" s="251">
        <v>49</v>
      </c>
      <c r="J49" s="275" t="s">
        <v>293</v>
      </c>
      <c r="K49" s="258" t="s">
        <v>417</v>
      </c>
      <c r="N49" s="101"/>
      <c r="Y49" s="75" t="s">
        <v>1905</v>
      </c>
    </row>
    <row r="50" spans="2:25" ht="15.75" x14ac:dyDescent="0.25">
      <c r="B50" s="95" t="s">
        <v>1536</v>
      </c>
      <c r="C50" s="161">
        <f>IF(OR(SUM('Список мероприятий'!Z6:Z77)&gt;0),1,0)</f>
        <v>0</v>
      </c>
      <c r="D50" s="95" t="s">
        <v>1912</v>
      </c>
      <c r="F50" s="255" t="s">
        <v>2</v>
      </c>
      <c r="G50" s="256">
        <v>50</v>
      </c>
      <c r="J50" s="275" t="s">
        <v>293</v>
      </c>
      <c r="K50" s="258" t="s">
        <v>413</v>
      </c>
      <c r="N50" s="254"/>
      <c r="Y50" s="75" t="s">
        <v>1906</v>
      </c>
    </row>
    <row r="51" spans="2:25" ht="15.75" x14ac:dyDescent="0.25">
      <c r="B51" s="95" t="s">
        <v>1537</v>
      </c>
      <c r="C51" s="161">
        <f>IF(OR(C49&gt;0,C50&gt;0,C52&gt;0),1,0)</f>
        <v>1</v>
      </c>
      <c r="D51" s="95"/>
      <c r="F51" s="250" t="s">
        <v>68</v>
      </c>
      <c r="G51" s="251">
        <v>51</v>
      </c>
      <c r="J51" s="275" t="s">
        <v>293</v>
      </c>
      <c r="K51" s="267" t="s">
        <v>414</v>
      </c>
      <c r="Y51" s="75" t="s">
        <v>1907</v>
      </c>
    </row>
    <row r="52" spans="2:25" ht="15.75" x14ac:dyDescent="0.25">
      <c r="B52" s="274" t="s">
        <v>1649</v>
      </c>
      <c r="C52" s="75">
        <f>IF(OR(AND('Список мероприятий'!$AB$32=0,'Система отопления'!F5=0,'Система отопления'!F6=0),'Список мероприятий'!AD6&gt;0),1,0)</f>
        <v>1</v>
      </c>
      <c r="D52" s="75" t="s">
        <v>1650</v>
      </c>
      <c r="F52" s="255" t="s">
        <v>98</v>
      </c>
      <c r="G52" s="256">
        <v>52</v>
      </c>
      <c r="J52" s="275" t="s">
        <v>293</v>
      </c>
      <c r="K52" s="258" t="s">
        <v>415</v>
      </c>
    </row>
    <row r="53" spans="2:25" ht="15.75" x14ac:dyDescent="0.25">
      <c r="B53" s="75" t="s">
        <v>1908</v>
      </c>
      <c r="C53" s="75">
        <f>IF(AND(C49=0,C52=0),1,0)</f>
        <v>0</v>
      </c>
      <c r="F53" s="250" t="s">
        <v>458</v>
      </c>
      <c r="G53" s="251">
        <v>53</v>
      </c>
      <c r="J53" s="275" t="s">
        <v>293</v>
      </c>
      <c r="K53" s="258" t="s">
        <v>416</v>
      </c>
    </row>
    <row r="54" spans="2:25" ht="17.25" x14ac:dyDescent="0.25">
      <c r="F54" s="255" t="s">
        <v>329</v>
      </c>
      <c r="G54" s="256">
        <v>54</v>
      </c>
      <c r="J54" s="275" t="s">
        <v>293</v>
      </c>
      <c r="K54" s="267" t="s">
        <v>412</v>
      </c>
      <c r="Y54" s="75" t="s">
        <v>1910</v>
      </c>
    </row>
    <row r="55" spans="2:25" ht="17.25" x14ac:dyDescent="0.25">
      <c r="F55" s="250" t="s">
        <v>145</v>
      </c>
      <c r="G55" s="251">
        <v>55</v>
      </c>
      <c r="J55" s="275" t="s">
        <v>419</v>
      </c>
      <c r="K55" s="258" t="s">
        <v>418</v>
      </c>
      <c r="Y55" s="75" t="s">
        <v>1911</v>
      </c>
    </row>
    <row r="56" spans="2:25" ht="15.75" x14ac:dyDescent="0.25">
      <c r="F56" s="255" t="s">
        <v>197</v>
      </c>
      <c r="G56" s="256">
        <v>56</v>
      </c>
      <c r="J56" s="275" t="s">
        <v>419</v>
      </c>
      <c r="K56" s="258" t="s">
        <v>421</v>
      </c>
    </row>
    <row r="57" spans="2:25" ht="15.75" x14ac:dyDescent="0.25">
      <c r="F57" s="250" t="s">
        <v>288</v>
      </c>
      <c r="G57" s="251">
        <v>57</v>
      </c>
      <c r="J57" s="275" t="s">
        <v>419</v>
      </c>
      <c r="K57" s="258" t="s">
        <v>635</v>
      </c>
    </row>
    <row r="58" spans="2:25" ht="15.75" x14ac:dyDescent="0.25">
      <c r="F58" s="255" t="s">
        <v>336</v>
      </c>
      <c r="G58" s="256">
        <v>58</v>
      </c>
      <c r="J58" s="275" t="s">
        <v>419</v>
      </c>
      <c r="K58" s="258" t="s">
        <v>636</v>
      </c>
    </row>
    <row r="59" spans="2:25" ht="15.75" x14ac:dyDescent="0.25">
      <c r="F59" s="250" t="s">
        <v>621</v>
      </c>
      <c r="G59" s="251">
        <v>59</v>
      </c>
      <c r="J59" s="275" t="s">
        <v>419</v>
      </c>
      <c r="K59" s="258" t="s">
        <v>420</v>
      </c>
    </row>
    <row r="60" spans="2:25" ht="15.75" x14ac:dyDescent="0.25">
      <c r="F60" s="255" t="s">
        <v>381</v>
      </c>
      <c r="G60" s="256">
        <v>60</v>
      </c>
      <c r="J60" s="275" t="s">
        <v>422</v>
      </c>
      <c r="K60" s="267" t="s">
        <v>423</v>
      </c>
    </row>
    <row r="61" spans="2:25" ht="15.75" x14ac:dyDescent="0.25">
      <c r="F61" s="250" t="s">
        <v>622</v>
      </c>
      <c r="G61" s="251">
        <v>61</v>
      </c>
      <c r="J61" s="275" t="s">
        <v>95</v>
      </c>
      <c r="K61" s="258" t="s">
        <v>96</v>
      </c>
    </row>
    <row r="62" spans="2:25" ht="15.75" x14ac:dyDescent="0.25">
      <c r="F62" s="255" t="s">
        <v>623</v>
      </c>
      <c r="G62" s="256">
        <v>62</v>
      </c>
      <c r="J62" s="275" t="s">
        <v>95</v>
      </c>
      <c r="K62" s="267" t="s">
        <v>97</v>
      </c>
    </row>
    <row r="63" spans="2:25" ht="15.75" x14ac:dyDescent="0.25">
      <c r="F63" s="250" t="s">
        <v>291</v>
      </c>
      <c r="G63" s="251">
        <v>63</v>
      </c>
      <c r="J63" s="275" t="s">
        <v>255</v>
      </c>
      <c r="K63" s="258" t="s">
        <v>429</v>
      </c>
    </row>
    <row r="64" spans="2:25" ht="15.75" x14ac:dyDescent="0.25">
      <c r="F64" s="255" t="s">
        <v>294</v>
      </c>
      <c r="G64" s="256">
        <v>64</v>
      </c>
      <c r="J64" s="275" t="s">
        <v>255</v>
      </c>
      <c r="K64" s="267" t="s">
        <v>430</v>
      </c>
    </row>
    <row r="65" spans="6:11" ht="15.75" x14ac:dyDescent="0.25">
      <c r="F65" s="250" t="s">
        <v>307</v>
      </c>
      <c r="G65" s="251">
        <v>65</v>
      </c>
      <c r="J65" s="275" t="s">
        <v>255</v>
      </c>
      <c r="K65" s="258" t="s">
        <v>637</v>
      </c>
    </row>
    <row r="66" spans="6:11" ht="15.75" x14ac:dyDescent="0.25">
      <c r="F66" s="255" t="s">
        <v>624</v>
      </c>
      <c r="G66" s="256">
        <v>66</v>
      </c>
      <c r="J66" s="275" t="s">
        <v>255</v>
      </c>
      <c r="K66" s="258" t="s">
        <v>431</v>
      </c>
    </row>
    <row r="67" spans="6:11" ht="15.75" x14ac:dyDescent="0.25">
      <c r="F67" s="250" t="s">
        <v>249</v>
      </c>
      <c r="G67" s="251">
        <v>67</v>
      </c>
      <c r="J67" s="275" t="s">
        <v>255</v>
      </c>
      <c r="K67" s="258" t="s">
        <v>434</v>
      </c>
    </row>
    <row r="68" spans="6:11" ht="15.75" x14ac:dyDescent="0.25">
      <c r="F68" s="255" t="s">
        <v>296</v>
      </c>
      <c r="G68" s="256">
        <v>68</v>
      </c>
      <c r="J68" s="275" t="s">
        <v>255</v>
      </c>
      <c r="K68" s="258" t="s">
        <v>435</v>
      </c>
    </row>
    <row r="69" spans="6:11" ht="15.75" x14ac:dyDescent="0.25">
      <c r="F69" s="250" t="s">
        <v>320</v>
      </c>
      <c r="G69" s="251">
        <v>69</v>
      </c>
      <c r="J69" s="275" t="s">
        <v>255</v>
      </c>
      <c r="K69" s="258" t="s">
        <v>436</v>
      </c>
    </row>
    <row r="70" spans="6:11" ht="15.75" x14ac:dyDescent="0.25">
      <c r="F70" s="255" t="s">
        <v>312</v>
      </c>
      <c r="G70" s="256">
        <v>70</v>
      </c>
      <c r="J70" s="275" t="s">
        <v>255</v>
      </c>
      <c r="K70" s="258" t="s">
        <v>437</v>
      </c>
    </row>
    <row r="71" spans="6:11" ht="15.75" x14ac:dyDescent="0.25">
      <c r="F71" s="250" t="s">
        <v>314</v>
      </c>
      <c r="G71" s="251">
        <v>71</v>
      </c>
      <c r="J71" s="275" t="s">
        <v>255</v>
      </c>
      <c r="K71" s="258" t="s">
        <v>438</v>
      </c>
    </row>
    <row r="72" spans="6:11" ht="15.75" x14ac:dyDescent="0.25">
      <c r="F72" s="255" t="s">
        <v>326</v>
      </c>
      <c r="G72" s="256">
        <v>72</v>
      </c>
      <c r="J72" s="275" t="s">
        <v>255</v>
      </c>
      <c r="K72" s="258" t="s">
        <v>638</v>
      </c>
    </row>
    <row r="73" spans="6:11" ht="15.75" x14ac:dyDescent="0.25">
      <c r="F73" s="250" t="s">
        <v>392</v>
      </c>
      <c r="G73" s="251">
        <v>73</v>
      </c>
      <c r="J73" s="275" t="s">
        <v>255</v>
      </c>
      <c r="K73" s="258" t="s">
        <v>439</v>
      </c>
    </row>
    <row r="74" spans="6:11" ht="15.75" x14ac:dyDescent="0.25">
      <c r="F74" s="255" t="s">
        <v>55</v>
      </c>
      <c r="G74" s="256">
        <v>74</v>
      </c>
      <c r="J74" s="275" t="s">
        <v>255</v>
      </c>
      <c r="K74" s="258" t="s">
        <v>440</v>
      </c>
    </row>
    <row r="75" spans="6:11" ht="15.75" x14ac:dyDescent="0.25">
      <c r="F75" s="250" t="s">
        <v>389</v>
      </c>
      <c r="G75" s="251">
        <v>75</v>
      </c>
      <c r="J75" s="275" t="s">
        <v>255</v>
      </c>
      <c r="K75" s="267" t="s">
        <v>441</v>
      </c>
    </row>
    <row r="76" spans="6:11" ht="15.75" x14ac:dyDescent="0.25">
      <c r="F76" s="255" t="s">
        <v>396</v>
      </c>
      <c r="G76" s="256">
        <v>76</v>
      </c>
      <c r="J76" s="275" t="s">
        <v>255</v>
      </c>
      <c r="K76" s="258" t="s">
        <v>432</v>
      </c>
    </row>
    <row r="77" spans="6:11" ht="15.75" x14ac:dyDescent="0.25">
      <c r="F77" s="279" t="s">
        <v>625</v>
      </c>
      <c r="G77" s="251">
        <v>77</v>
      </c>
      <c r="J77" s="275" t="s">
        <v>255</v>
      </c>
      <c r="K77" s="258" t="s">
        <v>433</v>
      </c>
    </row>
    <row r="78" spans="6:11" ht="15.75" x14ac:dyDescent="0.25">
      <c r="F78" s="255" t="s">
        <v>406</v>
      </c>
      <c r="G78" s="256">
        <v>78</v>
      </c>
      <c r="J78" s="275" t="s">
        <v>91</v>
      </c>
      <c r="K78" s="267" t="s">
        <v>92</v>
      </c>
    </row>
    <row r="79" spans="6:11" ht="15.75" x14ac:dyDescent="0.25">
      <c r="F79" s="250" t="s">
        <v>121</v>
      </c>
      <c r="G79" s="251">
        <v>79</v>
      </c>
      <c r="J79" s="275" t="s">
        <v>91</v>
      </c>
      <c r="K79" s="258" t="s">
        <v>93</v>
      </c>
    </row>
    <row r="80" spans="6:11" ht="15.75" x14ac:dyDescent="0.25">
      <c r="F80" s="255" t="s">
        <v>626</v>
      </c>
      <c r="G80" s="256">
        <v>80</v>
      </c>
      <c r="J80" s="275" t="s">
        <v>71</v>
      </c>
      <c r="K80" s="258" t="s">
        <v>72</v>
      </c>
    </row>
    <row r="81" spans="6:11" ht="15.75" x14ac:dyDescent="0.25">
      <c r="F81" s="250" t="s">
        <v>53</v>
      </c>
      <c r="G81" s="251">
        <v>81</v>
      </c>
      <c r="J81" s="275" t="s">
        <v>71</v>
      </c>
      <c r="K81" s="258" t="s">
        <v>73</v>
      </c>
    </row>
    <row r="82" spans="6:11" ht="15.75" x14ac:dyDescent="0.25">
      <c r="F82" s="255" t="s">
        <v>627</v>
      </c>
      <c r="G82" s="256">
        <v>82</v>
      </c>
      <c r="J82" s="275" t="s">
        <v>71</v>
      </c>
      <c r="K82" s="258" t="s">
        <v>74</v>
      </c>
    </row>
    <row r="83" spans="6:11" ht="15.75" x14ac:dyDescent="0.25">
      <c r="F83" s="250" t="s">
        <v>628</v>
      </c>
      <c r="G83" s="251">
        <v>83</v>
      </c>
      <c r="J83" s="275" t="s">
        <v>71</v>
      </c>
      <c r="K83" s="258" t="s">
        <v>88</v>
      </c>
    </row>
    <row r="84" spans="6:11" ht="15.75" x14ac:dyDescent="0.25">
      <c r="F84" s="255" t="s">
        <v>58</v>
      </c>
      <c r="G84" s="256">
        <v>84</v>
      </c>
      <c r="J84" s="275" t="s">
        <v>71</v>
      </c>
      <c r="K84" s="258" t="s">
        <v>639</v>
      </c>
    </row>
    <row r="85" spans="6:11" ht="15.75" x14ac:dyDescent="0.25">
      <c r="F85" s="250" t="s">
        <v>629</v>
      </c>
      <c r="G85" s="251">
        <v>85</v>
      </c>
      <c r="J85" s="275" t="s">
        <v>71</v>
      </c>
      <c r="K85" s="267" t="s">
        <v>89</v>
      </c>
    </row>
    <row r="86" spans="6:11" ht="15.75" x14ac:dyDescent="0.25">
      <c r="F86" s="75" t="s">
        <v>427</v>
      </c>
      <c r="G86" s="256">
        <v>86</v>
      </c>
      <c r="J86" s="275" t="s">
        <v>71</v>
      </c>
      <c r="K86" s="258" t="s">
        <v>90</v>
      </c>
    </row>
    <row r="87" spans="6:11" ht="15.75" x14ac:dyDescent="0.25">
      <c r="F87" s="75" t="s">
        <v>630</v>
      </c>
      <c r="G87" s="251">
        <v>87</v>
      </c>
      <c r="J87" s="275" t="s">
        <v>71</v>
      </c>
      <c r="K87" s="258" t="s">
        <v>640</v>
      </c>
    </row>
    <row r="88" spans="6:11" ht="15.75" x14ac:dyDescent="0.25">
      <c r="F88" s="75" t="s">
        <v>631</v>
      </c>
      <c r="G88" s="256">
        <v>88</v>
      </c>
      <c r="J88" s="275" t="s">
        <v>71</v>
      </c>
      <c r="K88" s="258" t="s">
        <v>76</v>
      </c>
    </row>
    <row r="89" spans="6:11" ht="15.75" x14ac:dyDescent="0.25">
      <c r="J89" s="275" t="s">
        <v>71</v>
      </c>
      <c r="K89" s="258" t="s">
        <v>641</v>
      </c>
    </row>
    <row r="90" spans="6:11" ht="15.75" x14ac:dyDescent="0.25">
      <c r="J90" s="275" t="s">
        <v>71</v>
      </c>
      <c r="K90" s="258" t="s">
        <v>77</v>
      </c>
    </row>
    <row r="91" spans="6:11" ht="15.75" x14ac:dyDescent="0.25">
      <c r="J91" s="275" t="s">
        <v>71</v>
      </c>
      <c r="K91" s="267" t="s">
        <v>75</v>
      </c>
    </row>
    <row r="92" spans="6:11" ht="15.75" x14ac:dyDescent="0.25">
      <c r="J92" s="275" t="s">
        <v>71</v>
      </c>
      <c r="K92" s="258" t="s">
        <v>78</v>
      </c>
    </row>
    <row r="93" spans="6:11" ht="15.75" x14ac:dyDescent="0.25">
      <c r="J93" s="275" t="s">
        <v>71</v>
      </c>
      <c r="K93" s="267" t="s">
        <v>79</v>
      </c>
    </row>
    <row r="94" spans="6:11" ht="15.75" x14ac:dyDescent="0.25">
      <c r="J94" s="275" t="s">
        <v>71</v>
      </c>
      <c r="K94" s="258" t="s">
        <v>62</v>
      </c>
    </row>
    <row r="95" spans="6:11" ht="15.75" x14ac:dyDescent="0.25">
      <c r="J95" s="275" t="s">
        <v>71</v>
      </c>
      <c r="K95" s="258" t="s">
        <v>642</v>
      </c>
    </row>
    <row r="96" spans="6:11" ht="15.75" x14ac:dyDescent="0.25">
      <c r="J96" s="275" t="s">
        <v>71</v>
      </c>
      <c r="K96" s="267" t="s">
        <v>81</v>
      </c>
    </row>
    <row r="97" spans="10:11" ht="15.75" x14ac:dyDescent="0.25">
      <c r="J97" s="275" t="s">
        <v>71</v>
      </c>
      <c r="K97" s="258" t="s">
        <v>80</v>
      </c>
    </row>
    <row r="98" spans="10:11" ht="15.75" x14ac:dyDescent="0.25">
      <c r="J98" s="275" t="s">
        <v>71</v>
      </c>
      <c r="K98" s="258" t="s">
        <v>82</v>
      </c>
    </row>
    <row r="99" spans="10:11" ht="15.75" x14ac:dyDescent="0.25">
      <c r="J99" s="275" t="s">
        <v>71</v>
      </c>
      <c r="K99" s="258" t="s">
        <v>83</v>
      </c>
    </row>
    <row r="100" spans="10:11" ht="15.75" x14ac:dyDescent="0.25">
      <c r="J100" s="275" t="s">
        <v>71</v>
      </c>
      <c r="K100" s="267" t="s">
        <v>84</v>
      </c>
    </row>
    <row r="101" spans="10:11" ht="15.75" x14ac:dyDescent="0.25">
      <c r="J101" s="275" t="s">
        <v>71</v>
      </c>
      <c r="K101" s="258" t="s">
        <v>643</v>
      </c>
    </row>
    <row r="102" spans="10:11" ht="15.75" x14ac:dyDescent="0.25">
      <c r="J102" s="275" t="s">
        <v>71</v>
      </c>
      <c r="K102" s="258" t="s">
        <v>85</v>
      </c>
    </row>
    <row r="103" spans="10:11" ht="15.75" x14ac:dyDescent="0.25">
      <c r="J103" s="275" t="s">
        <v>71</v>
      </c>
      <c r="K103" s="258" t="s">
        <v>86</v>
      </c>
    </row>
    <row r="104" spans="10:11" ht="15.75" x14ac:dyDescent="0.25">
      <c r="J104" s="275" t="s">
        <v>71</v>
      </c>
      <c r="K104" s="258" t="s">
        <v>87</v>
      </c>
    </row>
    <row r="105" spans="10:11" ht="15.75" x14ac:dyDescent="0.25">
      <c r="J105" s="275" t="s">
        <v>71</v>
      </c>
      <c r="K105" s="267" t="s">
        <v>644</v>
      </c>
    </row>
    <row r="106" spans="10:11" ht="15.75" x14ac:dyDescent="0.25">
      <c r="J106" s="275" t="s">
        <v>614</v>
      </c>
      <c r="K106" s="258" t="s">
        <v>99</v>
      </c>
    </row>
    <row r="107" spans="10:11" ht="15.75" x14ac:dyDescent="0.25">
      <c r="J107" s="275" t="s">
        <v>100</v>
      </c>
      <c r="K107" s="258" t="s">
        <v>101</v>
      </c>
    </row>
    <row r="108" spans="10:11" ht="15.75" x14ac:dyDescent="0.25">
      <c r="J108" s="275" t="s">
        <v>102</v>
      </c>
      <c r="K108" s="258" t="s">
        <v>103</v>
      </c>
    </row>
    <row r="109" spans="10:11" ht="15.75" x14ac:dyDescent="0.25">
      <c r="J109" s="275" t="s">
        <v>615</v>
      </c>
      <c r="K109" s="258" t="s">
        <v>645</v>
      </c>
    </row>
    <row r="110" spans="10:11" ht="15.75" x14ac:dyDescent="0.25">
      <c r="J110" s="275" t="s">
        <v>615</v>
      </c>
      <c r="K110" s="258" t="s">
        <v>646</v>
      </c>
    </row>
    <row r="111" spans="10:11" ht="15.75" x14ac:dyDescent="0.25">
      <c r="J111" s="275" t="s">
        <v>615</v>
      </c>
      <c r="K111" s="258" t="s">
        <v>104</v>
      </c>
    </row>
    <row r="112" spans="10:11" ht="15.75" x14ac:dyDescent="0.25">
      <c r="J112" s="275" t="s">
        <v>615</v>
      </c>
      <c r="K112" s="258" t="s">
        <v>105</v>
      </c>
    </row>
    <row r="113" spans="10:11" ht="15.75" x14ac:dyDescent="0.25">
      <c r="J113" s="275" t="s">
        <v>615</v>
      </c>
      <c r="K113" s="258" t="s">
        <v>647</v>
      </c>
    </row>
    <row r="114" spans="10:11" ht="15.75" x14ac:dyDescent="0.25">
      <c r="J114" s="275" t="s">
        <v>615</v>
      </c>
      <c r="K114" s="258" t="s">
        <v>106</v>
      </c>
    </row>
    <row r="115" spans="10:11" ht="15.75" x14ac:dyDescent="0.25">
      <c r="J115" s="275" t="s">
        <v>615</v>
      </c>
      <c r="K115" s="258" t="s">
        <v>648</v>
      </c>
    </row>
    <row r="116" spans="10:11" ht="15.75" x14ac:dyDescent="0.25">
      <c r="J116" s="275" t="s">
        <v>615</v>
      </c>
      <c r="K116" s="258" t="s">
        <v>649</v>
      </c>
    </row>
    <row r="117" spans="10:11" ht="15.75" x14ac:dyDescent="0.25">
      <c r="J117" s="275" t="s">
        <v>615</v>
      </c>
      <c r="K117" s="258" t="s">
        <v>107</v>
      </c>
    </row>
    <row r="118" spans="10:11" ht="15.75" x14ac:dyDescent="0.25">
      <c r="J118" s="275" t="s">
        <v>615</v>
      </c>
      <c r="K118" s="258" t="s">
        <v>650</v>
      </c>
    </row>
    <row r="119" spans="10:11" ht="15.75" x14ac:dyDescent="0.25">
      <c r="J119" s="275" t="s">
        <v>615</v>
      </c>
      <c r="K119" s="258" t="s">
        <v>108</v>
      </c>
    </row>
    <row r="120" spans="10:11" ht="15.75" x14ac:dyDescent="0.25">
      <c r="J120" s="275" t="s">
        <v>615</v>
      </c>
      <c r="K120" s="258" t="s">
        <v>651</v>
      </c>
    </row>
    <row r="121" spans="10:11" ht="15.75" x14ac:dyDescent="0.25">
      <c r="J121" s="275" t="s">
        <v>615</v>
      </c>
      <c r="K121" s="258" t="s">
        <v>652</v>
      </c>
    </row>
    <row r="122" spans="10:11" ht="15.75" x14ac:dyDescent="0.25">
      <c r="J122" s="275" t="s">
        <v>615</v>
      </c>
      <c r="K122" s="258" t="s">
        <v>109</v>
      </c>
    </row>
    <row r="123" spans="10:11" ht="15.75" x14ac:dyDescent="0.25">
      <c r="J123" s="275" t="s">
        <v>615</v>
      </c>
      <c r="K123" s="258" t="s">
        <v>110</v>
      </c>
    </row>
    <row r="124" spans="10:11" ht="15.75" x14ac:dyDescent="0.25">
      <c r="J124" s="275" t="s">
        <v>615</v>
      </c>
      <c r="K124" s="258" t="s">
        <v>111</v>
      </c>
    </row>
    <row r="125" spans="10:11" ht="15.75" x14ac:dyDescent="0.25">
      <c r="J125" s="275" t="s">
        <v>615</v>
      </c>
      <c r="K125" s="267" t="s">
        <v>653</v>
      </c>
    </row>
    <row r="126" spans="10:11" ht="15.75" x14ac:dyDescent="0.25">
      <c r="J126" s="275" t="s">
        <v>615</v>
      </c>
      <c r="K126" s="258" t="s">
        <v>654</v>
      </c>
    </row>
    <row r="127" spans="10:11" ht="15.75" x14ac:dyDescent="0.25">
      <c r="J127" s="275" t="s">
        <v>615</v>
      </c>
      <c r="K127" s="280" t="s">
        <v>655</v>
      </c>
    </row>
    <row r="128" spans="10:11" ht="15.75" x14ac:dyDescent="0.25">
      <c r="J128" s="275" t="s">
        <v>616</v>
      </c>
      <c r="K128" s="267" t="s">
        <v>112</v>
      </c>
    </row>
    <row r="129" spans="10:11" ht="15.75" x14ac:dyDescent="0.25">
      <c r="J129" s="275" t="s">
        <v>113</v>
      </c>
      <c r="K129" s="258" t="s">
        <v>114</v>
      </c>
    </row>
    <row r="130" spans="10:11" ht="15.75" x14ac:dyDescent="0.25">
      <c r="J130" s="275" t="s">
        <v>113</v>
      </c>
      <c r="K130" s="267" t="s">
        <v>115</v>
      </c>
    </row>
    <row r="131" spans="10:11" ht="15.75" x14ac:dyDescent="0.25">
      <c r="J131" s="275" t="s">
        <v>113</v>
      </c>
      <c r="K131" s="258" t="s">
        <v>116</v>
      </c>
    </row>
    <row r="132" spans="10:11" ht="15.75" x14ac:dyDescent="0.25">
      <c r="J132" s="275" t="s">
        <v>113</v>
      </c>
      <c r="K132" s="267" t="s">
        <v>117</v>
      </c>
    </row>
    <row r="133" spans="10:11" ht="15.75" x14ac:dyDescent="0.25">
      <c r="J133" s="275" t="s">
        <v>113</v>
      </c>
      <c r="K133" s="258" t="s">
        <v>118</v>
      </c>
    </row>
    <row r="134" spans="10:11" ht="15.75" x14ac:dyDescent="0.25">
      <c r="J134" s="275" t="s">
        <v>113</v>
      </c>
      <c r="K134" s="267" t="s">
        <v>656</v>
      </c>
    </row>
    <row r="135" spans="10:11" ht="15.75" x14ac:dyDescent="0.25">
      <c r="J135" s="275" t="s">
        <v>113</v>
      </c>
      <c r="K135" s="281" t="s">
        <v>119</v>
      </c>
    </row>
    <row r="136" spans="10:11" ht="15.75" x14ac:dyDescent="0.25">
      <c r="J136" s="275" t="s">
        <v>113</v>
      </c>
      <c r="K136" s="281" t="s">
        <v>120</v>
      </c>
    </row>
    <row r="137" spans="10:11" ht="15.75" x14ac:dyDescent="0.25">
      <c r="J137" s="275" t="s">
        <v>142</v>
      </c>
      <c r="K137" s="280" t="s">
        <v>144</v>
      </c>
    </row>
    <row r="138" spans="10:11" ht="15.75" x14ac:dyDescent="0.25">
      <c r="J138" s="275" t="s">
        <v>142</v>
      </c>
      <c r="K138" s="280" t="s">
        <v>657</v>
      </c>
    </row>
    <row r="139" spans="10:11" ht="15.75" x14ac:dyDescent="0.25">
      <c r="J139" s="275" t="s">
        <v>142</v>
      </c>
      <c r="K139" s="280" t="s">
        <v>143</v>
      </c>
    </row>
    <row r="140" spans="10:11" ht="15.75" x14ac:dyDescent="0.25">
      <c r="J140" s="275" t="s">
        <v>155</v>
      </c>
      <c r="K140" s="280" t="s">
        <v>157</v>
      </c>
    </row>
    <row r="141" spans="10:11" ht="15.75" x14ac:dyDescent="0.25">
      <c r="J141" s="275" t="s">
        <v>155</v>
      </c>
      <c r="K141" s="280" t="s">
        <v>156</v>
      </c>
    </row>
    <row r="142" spans="10:11" ht="15.75" x14ac:dyDescent="0.25">
      <c r="J142" s="275" t="s">
        <v>155</v>
      </c>
      <c r="K142" s="280" t="s">
        <v>158</v>
      </c>
    </row>
    <row r="143" spans="10:11" ht="15.75" x14ac:dyDescent="0.25">
      <c r="J143" s="275" t="s">
        <v>159</v>
      </c>
      <c r="K143" s="280" t="s">
        <v>160</v>
      </c>
    </row>
    <row r="144" spans="10:11" ht="15.75" x14ac:dyDescent="0.25">
      <c r="J144" s="275" t="s">
        <v>159</v>
      </c>
      <c r="K144" s="280" t="s">
        <v>161</v>
      </c>
    </row>
    <row r="145" spans="10:11" ht="15.75" x14ac:dyDescent="0.25">
      <c r="J145" s="275" t="s">
        <v>159</v>
      </c>
      <c r="K145" s="280" t="s">
        <v>162</v>
      </c>
    </row>
    <row r="146" spans="10:11" ht="15.75" x14ac:dyDescent="0.25">
      <c r="J146" s="275" t="s">
        <v>159</v>
      </c>
      <c r="K146" s="280" t="s">
        <v>163</v>
      </c>
    </row>
    <row r="147" spans="10:11" ht="15.75" x14ac:dyDescent="0.25">
      <c r="J147" s="275" t="s">
        <v>159</v>
      </c>
      <c r="K147" s="280" t="s">
        <v>164</v>
      </c>
    </row>
    <row r="148" spans="10:11" ht="15.75" x14ac:dyDescent="0.25">
      <c r="J148" s="275" t="s">
        <v>165</v>
      </c>
      <c r="K148" s="280" t="s">
        <v>167</v>
      </c>
    </row>
    <row r="149" spans="10:11" ht="15.75" x14ac:dyDescent="0.25">
      <c r="J149" s="275" t="s">
        <v>165</v>
      </c>
      <c r="K149" s="280" t="s">
        <v>166</v>
      </c>
    </row>
    <row r="150" spans="10:11" ht="15.75" x14ac:dyDescent="0.25">
      <c r="J150" s="275" t="s">
        <v>165</v>
      </c>
      <c r="K150" s="280" t="s">
        <v>658</v>
      </c>
    </row>
    <row r="151" spans="10:11" ht="15.75" x14ac:dyDescent="0.25">
      <c r="J151" s="275" t="s">
        <v>165</v>
      </c>
      <c r="K151" s="280" t="s">
        <v>168</v>
      </c>
    </row>
    <row r="152" spans="10:11" ht="15.75" x14ac:dyDescent="0.25">
      <c r="J152" s="275" t="s">
        <v>165</v>
      </c>
      <c r="K152" s="280" t="s">
        <v>169</v>
      </c>
    </row>
    <row r="153" spans="10:11" ht="15.75" x14ac:dyDescent="0.25">
      <c r="J153" s="275" t="s">
        <v>165</v>
      </c>
      <c r="K153" s="280" t="s">
        <v>659</v>
      </c>
    </row>
    <row r="154" spans="10:11" ht="15.75" x14ac:dyDescent="0.25">
      <c r="J154" s="275" t="s">
        <v>165</v>
      </c>
      <c r="K154" s="267" t="s">
        <v>178</v>
      </c>
    </row>
    <row r="155" spans="10:11" ht="15.75" x14ac:dyDescent="0.25">
      <c r="J155" s="275" t="s">
        <v>165</v>
      </c>
      <c r="K155" s="280" t="s">
        <v>179</v>
      </c>
    </row>
    <row r="156" spans="10:11" ht="15.75" x14ac:dyDescent="0.25">
      <c r="J156" s="275" t="s">
        <v>165</v>
      </c>
      <c r="K156" s="267" t="s">
        <v>180</v>
      </c>
    </row>
    <row r="157" spans="10:11" ht="15.75" x14ac:dyDescent="0.25">
      <c r="J157" s="275" t="s">
        <v>165</v>
      </c>
      <c r="K157" s="258" t="s">
        <v>660</v>
      </c>
    </row>
    <row r="158" spans="10:11" ht="15.75" x14ac:dyDescent="0.25">
      <c r="J158" s="275" t="s">
        <v>165</v>
      </c>
      <c r="K158" s="258" t="s">
        <v>661</v>
      </c>
    </row>
    <row r="159" spans="10:11" ht="15.75" x14ac:dyDescent="0.25">
      <c r="J159" s="275" t="s">
        <v>165</v>
      </c>
      <c r="K159" s="258" t="s">
        <v>170</v>
      </c>
    </row>
    <row r="160" spans="10:11" ht="15.75" x14ac:dyDescent="0.25">
      <c r="J160" s="275" t="s">
        <v>165</v>
      </c>
      <c r="K160" s="258" t="s">
        <v>662</v>
      </c>
    </row>
    <row r="161" spans="10:11" ht="15.75" x14ac:dyDescent="0.25">
      <c r="J161" s="275" t="s">
        <v>165</v>
      </c>
      <c r="K161" s="258" t="s">
        <v>171</v>
      </c>
    </row>
    <row r="162" spans="10:11" ht="15.75" x14ac:dyDescent="0.25">
      <c r="J162" s="275" t="s">
        <v>165</v>
      </c>
      <c r="K162" s="258" t="s">
        <v>172</v>
      </c>
    </row>
    <row r="163" spans="10:11" ht="15.75" x14ac:dyDescent="0.25">
      <c r="J163" s="275" t="s">
        <v>165</v>
      </c>
      <c r="K163" s="258" t="s">
        <v>173</v>
      </c>
    </row>
    <row r="164" spans="10:11" ht="15.75" x14ac:dyDescent="0.25">
      <c r="J164" s="275" t="s">
        <v>165</v>
      </c>
      <c r="K164" s="267" t="s">
        <v>104</v>
      </c>
    </row>
    <row r="165" spans="10:11" ht="15.75" x14ac:dyDescent="0.25">
      <c r="J165" s="275" t="s">
        <v>165</v>
      </c>
      <c r="K165" s="258" t="s">
        <v>174</v>
      </c>
    </row>
    <row r="166" spans="10:11" ht="15.75" x14ac:dyDescent="0.25">
      <c r="J166" s="275" t="s">
        <v>165</v>
      </c>
      <c r="K166" s="258" t="s">
        <v>175</v>
      </c>
    </row>
    <row r="167" spans="10:11" ht="15.75" x14ac:dyDescent="0.25">
      <c r="J167" s="275" t="s">
        <v>165</v>
      </c>
      <c r="K167" s="258" t="s">
        <v>176</v>
      </c>
    </row>
    <row r="168" spans="10:11" ht="15.75" x14ac:dyDescent="0.25">
      <c r="J168" s="275" t="s">
        <v>165</v>
      </c>
      <c r="K168" s="258" t="s">
        <v>140</v>
      </c>
    </row>
    <row r="169" spans="10:11" ht="15.75" x14ac:dyDescent="0.25">
      <c r="J169" s="275" t="s">
        <v>165</v>
      </c>
      <c r="K169" s="258" t="s">
        <v>663</v>
      </c>
    </row>
    <row r="170" spans="10:11" ht="15.75" x14ac:dyDescent="0.25">
      <c r="J170" s="275" t="s">
        <v>165</v>
      </c>
      <c r="K170" s="258" t="s">
        <v>177</v>
      </c>
    </row>
    <row r="171" spans="10:11" ht="15.75" x14ac:dyDescent="0.25">
      <c r="J171" s="275" t="s">
        <v>165</v>
      </c>
      <c r="K171" s="258" t="s">
        <v>664</v>
      </c>
    </row>
    <row r="172" spans="10:11" ht="15.75" x14ac:dyDescent="0.25">
      <c r="J172" s="275" t="s">
        <v>165</v>
      </c>
      <c r="K172" s="258" t="s">
        <v>665</v>
      </c>
    </row>
    <row r="173" spans="10:11" ht="15.75" x14ac:dyDescent="0.25">
      <c r="J173" s="275" t="s">
        <v>165</v>
      </c>
      <c r="K173" s="267" t="s">
        <v>181</v>
      </c>
    </row>
    <row r="174" spans="10:11" ht="15.75" x14ac:dyDescent="0.25">
      <c r="J174" s="275" t="s">
        <v>182</v>
      </c>
      <c r="K174" s="258" t="s">
        <v>183</v>
      </c>
    </row>
    <row r="175" spans="10:11" ht="15.75" x14ac:dyDescent="0.25">
      <c r="J175" s="275" t="s">
        <v>49</v>
      </c>
      <c r="K175" s="258" t="s">
        <v>184</v>
      </c>
    </row>
    <row r="176" spans="10:11" ht="15.75" x14ac:dyDescent="0.25">
      <c r="J176" s="275" t="s">
        <v>185</v>
      </c>
      <c r="K176" s="258" t="s">
        <v>186</v>
      </c>
    </row>
    <row r="177" spans="10:11" ht="15.75" x14ac:dyDescent="0.25">
      <c r="J177" s="275" t="s">
        <v>185</v>
      </c>
      <c r="K177" s="267" t="s">
        <v>187</v>
      </c>
    </row>
    <row r="178" spans="10:11" ht="15.75" x14ac:dyDescent="0.25">
      <c r="J178" s="275" t="s">
        <v>188</v>
      </c>
      <c r="K178" s="258" t="s">
        <v>189</v>
      </c>
    </row>
    <row r="179" spans="10:11" ht="15.75" x14ac:dyDescent="0.25">
      <c r="J179" s="275" t="s">
        <v>190</v>
      </c>
      <c r="K179" s="258" t="s">
        <v>191</v>
      </c>
    </row>
    <row r="180" spans="10:11" ht="15.75" x14ac:dyDescent="0.25">
      <c r="J180" s="275" t="s">
        <v>190</v>
      </c>
      <c r="K180" s="258" t="s">
        <v>192</v>
      </c>
    </row>
    <row r="181" spans="10:11" ht="15.75" x14ac:dyDescent="0.25">
      <c r="J181" s="275" t="s">
        <v>190</v>
      </c>
      <c r="K181" s="258" t="s">
        <v>666</v>
      </c>
    </row>
    <row r="182" spans="10:11" ht="15.75" x14ac:dyDescent="0.25">
      <c r="J182" s="275" t="s">
        <v>190</v>
      </c>
      <c r="K182" s="258" t="s">
        <v>193</v>
      </c>
    </row>
    <row r="183" spans="10:11" ht="15.75" x14ac:dyDescent="0.25">
      <c r="J183" s="275" t="s">
        <v>190</v>
      </c>
      <c r="K183" s="258" t="s">
        <v>194</v>
      </c>
    </row>
    <row r="184" spans="10:11" ht="15.75" x14ac:dyDescent="0.25">
      <c r="J184" s="275" t="s">
        <v>190</v>
      </c>
      <c r="K184" s="258" t="s">
        <v>195</v>
      </c>
    </row>
    <row r="185" spans="10:11" ht="15.75" x14ac:dyDescent="0.25">
      <c r="J185" s="275" t="s">
        <v>190</v>
      </c>
      <c r="K185" s="258" t="s">
        <v>196</v>
      </c>
    </row>
    <row r="186" spans="10:11" ht="15.75" x14ac:dyDescent="0.25">
      <c r="J186" s="275" t="s">
        <v>617</v>
      </c>
      <c r="K186" s="258" t="s">
        <v>199</v>
      </c>
    </row>
    <row r="187" spans="10:11" ht="15.75" x14ac:dyDescent="0.25">
      <c r="J187" s="275" t="s">
        <v>52</v>
      </c>
      <c r="K187" s="258" t="s">
        <v>200</v>
      </c>
    </row>
    <row r="188" spans="10:11" ht="15.75" x14ac:dyDescent="0.25">
      <c r="J188" s="275" t="s">
        <v>52</v>
      </c>
      <c r="K188" s="258" t="s">
        <v>201</v>
      </c>
    </row>
    <row r="189" spans="10:11" ht="15.75" x14ac:dyDescent="0.25">
      <c r="J189" s="275" t="s">
        <v>202</v>
      </c>
      <c r="K189" s="267" t="s">
        <v>214</v>
      </c>
    </row>
    <row r="190" spans="10:11" ht="15.75" x14ac:dyDescent="0.25">
      <c r="J190" s="275" t="s">
        <v>202</v>
      </c>
      <c r="K190" s="258" t="s">
        <v>203</v>
      </c>
    </row>
    <row r="191" spans="10:11" ht="15.75" x14ac:dyDescent="0.25">
      <c r="J191" s="275" t="s">
        <v>202</v>
      </c>
      <c r="K191" s="258" t="s">
        <v>204</v>
      </c>
    </row>
    <row r="192" spans="10:11" ht="15.75" x14ac:dyDescent="0.25">
      <c r="J192" s="275" t="s">
        <v>202</v>
      </c>
      <c r="K192" s="258" t="s">
        <v>205</v>
      </c>
    </row>
    <row r="193" spans="10:11" ht="15.75" x14ac:dyDescent="0.25">
      <c r="J193" s="275" t="s">
        <v>202</v>
      </c>
      <c r="K193" s="267" t="s">
        <v>206</v>
      </c>
    </row>
    <row r="194" spans="10:11" ht="15.75" x14ac:dyDescent="0.25">
      <c r="J194" s="275" t="s">
        <v>202</v>
      </c>
      <c r="K194" s="258" t="s">
        <v>207</v>
      </c>
    </row>
    <row r="195" spans="10:11" ht="15.75" x14ac:dyDescent="0.25">
      <c r="J195" s="275" t="s">
        <v>202</v>
      </c>
      <c r="K195" s="258" t="s">
        <v>208</v>
      </c>
    </row>
    <row r="196" spans="10:11" ht="15.75" x14ac:dyDescent="0.25">
      <c r="J196" s="275" t="s">
        <v>202</v>
      </c>
      <c r="K196" s="258" t="s">
        <v>667</v>
      </c>
    </row>
    <row r="197" spans="10:11" ht="15.75" x14ac:dyDescent="0.25">
      <c r="J197" s="275" t="s">
        <v>202</v>
      </c>
      <c r="K197" s="258" t="s">
        <v>209</v>
      </c>
    </row>
    <row r="198" spans="10:11" ht="15.75" x14ac:dyDescent="0.25">
      <c r="J198" s="275" t="s">
        <v>202</v>
      </c>
      <c r="K198" s="258" t="s">
        <v>210</v>
      </c>
    </row>
    <row r="199" spans="10:11" ht="15.75" x14ac:dyDescent="0.25">
      <c r="J199" s="275" t="s">
        <v>202</v>
      </c>
      <c r="K199" s="258" t="s">
        <v>212</v>
      </c>
    </row>
    <row r="200" spans="10:11" ht="15.75" x14ac:dyDescent="0.25">
      <c r="J200" s="275" t="s">
        <v>202</v>
      </c>
      <c r="K200" s="280" t="s">
        <v>211</v>
      </c>
    </row>
    <row r="201" spans="10:11" ht="15.75" x14ac:dyDescent="0.25">
      <c r="J201" s="275" t="s">
        <v>202</v>
      </c>
      <c r="K201" s="280" t="s">
        <v>213</v>
      </c>
    </row>
    <row r="202" spans="10:11" ht="15.75" x14ac:dyDescent="0.25">
      <c r="J202" s="275" t="s">
        <v>202</v>
      </c>
      <c r="K202" s="280" t="s">
        <v>215</v>
      </c>
    </row>
    <row r="203" spans="10:11" ht="15.75" x14ac:dyDescent="0.25">
      <c r="J203" s="275" t="s">
        <v>618</v>
      </c>
      <c r="K203" s="280" t="s">
        <v>222</v>
      </c>
    </row>
    <row r="204" spans="10:11" ht="15.75" x14ac:dyDescent="0.25">
      <c r="J204" s="275" t="s">
        <v>618</v>
      </c>
      <c r="K204" s="280" t="s">
        <v>218</v>
      </c>
    </row>
    <row r="205" spans="10:11" ht="15.75" x14ac:dyDescent="0.25">
      <c r="J205" s="275" t="s">
        <v>618</v>
      </c>
      <c r="K205" s="280" t="s">
        <v>219</v>
      </c>
    </row>
    <row r="206" spans="10:11" ht="15.75" x14ac:dyDescent="0.25">
      <c r="J206" s="275" t="s">
        <v>618</v>
      </c>
      <c r="K206" s="280" t="s">
        <v>220</v>
      </c>
    </row>
    <row r="207" spans="10:11" ht="15.75" x14ac:dyDescent="0.25">
      <c r="J207" s="275" t="s">
        <v>618</v>
      </c>
      <c r="K207" s="280" t="s">
        <v>221</v>
      </c>
    </row>
    <row r="208" spans="10:11" ht="15.75" x14ac:dyDescent="0.25">
      <c r="J208" s="275" t="s">
        <v>618</v>
      </c>
      <c r="K208" s="280" t="s">
        <v>216</v>
      </c>
    </row>
    <row r="209" spans="10:11" ht="15.75" x14ac:dyDescent="0.25">
      <c r="J209" s="275" t="s">
        <v>618</v>
      </c>
      <c r="K209" s="280" t="s">
        <v>217</v>
      </c>
    </row>
    <row r="210" spans="10:11" ht="15.75" x14ac:dyDescent="0.25">
      <c r="J210" s="275" t="s">
        <v>67</v>
      </c>
      <c r="K210" s="282" t="s">
        <v>223</v>
      </c>
    </row>
    <row r="211" spans="10:11" ht="15.75" x14ac:dyDescent="0.25">
      <c r="J211" s="275" t="s">
        <v>67</v>
      </c>
      <c r="K211" s="280" t="s">
        <v>225</v>
      </c>
    </row>
    <row r="212" spans="10:11" ht="15.75" x14ac:dyDescent="0.25">
      <c r="J212" s="275" t="s">
        <v>67</v>
      </c>
      <c r="K212" s="280" t="s">
        <v>224</v>
      </c>
    </row>
    <row r="213" spans="10:11" ht="15.75" x14ac:dyDescent="0.25">
      <c r="J213" s="275" t="s">
        <v>226</v>
      </c>
      <c r="K213" s="280" t="s">
        <v>227</v>
      </c>
    </row>
    <row r="214" spans="10:11" ht="15.75" x14ac:dyDescent="0.25">
      <c r="J214" s="275" t="s">
        <v>226</v>
      </c>
      <c r="K214" s="280" t="s">
        <v>228</v>
      </c>
    </row>
    <row r="215" spans="10:11" ht="15.75" x14ac:dyDescent="0.25">
      <c r="J215" s="275" t="s">
        <v>229</v>
      </c>
      <c r="K215" s="280" t="s">
        <v>230</v>
      </c>
    </row>
    <row r="216" spans="10:11" ht="15.75" x14ac:dyDescent="0.25">
      <c r="J216" s="275" t="s">
        <v>229</v>
      </c>
      <c r="K216" s="280" t="s">
        <v>231</v>
      </c>
    </row>
    <row r="217" spans="10:11" ht="15.75" x14ac:dyDescent="0.25">
      <c r="J217" s="275" t="s">
        <v>229</v>
      </c>
      <c r="K217" s="280" t="s">
        <v>668</v>
      </c>
    </row>
    <row r="218" spans="10:11" ht="15.75" x14ac:dyDescent="0.25">
      <c r="J218" s="275" t="s">
        <v>229</v>
      </c>
      <c r="K218" s="280" t="s">
        <v>233</v>
      </c>
    </row>
    <row r="219" spans="10:11" ht="15.75" x14ac:dyDescent="0.25">
      <c r="J219" s="275" t="s">
        <v>229</v>
      </c>
      <c r="K219" s="280" t="s">
        <v>234</v>
      </c>
    </row>
    <row r="220" spans="10:11" ht="15.75" x14ac:dyDescent="0.25">
      <c r="J220" s="275" t="s">
        <v>229</v>
      </c>
      <c r="K220" s="280" t="s">
        <v>235</v>
      </c>
    </row>
    <row r="221" spans="10:11" ht="15.75" x14ac:dyDescent="0.25">
      <c r="J221" s="275" t="s">
        <v>229</v>
      </c>
      <c r="K221" s="280" t="s">
        <v>236</v>
      </c>
    </row>
    <row r="222" spans="10:11" ht="15.75" x14ac:dyDescent="0.25">
      <c r="J222" s="275" t="s">
        <v>229</v>
      </c>
      <c r="K222" s="280" t="s">
        <v>237</v>
      </c>
    </row>
    <row r="223" spans="10:11" ht="15.75" x14ac:dyDescent="0.25">
      <c r="J223" s="275" t="s">
        <v>229</v>
      </c>
      <c r="K223" s="280" t="s">
        <v>232</v>
      </c>
    </row>
    <row r="224" spans="10:11" ht="15.75" x14ac:dyDescent="0.25">
      <c r="J224" s="275" t="s">
        <v>238</v>
      </c>
      <c r="K224" s="280" t="s">
        <v>669</v>
      </c>
    </row>
    <row r="225" spans="10:11" ht="15.75" x14ac:dyDescent="0.25">
      <c r="J225" s="275" t="s">
        <v>238</v>
      </c>
      <c r="K225" s="280" t="s">
        <v>240</v>
      </c>
    </row>
    <row r="226" spans="10:11" ht="15.75" x14ac:dyDescent="0.25">
      <c r="J226" s="275" t="s">
        <v>238</v>
      </c>
      <c r="K226" s="258" t="s">
        <v>241</v>
      </c>
    </row>
    <row r="227" spans="10:11" ht="15.75" x14ac:dyDescent="0.25">
      <c r="J227" s="275" t="s">
        <v>238</v>
      </c>
      <c r="K227" s="258" t="s">
        <v>239</v>
      </c>
    </row>
    <row r="228" spans="10:11" ht="15.75" x14ac:dyDescent="0.25">
      <c r="J228" s="275" t="s">
        <v>242</v>
      </c>
      <c r="K228" s="258" t="s">
        <v>243</v>
      </c>
    </row>
    <row r="229" spans="10:11" ht="15.75" x14ac:dyDescent="0.25">
      <c r="J229" s="275" t="s">
        <v>242</v>
      </c>
      <c r="K229" s="258" t="s">
        <v>244</v>
      </c>
    </row>
    <row r="230" spans="10:11" ht="15.75" x14ac:dyDescent="0.25">
      <c r="J230" s="275" t="s">
        <v>242</v>
      </c>
      <c r="K230" s="258" t="s">
        <v>245</v>
      </c>
    </row>
    <row r="231" spans="10:11" ht="15.75" x14ac:dyDescent="0.25">
      <c r="J231" s="275" t="s">
        <v>246</v>
      </c>
      <c r="K231" s="258" t="s">
        <v>247</v>
      </c>
    </row>
    <row r="232" spans="10:11" ht="15.75" x14ac:dyDescent="0.25">
      <c r="J232" s="275" t="s">
        <v>248</v>
      </c>
      <c r="K232" s="258" t="s">
        <v>670</v>
      </c>
    </row>
    <row r="233" spans="10:11" ht="15.75" x14ac:dyDescent="0.25">
      <c r="J233" s="275" t="s">
        <v>248</v>
      </c>
      <c r="K233" s="258" t="s">
        <v>250</v>
      </c>
    </row>
    <row r="234" spans="10:11" ht="15.75" x14ac:dyDescent="0.25">
      <c r="J234" s="275" t="s">
        <v>619</v>
      </c>
      <c r="K234" s="258" t="s">
        <v>671</v>
      </c>
    </row>
    <row r="235" spans="10:11" ht="15.75" x14ac:dyDescent="0.25">
      <c r="J235" s="275" t="s">
        <v>619</v>
      </c>
      <c r="K235" s="258" t="s">
        <v>252</v>
      </c>
    </row>
    <row r="236" spans="10:11" ht="15.75" x14ac:dyDescent="0.25">
      <c r="J236" s="275" t="s">
        <v>619</v>
      </c>
      <c r="K236" s="258" t="s">
        <v>253</v>
      </c>
    </row>
    <row r="237" spans="10:11" ht="15.75" x14ac:dyDescent="0.25">
      <c r="J237" s="275" t="s">
        <v>619</v>
      </c>
      <c r="K237" s="258" t="s">
        <v>251</v>
      </c>
    </row>
    <row r="238" spans="10:11" ht="15.75" x14ac:dyDescent="0.25">
      <c r="J238" s="275" t="s">
        <v>254</v>
      </c>
      <c r="K238" s="258" t="s">
        <v>672</v>
      </c>
    </row>
    <row r="239" spans="10:11" ht="15.75" x14ac:dyDescent="0.25">
      <c r="J239" s="275" t="s">
        <v>254</v>
      </c>
      <c r="K239" s="258" t="s">
        <v>256</v>
      </c>
    </row>
    <row r="240" spans="10:11" ht="15.75" x14ac:dyDescent="0.25">
      <c r="J240" s="275" t="s">
        <v>254</v>
      </c>
      <c r="K240" s="258" t="s">
        <v>257</v>
      </c>
    </row>
    <row r="241" spans="10:11" ht="15.75" x14ac:dyDescent="0.25">
      <c r="J241" s="275" t="s">
        <v>254</v>
      </c>
      <c r="K241" s="258" t="s">
        <v>673</v>
      </c>
    </row>
    <row r="242" spans="10:11" ht="15.75" x14ac:dyDescent="0.25">
      <c r="J242" s="275" t="s">
        <v>254</v>
      </c>
      <c r="K242" s="258" t="s">
        <v>264</v>
      </c>
    </row>
    <row r="243" spans="10:11" ht="15.75" x14ac:dyDescent="0.25">
      <c r="J243" s="275" t="s">
        <v>254</v>
      </c>
      <c r="K243" s="258" t="s">
        <v>259</v>
      </c>
    </row>
    <row r="244" spans="10:11" ht="15.75" x14ac:dyDescent="0.25">
      <c r="J244" s="275" t="s">
        <v>254</v>
      </c>
      <c r="K244" s="258" t="s">
        <v>674</v>
      </c>
    </row>
    <row r="245" spans="10:11" ht="15.75" x14ac:dyDescent="0.25">
      <c r="J245" s="275" t="s">
        <v>254</v>
      </c>
      <c r="K245" s="258" t="s">
        <v>260</v>
      </c>
    </row>
    <row r="246" spans="10:11" ht="15.75" x14ac:dyDescent="0.25">
      <c r="J246" s="275" t="s">
        <v>254</v>
      </c>
      <c r="K246" s="258" t="s">
        <v>675</v>
      </c>
    </row>
    <row r="247" spans="10:11" ht="15.75" x14ac:dyDescent="0.25">
      <c r="J247" s="275" t="s">
        <v>254</v>
      </c>
      <c r="K247" s="258" t="s">
        <v>261</v>
      </c>
    </row>
    <row r="248" spans="10:11" ht="15.75" x14ac:dyDescent="0.25">
      <c r="J248" s="275" t="s">
        <v>254</v>
      </c>
      <c r="K248" s="258" t="s">
        <v>262</v>
      </c>
    </row>
    <row r="249" spans="10:11" ht="15.75" x14ac:dyDescent="0.25">
      <c r="J249" s="275" t="s">
        <v>254</v>
      </c>
      <c r="K249" s="258" t="s">
        <v>676</v>
      </c>
    </row>
    <row r="250" spans="10:11" ht="15.75" x14ac:dyDescent="0.25">
      <c r="J250" s="275" t="s">
        <v>254</v>
      </c>
      <c r="K250" s="258" t="s">
        <v>1635</v>
      </c>
    </row>
    <row r="251" spans="10:11" ht="15.75" x14ac:dyDescent="0.25">
      <c r="J251" s="275" t="s">
        <v>254</v>
      </c>
      <c r="K251" s="258" t="s">
        <v>263</v>
      </c>
    </row>
    <row r="252" spans="10:11" ht="15.75" x14ac:dyDescent="0.25">
      <c r="J252" s="275" t="s">
        <v>254</v>
      </c>
      <c r="K252" s="258" t="s">
        <v>677</v>
      </c>
    </row>
    <row r="253" spans="10:11" ht="15.75" x14ac:dyDescent="0.25">
      <c r="J253" s="275" t="s">
        <v>254</v>
      </c>
      <c r="K253" s="258" t="s">
        <v>258</v>
      </c>
    </row>
    <row r="254" spans="10:11" ht="15.75" x14ac:dyDescent="0.25">
      <c r="J254" s="275" t="s">
        <v>265</v>
      </c>
      <c r="K254" s="258" t="s">
        <v>678</v>
      </c>
    </row>
    <row r="255" spans="10:11" ht="15.75" x14ac:dyDescent="0.25">
      <c r="J255" s="275" t="s">
        <v>265</v>
      </c>
      <c r="K255" s="258" t="s">
        <v>266</v>
      </c>
    </row>
    <row r="256" spans="10:11" ht="15.75" x14ac:dyDescent="0.25">
      <c r="J256" s="275" t="s">
        <v>267</v>
      </c>
      <c r="K256" s="258" t="s">
        <v>268</v>
      </c>
    </row>
    <row r="257" spans="10:11" ht="15.75" x14ac:dyDescent="0.25">
      <c r="J257" s="275" t="s">
        <v>620</v>
      </c>
      <c r="K257" s="258" t="s">
        <v>9</v>
      </c>
    </row>
    <row r="258" spans="10:11" ht="15.75" x14ac:dyDescent="0.25">
      <c r="J258" s="275" t="s">
        <v>620</v>
      </c>
      <c r="K258" s="258" t="s">
        <v>10</v>
      </c>
    </row>
    <row r="259" spans="10:11" ht="15.75" x14ac:dyDescent="0.25">
      <c r="J259" s="275" t="s">
        <v>620</v>
      </c>
      <c r="K259" s="258" t="s">
        <v>11</v>
      </c>
    </row>
    <row r="260" spans="10:11" ht="15.75" x14ac:dyDescent="0.25">
      <c r="J260" s="275" t="s">
        <v>620</v>
      </c>
      <c r="K260" s="258" t="s">
        <v>12</v>
      </c>
    </row>
    <row r="261" spans="10:11" ht="15.75" x14ac:dyDescent="0.25">
      <c r="J261" s="275" t="s">
        <v>269</v>
      </c>
      <c r="K261" s="258" t="s">
        <v>270</v>
      </c>
    </row>
    <row r="262" spans="10:11" ht="15.75" x14ac:dyDescent="0.25">
      <c r="J262" s="275" t="s">
        <v>269</v>
      </c>
      <c r="K262" s="258" t="s">
        <v>271</v>
      </c>
    </row>
    <row r="263" spans="10:11" ht="15.75" x14ac:dyDescent="0.25">
      <c r="J263" s="275" t="s">
        <v>269</v>
      </c>
      <c r="K263" s="258" t="s">
        <v>272</v>
      </c>
    </row>
    <row r="264" spans="10:11" ht="15.75" x14ac:dyDescent="0.25">
      <c r="J264" s="275" t="s">
        <v>269</v>
      </c>
      <c r="K264" s="258" t="s">
        <v>273</v>
      </c>
    </row>
    <row r="265" spans="10:11" ht="15.75" x14ac:dyDescent="0.25">
      <c r="J265" s="275" t="s">
        <v>269</v>
      </c>
      <c r="K265" s="258" t="s">
        <v>274</v>
      </c>
    </row>
    <row r="266" spans="10:11" ht="15.75" x14ac:dyDescent="0.25">
      <c r="J266" s="275" t="s">
        <v>275</v>
      </c>
      <c r="K266" s="258" t="s">
        <v>276</v>
      </c>
    </row>
    <row r="267" spans="10:11" ht="15.75" x14ac:dyDescent="0.25">
      <c r="J267" s="275" t="s">
        <v>275</v>
      </c>
      <c r="K267" s="258" t="s">
        <v>1634</v>
      </c>
    </row>
    <row r="268" spans="10:11" ht="15.75" x14ac:dyDescent="0.25">
      <c r="J268" s="275" t="s">
        <v>275</v>
      </c>
      <c r="K268" s="258" t="s">
        <v>277</v>
      </c>
    </row>
    <row r="269" spans="10:11" ht="15.75" x14ac:dyDescent="0.25">
      <c r="J269" s="275" t="s">
        <v>275</v>
      </c>
      <c r="K269" s="258" t="s">
        <v>279</v>
      </c>
    </row>
    <row r="270" spans="10:11" ht="15.75" x14ac:dyDescent="0.25">
      <c r="J270" s="275" t="s">
        <v>275</v>
      </c>
      <c r="K270" s="258" t="s">
        <v>280</v>
      </c>
    </row>
    <row r="271" spans="10:11" ht="15.75" x14ac:dyDescent="0.25">
      <c r="J271" s="275" t="s">
        <v>275</v>
      </c>
      <c r="K271" s="258" t="s">
        <v>281</v>
      </c>
    </row>
    <row r="272" spans="10:11" ht="15.75" x14ac:dyDescent="0.25">
      <c r="J272" s="275" t="s">
        <v>275</v>
      </c>
      <c r="K272" s="258" t="s">
        <v>679</v>
      </c>
    </row>
    <row r="273" spans="10:11" ht="15.75" x14ac:dyDescent="0.25">
      <c r="J273" s="275" t="s">
        <v>275</v>
      </c>
      <c r="K273" s="258" t="s">
        <v>680</v>
      </c>
    </row>
    <row r="274" spans="10:11" ht="15.75" x14ac:dyDescent="0.25">
      <c r="J274" s="275" t="s">
        <v>275</v>
      </c>
      <c r="K274" s="258" t="s">
        <v>282</v>
      </c>
    </row>
    <row r="275" spans="10:11" ht="15.75" x14ac:dyDescent="0.25">
      <c r="J275" s="275" t="s">
        <v>275</v>
      </c>
      <c r="K275" s="258" t="s">
        <v>278</v>
      </c>
    </row>
    <row r="276" spans="10:11" ht="15.75" x14ac:dyDescent="0.25">
      <c r="J276" s="275" t="s">
        <v>2</v>
      </c>
      <c r="K276" s="258" t="s">
        <v>283</v>
      </c>
    </row>
    <row r="277" spans="10:11" ht="15.75" x14ac:dyDescent="0.25">
      <c r="J277" s="275" t="s">
        <v>2</v>
      </c>
      <c r="K277" s="258" t="s">
        <v>284</v>
      </c>
    </row>
    <row r="278" spans="10:11" ht="15.75" x14ac:dyDescent="0.25">
      <c r="J278" s="275" t="s">
        <v>2</v>
      </c>
      <c r="K278" s="258" t="s">
        <v>94</v>
      </c>
    </row>
    <row r="279" spans="10:11" ht="15.75" x14ac:dyDescent="0.25">
      <c r="J279" s="275" t="s">
        <v>68</v>
      </c>
      <c r="K279" s="258" t="s">
        <v>69</v>
      </c>
    </row>
    <row r="280" spans="10:11" ht="15.75" x14ac:dyDescent="0.25">
      <c r="J280" s="275" t="s">
        <v>68</v>
      </c>
      <c r="K280" s="258" t="s">
        <v>70</v>
      </c>
    </row>
    <row r="281" spans="10:11" ht="15.75" x14ac:dyDescent="0.25">
      <c r="J281" s="275" t="s">
        <v>98</v>
      </c>
      <c r="K281" s="258" t="s">
        <v>99</v>
      </c>
    </row>
    <row r="282" spans="10:11" ht="15.75" x14ac:dyDescent="0.25">
      <c r="J282" s="275" t="s">
        <v>458</v>
      </c>
      <c r="K282" s="258" t="s">
        <v>285</v>
      </c>
    </row>
    <row r="283" spans="10:11" ht="15.75" x14ac:dyDescent="0.25">
      <c r="J283" s="275" t="s">
        <v>329</v>
      </c>
      <c r="K283" s="258" t="s">
        <v>330</v>
      </c>
    </row>
    <row r="284" spans="10:11" ht="15.75" x14ac:dyDescent="0.25">
      <c r="J284" s="275" t="s">
        <v>329</v>
      </c>
      <c r="K284" s="258" t="s">
        <v>331</v>
      </c>
    </row>
    <row r="285" spans="10:11" ht="15.75" x14ac:dyDescent="0.25">
      <c r="J285" s="275" t="s">
        <v>329</v>
      </c>
      <c r="K285" s="258" t="s">
        <v>332</v>
      </c>
    </row>
    <row r="286" spans="10:11" ht="15.75" x14ac:dyDescent="0.25">
      <c r="J286" s="275" t="s">
        <v>329</v>
      </c>
      <c r="K286" s="258" t="s">
        <v>333</v>
      </c>
    </row>
    <row r="287" spans="10:11" ht="15.75" x14ac:dyDescent="0.25">
      <c r="J287" s="275" t="s">
        <v>329</v>
      </c>
      <c r="K287" s="258" t="s">
        <v>334</v>
      </c>
    </row>
    <row r="288" spans="10:11" ht="15.75" x14ac:dyDescent="0.25">
      <c r="J288" s="275" t="s">
        <v>329</v>
      </c>
      <c r="K288" s="258" t="s">
        <v>681</v>
      </c>
    </row>
    <row r="289" spans="10:11" ht="15.75" x14ac:dyDescent="0.25">
      <c r="J289" s="275" t="s">
        <v>329</v>
      </c>
      <c r="K289" s="258" t="s">
        <v>335</v>
      </c>
    </row>
    <row r="290" spans="10:11" ht="15.75" x14ac:dyDescent="0.25">
      <c r="J290" s="275" t="s">
        <v>145</v>
      </c>
      <c r="K290" s="258" t="s">
        <v>153</v>
      </c>
    </row>
    <row r="291" spans="10:11" ht="15.75" x14ac:dyDescent="0.25">
      <c r="J291" s="275" t="s">
        <v>145</v>
      </c>
      <c r="K291" s="258" t="s">
        <v>154</v>
      </c>
    </row>
    <row r="292" spans="10:11" ht="15.75" x14ac:dyDescent="0.25">
      <c r="J292" s="275" t="s">
        <v>145</v>
      </c>
      <c r="K292" s="258" t="s">
        <v>682</v>
      </c>
    </row>
    <row r="293" spans="10:11" ht="15.75" x14ac:dyDescent="0.25">
      <c r="J293" s="275" t="s">
        <v>145</v>
      </c>
      <c r="K293" s="258" t="s">
        <v>147</v>
      </c>
    </row>
    <row r="294" spans="10:11" ht="15.75" x14ac:dyDescent="0.25">
      <c r="J294" s="275" t="s">
        <v>145</v>
      </c>
      <c r="K294" s="258" t="s">
        <v>146</v>
      </c>
    </row>
    <row r="295" spans="10:11" ht="15.75" x14ac:dyDescent="0.25">
      <c r="J295" s="275" t="s">
        <v>145</v>
      </c>
      <c r="K295" s="258" t="s">
        <v>148</v>
      </c>
    </row>
    <row r="296" spans="10:11" ht="15.75" x14ac:dyDescent="0.25">
      <c r="J296" s="275" t="s">
        <v>145</v>
      </c>
      <c r="K296" s="258" t="s">
        <v>683</v>
      </c>
    </row>
    <row r="297" spans="10:11" ht="15.75" x14ac:dyDescent="0.25">
      <c r="J297" s="275" t="s">
        <v>145</v>
      </c>
      <c r="K297" s="258" t="s">
        <v>152</v>
      </c>
    </row>
    <row r="298" spans="10:11" ht="15.75" x14ac:dyDescent="0.25">
      <c r="J298" s="275" t="s">
        <v>145</v>
      </c>
      <c r="K298" s="258" t="s">
        <v>151</v>
      </c>
    </row>
    <row r="299" spans="10:11" ht="15.75" x14ac:dyDescent="0.25">
      <c r="J299" s="275" t="s">
        <v>145</v>
      </c>
      <c r="K299" s="258" t="s">
        <v>150</v>
      </c>
    </row>
    <row r="300" spans="10:11" ht="15.75" x14ac:dyDescent="0.25">
      <c r="J300" s="275" t="s">
        <v>145</v>
      </c>
      <c r="K300" s="258" t="s">
        <v>149</v>
      </c>
    </row>
    <row r="301" spans="10:11" ht="15.75" x14ac:dyDescent="0.25">
      <c r="J301" s="275" t="s">
        <v>197</v>
      </c>
      <c r="K301" s="258" t="s">
        <v>198</v>
      </c>
    </row>
    <row r="302" spans="10:11" ht="15.75" x14ac:dyDescent="0.25">
      <c r="J302" s="275" t="s">
        <v>288</v>
      </c>
      <c r="K302" s="258" t="s">
        <v>289</v>
      </c>
    </row>
    <row r="303" spans="10:11" ht="15.75" x14ac:dyDescent="0.25">
      <c r="J303" s="275" t="s">
        <v>336</v>
      </c>
      <c r="K303" s="258" t="s">
        <v>337</v>
      </c>
    </row>
    <row r="304" spans="10:11" ht="15.75" x14ac:dyDescent="0.25">
      <c r="J304" s="275" t="s">
        <v>336</v>
      </c>
      <c r="K304" s="258" t="s">
        <v>338</v>
      </c>
    </row>
    <row r="305" spans="10:11" ht="15.75" x14ac:dyDescent="0.25">
      <c r="J305" s="275" t="s">
        <v>336</v>
      </c>
      <c r="K305" s="258" t="s">
        <v>339</v>
      </c>
    </row>
    <row r="306" spans="10:11" ht="15.75" x14ac:dyDescent="0.25">
      <c r="J306" s="275" t="s">
        <v>336</v>
      </c>
      <c r="K306" s="258" t="s">
        <v>340</v>
      </c>
    </row>
    <row r="307" spans="10:11" ht="15.75" x14ac:dyDescent="0.25">
      <c r="J307" s="275" t="s">
        <v>336</v>
      </c>
      <c r="K307" s="258" t="s">
        <v>341</v>
      </c>
    </row>
    <row r="308" spans="10:11" ht="15.75" x14ac:dyDescent="0.25">
      <c r="J308" s="275" t="s">
        <v>336</v>
      </c>
      <c r="K308" s="258" t="s">
        <v>342</v>
      </c>
    </row>
    <row r="309" spans="10:11" ht="15.75" x14ac:dyDescent="0.25">
      <c r="J309" s="275" t="s">
        <v>336</v>
      </c>
      <c r="K309" s="258" t="s">
        <v>374</v>
      </c>
    </row>
    <row r="310" spans="10:11" ht="15.75" x14ac:dyDescent="0.25">
      <c r="J310" s="275" t="s">
        <v>336</v>
      </c>
      <c r="K310" s="258" t="s">
        <v>375</v>
      </c>
    </row>
    <row r="311" spans="10:11" ht="15.75" x14ac:dyDescent="0.25">
      <c r="J311" s="275" t="s">
        <v>336</v>
      </c>
      <c r="K311" s="258" t="s">
        <v>376</v>
      </c>
    </row>
    <row r="312" spans="10:11" ht="15.75" x14ac:dyDescent="0.25">
      <c r="J312" s="275" t="s">
        <v>336</v>
      </c>
      <c r="K312" s="258" t="s">
        <v>377</v>
      </c>
    </row>
    <row r="313" spans="10:11" ht="15.75" x14ac:dyDescent="0.25">
      <c r="J313" s="275" t="s">
        <v>336</v>
      </c>
      <c r="K313" s="258" t="s">
        <v>346</v>
      </c>
    </row>
    <row r="314" spans="10:11" ht="15.75" x14ac:dyDescent="0.25">
      <c r="J314" s="275" t="s">
        <v>336</v>
      </c>
      <c r="K314" s="258" t="s">
        <v>347</v>
      </c>
    </row>
    <row r="315" spans="10:11" ht="15.75" x14ac:dyDescent="0.25">
      <c r="J315" s="275" t="s">
        <v>336</v>
      </c>
      <c r="K315" s="258" t="s">
        <v>348</v>
      </c>
    </row>
    <row r="316" spans="10:11" ht="15.75" x14ac:dyDescent="0.25">
      <c r="J316" s="275" t="s">
        <v>336</v>
      </c>
      <c r="K316" s="258" t="s">
        <v>345</v>
      </c>
    </row>
    <row r="317" spans="10:11" ht="15.75" x14ac:dyDescent="0.25">
      <c r="J317" s="275" t="s">
        <v>336</v>
      </c>
      <c r="K317" s="258" t="s">
        <v>349</v>
      </c>
    </row>
    <row r="318" spans="10:11" ht="15.75" x14ac:dyDescent="0.25">
      <c r="J318" s="275" t="s">
        <v>336</v>
      </c>
      <c r="K318" s="258" t="s">
        <v>379</v>
      </c>
    </row>
    <row r="319" spans="10:11" ht="15.75" x14ac:dyDescent="0.25">
      <c r="J319" s="275" t="s">
        <v>336</v>
      </c>
      <c r="K319" s="258" t="s">
        <v>380</v>
      </c>
    </row>
    <row r="320" spans="10:11" ht="15.75" x14ac:dyDescent="0.25">
      <c r="J320" s="275" t="s">
        <v>336</v>
      </c>
      <c r="K320" s="258" t="s">
        <v>350</v>
      </c>
    </row>
    <row r="321" spans="10:11" ht="15.75" x14ac:dyDescent="0.25">
      <c r="J321" s="275" t="s">
        <v>336</v>
      </c>
      <c r="K321" s="258" t="s">
        <v>684</v>
      </c>
    </row>
    <row r="322" spans="10:11" ht="15.75" x14ac:dyDescent="0.25">
      <c r="J322" s="275" t="s">
        <v>336</v>
      </c>
      <c r="K322" s="258" t="s">
        <v>685</v>
      </c>
    </row>
    <row r="323" spans="10:11" ht="15.75" x14ac:dyDescent="0.25">
      <c r="J323" s="275" t="s">
        <v>336</v>
      </c>
      <c r="K323" s="258" t="s">
        <v>351</v>
      </c>
    </row>
    <row r="324" spans="10:11" ht="15.75" x14ac:dyDescent="0.25">
      <c r="J324" s="275" t="s">
        <v>336</v>
      </c>
      <c r="K324" s="258" t="s">
        <v>352</v>
      </c>
    </row>
    <row r="325" spans="10:11" ht="15.75" x14ac:dyDescent="0.25">
      <c r="J325" s="275" t="s">
        <v>336</v>
      </c>
      <c r="K325" s="258" t="s">
        <v>353</v>
      </c>
    </row>
    <row r="326" spans="10:11" ht="15.75" x14ac:dyDescent="0.25">
      <c r="J326" s="275" t="s">
        <v>336</v>
      </c>
      <c r="K326" s="258" t="s">
        <v>354</v>
      </c>
    </row>
    <row r="327" spans="10:11" ht="15.75" x14ac:dyDescent="0.25">
      <c r="J327" s="275" t="s">
        <v>336</v>
      </c>
      <c r="K327" s="258" t="s">
        <v>355</v>
      </c>
    </row>
    <row r="328" spans="10:11" ht="15.75" x14ac:dyDescent="0.25">
      <c r="J328" s="275" t="s">
        <v>336</v>
      </c>
      <c r="K328" s="258" t="s">
        <v>356</v>
      </c>
    </row>
    <row r="329" spans="10:11" ht="15.75" x14ac:dyDescent="0.25">
      <c r="J329" s="275" t="s">
        <v>336</v>
      </c>
      <c r="K329" s="258" t="s">
        <v>359</v>
      </c>
    </row>
    <row r="330" spans="10:11" ht="15.75" x14ac:dyDescent="0.25">
      <c r="J330" s="275" t="s">
        <v>336</v>
      </c>
      <c r="K330" s="258" t="s">
        <v>357</v>
      </c>
    </row>
    <row r="331" spans="10:11" ht="15.75" x14ac:dyDescent="0.25">
      <c r="J331" s="275" t="s">
        <v>336</v>
      </c>
      <c r="K331" s="258" t="s">
        <v>358</v>
      </c>
    </row>
    <row r="332" spans="10:11" ht="15.75" x14ac:dyDescent="0.25">
      <c r="J332" s="275" t="s">
        <v>336</v>
      </c>
      <c r="K332" s="258" t="s">
        <v>686</v>
      </c>
    </row>
    <row r="333" spans="10:11" ht="15.75" x14ac:dyDescent="0.25">
      <c r="J333" s="275" t="s">
        <v>336</v>
      </c>
      <c r="K333" s="258" t="s">
        <v>360</v>
      </c>
    </row>
    <row r="334" spans="10:11" ht="15.75" x14ac:dyDescent="0.25">
      <c r="J334" s="275" t="s">
        <v>336</v>
      </c>
      <c r="K334" s="258" t="s">
        <v>361</v>
      </c>
    </row>
    <row r="335" spans="10:11" ht="15.75" x14ac:dyDescent="0.25">
      <c r="J335" s="275" t="s">
        <v>336</v>
      </c>
      <c r="K335" s="258" t="s">
        <v>363</v>
      </c>
    </row>
    <row r="336" spans="10:11" ht="15.75" x14ac:dyDescent="0.25">
      <c r="J336" s="275" t="s">
        <v>336</v>
      </c>
      <c r="K336" s="258" t="s">
        <v>365</v>
      </c>
    </row>
    <row r="337" spans="10:11" ht="15.75" x14ac:dyDescent="0.25">
      <c r="J337" s="275" t="s">
        <v>336</v>
      </c>
      <c r="K337" s="258" t="s">
        <v>364</v>
      </c>
    </row>
    <row r="338" spans="10:11" ht="15.75" x14ac:dyDescent="0.25">
      <c r="J338" s="275" t="s">
        <v>336</v>
      </c>
      <c r="K338" s="258" t="s">
        <v>366</v>
      </c>
    </row>
    <row r="339" spans="10:11" ht="15.75" x14ac:dyDescent="0.25">
      <c r="J339" s="275" t="s">
        <v>336</v>
      </c>
      <c r="K339" s="258" t="s">
        <v>687</v>
      </c>
    </row>
    <row r="340" spans="10:11" ht="15.75" x14ac:dyDescent="0.25">
      <c r="J340" s="275" t="s">
        <v>336</v>
      </c>
      <c r="K340" s="258" t="s">
        <v>367</v>
      </c>
    </row>
    <row r="341" spans="10:11" ht="15.75" x14ac:dyDescent="0.25">
      <c r="J341" s="275" t="s">
        <v>336</v>
      </c>
      <c r="K341" s="258" t="s">
        <v>368</v>
      </c>
    </row>
    <row r="342" spans="10:11" ht="15.75" x14ac:dyDescent="0.25">
      <c r="J342" s="275" t="s">
        <v>336</v>
      </c>
      <c r="K342" s="258" t="s">
        <v>369</v>
      </c>
    </row>
    <row r="343" spans="10:11" ht="15.75" x14ac:dyDescent="0.25">
      <c r="J343" s="275" t="s">
        <v>336</v>
      </c>
      <c r="K343" s="258" t="s">
        <v>688</v>
      </c>
    </row>
    <row r="344" spans="10:11" ht="15.75" x14ac:dyDescent="0.25">
      <c r="J344" s="275" t="s">
        <v>336</v>
      </c>
      <c r="K344" s="258" t="s">
        <v>370</v>
      </c>
    </row>
    <row r="345" spans="10:11" ht="15.75" x14ac:dyDescent="0.25">
      <c r="J345" s="275" t="s">
        <v>336</v>
      </c>
      <c r="K345" s="258" t="s">
        <v>371</v>
      </c>
    </row>
    <row r="346" spans="10:11" ht="15.75" x14ac:dyDescent="0.25">
      <c r="J346" s="275" t="s">
        <v>336</v>
      </c>
      <c r="K346" s="258" t="s">
        <v>372</v>
      </c>
    </row>
    <row r="347" spans="10:11" ht="15.75" x14ac:dyDescent="0.25">
      <c r="J347" s="275" t="s">
        <v>336</v>
      </c>
      <c r="K347" s="258" t="s">
        <v>373</v>
      </c>
    </row>
    <row r="348" spans="10:11" ht="15.75" x14ac:dyDescent="0.25">
      <c r="J348" s="275" t="s">
        <v>336</v>
      </c>
      <c r="K348" s="258" t="s">
        <v>343</v>
      </c>
    </row>
    <row r="349" spans="10:11" ht="15.75" x14ac:dyDescent="0.25">
      <c r="J349" s="275" t="s">
        <v>336</v>
      </c>
      <c r="K349" s="258" t="s">
        <v>344</v>
      </c>
    </row>
    <row r="350" spans="10:11" ht="15.75" x14ac:dyDescent="0.25">
      <c r="J350" s="275" t="s">
        <v>336</v>
      </c>
      <c r="K350" s="258" t="s">
        <v>362</v>
      </c>
    </row>
    <row r="351" spans="10:11" ht="15.75" x14ac:dyDescent="0.25">
      <c r="J351" s="275" t="s">
        <v>336</v>
      </c>
      <c r="K351" s="258" t="s">
        <v>689</v>
      </c>
    </row>
    <row r="352" spans="10:11" ht="15.75" x14ac:dyDescent="0.25">
      <c r="J352" s="275" t="s">
        <v>336</v>
      </c>
      <c r="K352" s="258" t="s">
        <v>378</v>
      </c>
    </row>
    <row r="353" spans="10:11" ht="15.75" x14ac:dyDescent="0.25">
      <c r="J353" s="275" t="s">
        <v>621</v>
      </c>
      <c r="K353" s="258" t="s">
        <v>290</v>
      </c>
    </row>
    <row r="354" spans="10:11" ht="15.75" x14ac:dyDescent="0.25">
      <c r="J354" s="275" t="s">
        <v>381</v>
      </c>
      <c r="K354" s="258" t="s">
        <v>382</v>
      </c>
    </row>
    <row r="355" spans="10:11" ht="15.75" x14ac:dyDescent="0.25">
      <c r="J355" s="275" t="s">
        <v>381</v>
      </c>
      <c r="K355" s="258" t="s">
        <v>383</v>
      </c>
    </row>
    <row r="356" spans="10:11" ht="15.75" x14ac:dyDescent="0.25">
      <c r="J356" s="275" t="s">
        <v>381</v>
      </c>
      <c r="K356" s="258" t="s">
        <v>384</v>
      </c>
    </row>
    <row r="357" spans="10:11" ht="15.75" x14ac:dyDescent="0.25">
      <c r="J357" s="275" t="s">
        <v>622</v>
      </c>
      <c r="K357" s="258" t="s">
        <v>391</v>
      </c>
    </row>
    <row r="358" spans="10:11" ht="15.75" x14ac:dyDescent="0.25">
      <c r="J358" s="275" t="s">
        <v>623</v>
      </c>
      <c r="K358" s="258" t="s">
        <v>286</v>
      </c>
    </row>
    <row r="359" spans="10:11" ht="15.75" x14ac:dyDescent="0.25">
      <c r="J359" s="275" t="s">
        <v>623</v>
      </c>
      <c r="K359" s="258" t="s">
        <v>287</v>
      </c>
    </row>
    <row r="360" spans="10:11" ht="15.75" x14ac:dyDescent="0.25">
      <c r="J360" s="275" t="s">
        <v>291</v>
      </c>
      <c r="K360" s="258" t="s">
        <v>292</v>
      </c>
    </row>
    <row r="361" spans="10:11" ht="15.75" x14ac:dyDescent="0.25">
      <c r="J361" s="275" t="s">
        <v>291</v>
      </c>
      <c r="K361" s="258" t="s">
        <v>690</v>
      </c>
    </row>
    <row r="362" spans="10:11" ht="15.75" x14ac:dyDescent="0.25">
      <c r="J362" s="275" t="s">
        <v>291</v>
      </c>
      <c r="K362" s="258" t="s">
        <v>1597</v>
      </c>
    </row>
    <row r="363" spans="10:11" ht="15.75" x14ac:dyDescent="0.25">
      <c r="J363" s="275" t="s">
        <v>294</v>
      </c>
      <c r="K363" s="258" t="s">
        <v>295</v>
      </c>
    </row>
    <row r="364" spans="10:11" ht="15.75" x14ac:dyDescent="0.25">
      <c r="J364" s="275" t="s">
        <v>307</v>
      </c>
      <c r="K364" s="258" t="s">
        <v>308</v>
      </c>
    </row>
    <row r="365" spans="10:11" ht="15.75" x14ac:dyDescent="0.25">
      <c r="J365" s="275" t="s">
        <v>624</v>
      </c>
      <c r="K365" s="258" t="s">
        <v>691</v>
      </c>
    </row>
    <row r="366" spans="10:11" ht="15.75" x14ac:dyDescent="0.25">
      <c r="J366" s="275" t="s">
        <v>249</v>
      </c>
      <c r="K366" s="258" t="s">
        <v>309</v>
      </c>
    </row>
    <row r="367" spans="10:11" ht="15.75" x14ac:dyDescent="0.25">
      <c r="J367" s="275" t="s">
        <v>249</v>
      </c>
      <c r="K367" s="275" t="s">
        <v>310</v>
      </c>
    </row>
    <row r="368" spans="10:11" ht="15.75" x14ac:dyDescent="0.25">
      <c r="J368" s="275" t="s">
        <v>249</v>
      </c>
      <c r="K368" s="258" t="s">
        <v>311</v>
      </c>
    </row>
    <row r="369" spans="10:11" ht="15.75" x14ac:dyDescent="0.25">
      <c r="J369" s="275" t="s">
        <v>296</v>
      </c>
      <c r="K369" s="258" t="s">
        <v>692</v>
      </c>
    </row>
    <row r="370" spans="10:11" ht="15.75" x14ac:dyDescent="0.25">
      <c r="J370" s="275" t="s">
        <v>296</v>
      </c>
      <c r="K370" s="258" t="s">
        <v>297</v>
      </c>
    </row>
    <row r="371" spans="10:11" ht="15.75" x14ac:dyDescent="0.25">
      <c r="J371" s="275" t="s">
        <v>296</v>
      </c>
      <c r="K371" s="258" t="s">
        <v>298</v>
      </c>
    </row>
    <row r="372" spans="10:11" ht="15.75" x14ac:dyDescent="0.25">
      <c r="J372" s="275" t="s">
        <v>296</v>
      </c>
      <c r="K372" s="258" t="s">
        <v>299</v>
      </c>
    </row>
    <row r="373" spans="10:11" ht="15.75" x14ac:dyDescent="0.25">
      <c r="J373" s="275" t="s">
        <v>296</v>
      </c>
      <c r="K373" s="258" t="s">
        <v>300</v>
      </c>
    </row>
    <row r="374" spans="10:11" ht="15.75" x14ac:dyDescent="0.25">
      <c r="J374" s="275" t="s">
        <v>296</v>
      </c>
      <c r="K374" s="258" t="s">
        <v>301</v>
      </c>
    </row>
    <row r="375" spans="10:11" ht="15.75" x14ac:dyDescent="0.25">
      <c r="J375" s="275" t="s">
        <v>296</v>
      </c>
      <c r="K375" s="258" t="s">
        <v>302</v>
      </c>
    </row>
    <row r="376" spans="10:11" ht="15.75" x14ac:dyDescent="0.25">
      <c r="J376" s="275" t="s">
        <v>296</v>
      </c>
      <c r="K376" s="258" t="s">
        <v>303</v>
      </c>
    </row>
    <row r="377" spans="10:11" ht="15.75" x14ac:dyDescent="0.25">
      <c r="J377" s="275" t="s">
        <v>296</v>
      </c>
      <c r="K377" s="258" t="s">
        <v>304</v>
      </c>
    </row>
    <row r="378" spans="10:11" ht="15.75" x14ac:dyDescent="0.25">
      <c r="J378" s="275" t="s">
        <v>296</v>
      </c>
      <c r="K378" s="258" t="s">
        <v>305</v>
      </c>
    </row>
    <row r="379" spans="10:11" ht="15.75" x14ac:dyDescent="0.25">
      <c r="J379" s="275" t="s">
        <v>296</v>
      </c>
      <c r="K379" s="258" t="s">
        <v>306</v>
      </c>
    </row>
    <row r="380" spans="10:11" ht="15.75" x14ac:dyDescent="0.25">
      <c r="J380" s="275" t="s">
        <v>296</v>
      </c>
      <c r="K380" s="258" t="s">
        <v>693</v>
      </c>
    </row>
    <row r="381" spans="10:11" ht="15.75" x14ac:dyDescent="0.25">
      <c r="J381" s="275" t="s">
        <v>296</v>
      </c>
      <c r="K381" s="258" t="s">
        <v>694</v>
      </c>
    </row>
    <row r="382" spans="10:11" ht="15.75" x14ac:dyDescent="0.25">
      <c r="J382" s="275" t="s">
        <v>296</v>
      </c>
      <c r="K382" s="258" t="s">
        <v>695</v>
      </c>
    </row>
    <row r="383" spans="10:11" ht="15.75" x14ac:dyDescent="0.25">
      <c r="J383" s="275" t="s">
        <v>296</v>
      </c>
      <c r="K383" s="258" t="s">
        <v>696</v>
      </c>
    </row>
    <row r="384" spans="10:11" ht="15.75" x14ac:dyDescent="0.25">
      <c r="J384" s="275" t="s">
        <v>320</v>
      </c>
      <c r="K384" s="258" t="s">
        <v>324</v>
      </c>
    </row>
    <row r="385" spans="10:11" ht="15.75" x14ac:dyDescent="0.25">
      <c r="J385" s="275" t="s">
        <v>320</v>
      </c>
      <c r="K385" s="258" t="s">
        <v>325</v>
      </c>
    </row>
    <row r="386" spans="10:11" ht="15.75" x14ac:dyDescent="0.25">
      <c r="J386" s="275" t="s">
        <v>320</v>
      </c>
      <c r="K386" s="258" t="s">
        <v>321</v>
      </c>
    </row>
    <row r="387" spans="10:11" ht="15.75" x14ac:dyDescent="0.25">
      <c r="J387" s="275" t="s">
        <v>320</v>
      </c>
      <c r="K387" s="258" t="s">
        <v>322</v>
      </c>
    </row>
    <row r="388" spans="10:11" ht="15.75" x14ac:dyDescent="0.25">
      <c r="J388" s="275" t="s">
        <v>320</v>
      </c>
      <c r="K388" s="258" t="s">
        <v>323</v>
      </c>
    </row>
    <row r="389" spans="10:11" ht="15.75" x14ac:dyDescent="0.25">
      <c r="J389" s="275" t="s">
        <v>320</v>
      </c>
      <c r="K389" s="258" t="s">
        <v>697</v>
      </c>
    </row>
    <row r="390" spans="10:11" ht="15.75" x14ac:dyDescent="0.25">
      <c r="J390" s="275" t="s">
        <v>312</v>
      </c>
      <c r="K390" s="258" t="s">
        <v>141</v>
      </c>
    </row>
    <row r="391" spans="10:11" ht="15.75" x14ac:dyDescent="0.25">
      <c r="J391" s="275" t="s">
        <v>312</v>
      </c>
      <c r="K391" s="258" t="s">
        <v>313</v>
      </c>
    </row>
    <row r="392" spans="10:11" ht="15.75" x14ac:dyDescent="0.25">
      <c r="J392" s="275" t="s">
        <v>314</v>
      </c>
      <c r="K392" s="258" t="s">
        <v>315</v>
      </c>
    </row>
    <row r="393" spans="10:11" ht="15.75" x14ac:dyDescent="0.25">
      <c r="J393" s="275" t="s">
        <v>314</v>
      </c>
      <c r="K393" s="258" t="s">
        <v>316</v>
      </c>
    </row>
    <row r="394" spans="10:11" ht="15.75" x14ac:dyDescent="0.25">
      <c r="J394" s="275" t="s">
        <v>314</v>
      </c>
      <c r="K394" s="258" t="s">
        <v>317</v>
      </c>
    </row>
    <row r="395" spans="10:11" ht="15.75" x14ac:dyDescent="0.25">
      <c r="J395" s="275" t="s">
        <v>314</v>
      </c>
      <c r="K395" s="258" t="s">
        <v>318</v>
      </c>
    </row>
    <row r="396" spans="10:11" ht="15.75" x14ac:dyDescent="0.25">
      <c r="J396" s="275" t="s">
        <v>314</v>
      </c>
      <c r="K396" s="258" t="s">
        <v>319</v>
      </c>
    </row>
    <row r="397" spans="10:11" ht="15.75" x14ac:dyDescent="0.25">
      <c r="J397" s="275" t="s">
        <v>326</v>
      </c>
      <c r="K397" s="258" t="s">
        <v>327</v>
      </c>
    </row>
    <row r="398" spans="10:11" ht="15.75" x14ac:dyDescent="0.25">
      <c r="J398" s="275" t="s">
        <v>392</v>
      </c>
      <c r="K398" s="258" t="s">
        <v>393</v>
      </c>
    </row>
    <row r="399" spans="10:11" ht="15.75" x14ac:dyDescent="0.25">
      <c r="J399" s="275" t="s">
        <v>392</v>
      </c>
      <c r="K399" s="258" t="s">
        <v>394</v>
      </c>
    </row>
    <row r="400" spans="10:11" ht="15.75" x14ac:dyDescent="0.25">
      <c r="J400" s="275" t="s">
        <v>392</v>
      </c>
      <c r="K400" s="258" t="s">
        <v>395</v>
      </c>
    </row>
    <row r="401" spans="10:11" ht="15.75" x14ac:dyDescent="0.25">
      <c r="J401" s="275" t="s">
        <v>55</v>
      </c>
      <c r="K401" s="258" t="s">
        <v>698</v>
      </c>
    </row>
    <row r="402" spans="10:11" ht="15.75" x14ac:dyDescent="0.25">
      <c r="J402" s="275" t="s">
        <v>55</v>
      </c>
      <c r="K402" s="258" t="s">
        <v>385</v>
      </c>
    </row>
    <row r="403" spans="10:11" ht="15.75" x14ac:dyDescent="0.25">
      <c r="J403" s="275" t="s">
        <v>55</v>
      </c>
      <c r="K403" s="258" t="s">
        <v>386</v>
      </c>
    </row>
    <row r="404" spans="10:11" ht="15.75" x14ac:dyDescent="0.25">
      <c r="J404" s="275" t="s">
        <v>55</v>
      </c>
      <c r="K404" s="258" t="s">
        <v>387</v>
      </c>
    </row>
    <row r="405" spans="10:11" ht="15.75" x14ac:dyDescent="0.25">
      <c r="J405" s="275" t="s">
        <v>55</v>
      </c>
      <c r="K405" s="258" t="s">
        <v>388</v>
      </c>
    </row>
    <row r="406" spans="10:11" ht="15.75" x14ac:dyDescent="0.25">
      <c r="J406" s="275" t="s">
        <v>389</v>
      </c>
      <c r="K406" s="258" t="s">
        <v>390</v>
      </c>
    </row>
    <row r="407" spans="10:11" ht="15.75" x14ac:dyDescent="0.25">
      <c r="J407" s="275" t="s">
        <v>396</v>
      </c>
      <c r="K407" s="258" t="s">
        <v>699</v>
      </c>
    </row>
    <row r="408" spans="10:11" ht="15.75" x14ac:dyDescent="0.25">
      <c r="J408" s="275" t="s">
        <v>396</v>
      </c>
      <c r="K408" s="258" t="s">
        <v>397</v>
      </c>
    </row>
    <row r="409" spans="10:11" ht="15.75" x14ac:dyDescent="0.25">
      <c r="J409" s="275" t="s">
        <v>396</v>
      </c>
      <c r="K409" s="258" t="s">
        <v>398</v>
      </c>
    </row>
    <row r="410" spans="10:11" ht="15.75" x14ac:dyDescent="0.25">
      <c r="J410" s="275" t="s">
        <v>396</v>
      </c>
      <c r="K410" s="258" t="s">
        <v>399</v>
      </c>
    </row>
    <row r="411" spans="10:11" ht="15.75" x14ac:dyDescent="0.25">
      <c r="J411" s="275" t="s">
        <v>396</v>
      </c>
      <c r="K411" s="258" t="s">
        <v>400</v>
      </c>
    </row>
    <row r="412" spans="10:11" ht="15.75" x14ac:dyDescent="0.25">
      <c r="J412" s="275" t="s">
        <v>396</v>
      </c>
      <c r="K412" s="258" t="s">
        <v>1598</v>
      </c>
    </row>
    <row r="413" spans="10:11" ht="15.75" x14ac:dyDescent="0.25">
      <c r="J413" s="275" t="s">
        <v>396</v>
      </c>
      <c r="K413" s="258" t="s">
        <v>401</v>
      </c>
    </row>
    <row r="414" spans="10:11" ht="15.75" x14ac:dyDescent="0.25">
      <c r="J414" s="275" t="s">
        <v>396</v>
      </c>
      <c r="K414" s="258" t="s">
        <v>402</v>
      </c>
    </row>
    <row r="415" spans="10:11" ht="15.75" x14ac:dyDescent="0.25">
      <c r="J415" s="275" t="s">
        <v>625</v>
      </c>
      <c r="K415" s="258" t="s">
        <v>403</v>
      </c>
    </row>
    <row r="416" spans="10:11" ht="15.75" x14ac:dyDescent="0.25">
      <c r="J416" s="275" t="s">
        <v>625</v>
      </c>
      <c r="K416" s="258" t="s">
        <v>404</v>
      </c>
    </row>
    <row r="417" spans="10:11" ht="15.75" x14ac:dyDescent="0.25">
      <c r="J417" s="275" t="s">
        <v>625</v>
      </c>
      <c r="K417" s="258" t="s">
        <v>405</v>
      </c>
    </row>
    <row r="418" spans="10:11" ht="15.75" x14ac:dyDescent="0.25">
      <c r="J418" s="275" t="s">
        <v>406</v>
      </c>
      <c r="K418" s="258" t="s">
        <v>407</v>
      </c>
    </row>
    <row r="419" spans="10:11" ht="15.75" x14ac:dyDescent="0.25">
      <c r="J419" s="275" t="s">
        <v>406</v>
      </c>
      <c r="K419" s="258" t="s">
        <v>408</v>
      </c>
    </row>
    <row r="420" spans="10:11" ht="15.75" x14ac:dyDescent="0.25">
      <c r="J420" s="275" t="s">
        <v>121</v>
      </c>
      <c r="K420" s="258" t="s">
        <v>122</v>
      </c>
    </row>
    <row r="421" spans="10:11" ht="15.75" x14ac:dyDescent="0.25">
      <c r="J421" s="275" t="s">
        <v>121</v>
      </c>
      <c r="K421" s="258" t="s">
        <v>123</v>
      </c>
    </row>
    <row r="422" spans="10:11" ht="15.75" x14ac:dyDescent="0.25">
      <c r="J422" s="275" t="s">
        <v>121</v>
      </c>
      <c r="K422" s="258" t="s">
        <v>124</v>
      </c>
    </row>
    <row r="423" spans="10:11" ht="15.75" x14ac:dyDescent="0.25">
      <c r="J423" s="275" t="s">
        <v>121</v>
      </c>
      <c r="K423" s="258" t="s">
        <v>125</v>
      </c>
    </row>
    <row r="424" spans="10:11" ht="15.75" x14ac:dyDescent="0.25">
      <c r="J424" s="275" t="s">
        <v>121</v>
      </c>
      <c r="K424" s="258" t="s">
        <v>700</v>
      </c>
    </row>
    <row r="425" spans="10:11" ht="15.75" x14ac:dyDescent="0.25">
      <c r="J425" s="275" t="s">
        <v>121</v>
      </c>
      <c r="K425" s="258" t="s">
        <v>131</v>
      </c>
    </row>
    <row r="426" spans="10:11" ht="15.75" x14ac:dyDescent="0.25">
      <c r="J426" s="275" t="s">
        <v>121</v>
      </c>
      <c r="K426" s="258" t="s">
        <v>130</v>
      </c>
    </row>
    <row r="427" spans="10:11" ht="15.75" x14ac:dyDescent="0.25">
      <c r="J427" s="275" t="s">
        <v>121</v>
      </c>
      <c r="K427" s="258" t="s">
        <v>127</v>
      </c>
    </row>
    <row r="428" spans="10:11" ht="15.75" x14ac:dyDescent="0.25">
      <c r="J428" s="275" t="s">
        <v>121</v>
      </c>
      <c r="K428" s="258" t="s">
        <v>128</v>
      </c>
    </row>
    <row r="429" spans="10:11" ht="15.75" x14ac:dyDescent="0.25">
      <c r="J429" s="275" t="s">
        <v>121</v>
      </c>
      <c r="K429" s="258" t="s">
        <v>701</v>
      </c>
    </row>
    <row r="430" spans="10:11" ht="15.75" x14ac:dyDescent="0.25">
      <c r="J430" s="275" t="s">
        <v>121</v>
      </c>
      <c r="K430" s="258" t="s">
        <v>132</v>
      </c>
    </row>
    <row r="431" spans="10:11" ht="15.75" x14ac:dyDescent="0.25">
      <c r="J431" s="275" t="s">
        <v>121</v>
      </c>
      <c r="K431" s="258" t="s">
        <v>134</v>
      </c>
    </row>
    <row r="432" spans="10:11" ht="15.75" x14ac:dyDescent="0.25">
      <c r="J432" s="275" t="s">
        <v>121</v>
      </c>
      <c r="K432" s="258" t="s">
        <v>135</v>
      </c>
    </row>
    <row r="433" spans="10:11" ht="15.75" x14ac:dyDescent="0.25">
      <c r="J433" s="275" t="s">
        <v>121</v>
      </c>
      <c r="K433" s="258" t="s">
        <v>702</v>
      </c>
    </row>
    <row r="434" spans="10:11" ht="15.75" x14ac:dyDescent="0.25">
      <c r="J434" s="275" t="s">
        <v>121</v>
      </c>
      <c r="K434" s="258" t="s">
        <v>136</v>
      </c>
    </row>
    <row r="435" spans="10:11" ht="15.75" x14ac:dyDescent="0.25">
      <c r="J435" s="275" t="s">
        <v>121</v>
      </c>
      <c r="K435" s="258" t="s">
        <v>137</v>
      </c>
    </row>
    <row r="436" spans="10:11" ht="15.75" x14ac:dyDescent="0.25">
      <c r="J436" s="275" t="s">
        <v>121</v>
      </c>
      <c r="K436" s="258" t="s">
        <v>138</v>
      </c>
    </row>
    <row r="437" spans="10:11" ht="15.75" x14ac:dyDescent="0.25">
      <c r="J437" s="275" t="s">
        <v>121</v>
      </c>
      <c r="K437" s="258" t="s">
        <v>703</v>
      </c>
    </row>
    <row r="438" spans="10:11" ht="15.75" x14ac:dyDescent="0.25">
      <c r="J438" s="275" t="s">
        <v>121</v>
      </c>
      <c r="K438" s="258" t="s">
        <v>139</v>
      </c>
    </row>
    <row r="439" spans="10:11" ht="15.75" x14ac:dyDescent="0.25">
      <c r="J439" s="275" t="s">
        <v>121</v>
      </c>
      <c r="K439" s="258" t="s">
        <v>140</v>
      </c>
    </row>
    <row r="440" spans="10:11" ht="15.75" x14ac:dyDescent="0.25">
      <c r="J440" s="275" t="s">
        <v>121</v>
      </c>
      <c r="K440" s="258" t="s">
        <v>133</v>
      </c>
    </row>
    <row r="441" spans="10:11" ht="15.75" x14ac:dyDescent="0.25">
      <c r="J441" s="275" t="s">
        <v>121</v>
      </c>
      <c r="K441" s="258" t="s">
        <v>126</v>
      </c>
    </row>
    <row r="442" spans="10:11" ht="15.75" x14ac:dyDescent="0.25">
      <c r="J442" s="275" t="s">
        <v>121</v>
      </c>
      <c r="K442" s="258" t="s">
        <v>129</v>
      </c>
    </row>
    <row r="443" spans="10:11" ht="15.75" x14ac:dyDescent="0.25">
      <c r="J443" s="275" t="s">
        <v>626</v>
      </c>
      <c r="K443" s="258" t="s">
        <v>60</v>
      </c>
    </row>
    <row r="444" spans="10:11" ht="15.75" x14ac:dyDescent="0.25">
      <c r="J444" s="275" t="s">
        <v>626</v>
      </c>
      <c r="K444" s="258" t="s">
        <v>704</v>
      </c>
    </row>
    <row r="445" spans="10:11" ht="15.75" x14ac:dyDescent="0.25">
      <c r="J445" s="275" t="s">
        <v>626</v>
      </c>
      <c r="K445" s="258" t="s">
        <v>705</v>
      </c>
    </row>
    <row r="446" spans="10:11" ht="15.75" x14ac:dyDescent="0.25">
      <c r="J446" s="275" t="s">
        <v>626</v>
      </c>
      <c r="K446" s="258" t="s">
        <v>706</v>
      </c>
    </row>
    <row r="447" spans="10:11" ht="15.75" x14ac:dyDescent="0.25">
      <c r="J447" s="275" t="s">
        <v>53</v>
      </c>
      <c r="K447" s="258" t="s">
        <v>57</v>
      </c>
    </row>
    <row r="448" spans="10:11" ht="15.75" x14ac:dyDescent="0.25">
      <c r="J448" s="275" t="s">
        <v>53</v>
      </c>
      <c r="K448" s="258" t="s">
        <v>56</v>
      </c>
    </row>
    <row r="449" spans="10:11" ht="15.75" x14ac:dyDescent="0.25">
      <c r="J449" s="275" t="s">
        <v>53</v>
      </c>
      <c r="K449" s="258" t="s">
        <v>54</v>
      </c>
    </row>
    <row r="450" spans="10:11" ht="15.75" x14ac:dyDescent="0.25">
      <c r="J450" s="275" t="s">
        <v>627</v>
      </c>
      <c r="K450" s="258" t="s">
        <v>328</v>
      </c>
    </row>
    <row r="451" spans="10:11" ht="15.75" x14ac:dyDescent="0.25">
      <c r="J451" s="275" t="s">
        <v>628</v>
      </c>
      <c r="K451" s="258" t="s">
        <v>707</v>
      </c>
    </row>
    <row r="452" spans="10:11" ht="15.75" x14ac:dyDescent="0.25">
      <c r="J452" s="275" t="s">
        <v>628</v>
      </c>
      <c r="K452" s="258" t="s">
        <v>66</v>
      </c>
    </row>
    <row r="453" spans="10:11" ht="15.75" x14ac:dyDescent="0.25">
      <c r="J453" s="275" t="s">
        <v>58</v>
      </c>
      <c r="K453" s="258" t="s">
        <v>59</v>
      </c>
    </row>
    <row r="454" spans="10:11" ht="15.75" x14ac:dyDescent="0.25">
      <c r="J454" s="275" t="s">
        <v>58</v>
      </c>
      <c r="K454" s="258" t="s">
        <v>60</v>
      </c>
    </row>
    <row r="455" spans="10:11" ht="15.75" x14ac:dyDescent="0.25">
      <c r="J455" s="275" t="s">
        <v>58</v>
      </c>
      <c r="K455" s="258" t="s">
        <v>62</v>
      </c>
    </row>
    <row r="456" spans="10:11" ht="15.75" x14ac:dyDescent="0.25">
      <c r="J456" s="275" t="s">
        <v>58</v>
      </c>
      <c r="K456" s="258" t="s">
        <v>63</v>
      </c>
    </row>
    <row r="457" spans="10:11" ht="15.75" x14ac:dyDescent="0.25">
      <c r="J457" s="275" t="s">
        <v>58</v>
      </c>
      <c r="K457" s="258" t="s">
        <v>64</v>
      </c>
    </row>
    <row r="458" spans="10:11" ht="15.75" x14ac:dyDescent="0.25">
      <c r="J458" s="275" t="s">
        <v>58</v>
      </c>
      <c r="K458" s="258" t="s">
        <v>65</v>
      </c>
    </row>
    <row r="459" spans="10:11" ht="15.75" x14ac:dyDescent="0.25">
      <c r="J459" s="275" t="s">
        <v>58</v>
      </c>
      <c r="K459" s="258" t="s">
        <v>61</v>
      </c>
    </row>
    <row r="460" spans="10:11" ht="15.75" x14ac:dyDescent="0.25">
      <c r="J460" s="275" t="s">
        <v>629</v>
      </c>
      <c r="K460" s="258" t="s">
        <v>424</v>
      </c>
    </row>
    <row r="461" spans="10:11" ht="15.75" x14ac:dyDescent="0.25">
      <c r="J461" s="275" t="s">
        <v>629</v>
      </c>
      <c r="K461" s="258" t="s">
        <v>425</v>
      </c>
    </row>
    <row r="462" spans="10:11" ht="15.75" x14ac:dyDescent="0.25">
      <c r="J462" s="275" t="s">
        <v>629</v>
      </c>
      <c r="K462" s="258" t="s">
        <v>708</v>
      </c>
    </row>
    <row r="463" spans="10:11" ht="15.75" x14ac:dyDescent="0.25">
      <c r="J463" s="275" t="s">
        <v>629</v>
      </c>
      <c r="K463" s="258" t="s">
        <v>426</v>
      </c>
    </row>
    <row r="464" spans="10:11" ht="15.75" x14ac:dyDescent="0.25">
      <c r="J464" s="275" t="s">
        <v>427</v>
      </c>
      <c r="K464" s="258" t="s">
        <v>428</v>
      </c>
    </row>
    <row r="465" spans="10:11" ht="15.75" x14ac:dyDescent="0.25">
      <c r="J465" s="275" t="s">
        <v>630</v>
      </c>
      <c r="K465" s="258" t="s">
        <v>709</v>
      </c>
    </row>
    <row r="466" spans="10:11" ht="15.75" x14ac:dyDescent="0.25">
      <c r="J466" s="275" t="s">
        <v>630</v>
      </c>
      <c r="K466" s="258" t="s">
        <v>710</v>
      </c>
    </row>
    <row r="467" spans="10:11" ht="15.75" x14ac:dyDescent="0.25">
      <c r="J467" s="275" t="s">
        <v>630</v>
      </c>
      <c r="K467" s="258" t="s">
        <v>711</v>
      </c>
    </row>
    <row r="468" spans="10:11" ht="15.75" x14ac:dyDescent="0.25">
      <c r="J468" s="275" t="s">
        <v>630</v>
      </c>
      <c r="K468" s="258" t="s">
        <v>712</v>
      </c>
    </row>
    <row r="469" spans="10:11" ht="15.75" x14ac:dyDescent="0.25">
      <c r="J469" s="275" t="s">
        <v>630</v>
      </c>
      <c r="K469" s="258" t="s">
        <v>713</v>
      </c>
    </row>
    <row r="470" spans="10:11" ht="15.75" x14ac:dyDescent="0.25">
      <c r="J470" s="275" t="s">
        <v>631</v>
      </c>
      <c r="K470" s="258" t="s">
        <v>631</v>
      </c>
    </row>
    <row r="471" spans="10:11" ht="15.75" x14ac:dyDescent="0.25">
      <c r="J471" s="275"/>
      <c r="K471" s="258"/>
    </row>
    <row r="472" spans="10:11" ht="15.75" x14ac:dyDescent="0.25">
      <c r="J472" s="275"/>
      <c r="K472" s="258"/>
    </row>
    <row r="473" spans="10:11" ht="15.75" x14ac:dyDescent="0.25">
      <c r="J473" s="275"/>
      <c r="K473" s="258"/>
    </row>
    <row r="474" spans="10:11" ht="15.75" x14ac:dyDescent="0.25">
      <c r="J474" s="275"/>
      <c r="K474" s="258"/>
    </row>
    <row r="475" spans="10:11" ht="15.75" x14ac:dyDescent="0.25">
      <c r="J475" s="275"/>
      <c r="K475" s="258"/>
    </row>
    <row r="476" spans="10:11" ht="15.75" x14ac:dyDescent="0.25">
      <c r="J476" s="275"/>
      <c r="K476" s="258"/>
    </row>
    <row r="477" spans="10:11" ht="15.75" x14ac:dyDescent="0.25">
      <c r="J477" s="275"/>
      <c r="K477" s="258"/>
    </row>
    <row r="478" spans="10:11" ht="15.75" x14ac:dyDescent="0.25">
      <c r="J478" s="275"/>
      <c r="K478" s="258"/>
    </row>
    <row r="479" spans="10:11" ht="15.75" x14ac:dyDescent="0.25">
      <c r="J479" s="275"/>
      <c r="K479" s="258"/>
    </row>
    <row r="480" spans="10:11" ht="15.75" x14ac:dyDescent="0.25">
      <c r="J480" s="275"/>
      <c r="K480" s="258"/>
    </row>
    <row r="481" spans="10:11" ht="15.75" x14ac:dyDescent="0.25">
      <c r="J481" s="275"/>
      <c r="K481" s="258"/>
    </row>
    <row r="482" spans="10:11" ht="15.75" x14ac:dyDescent="0.25">
      <c r="J482" s="275"/>
      <c r="K482" s="258"/>
    </row>
    <row r="483" spans="10:11" ht="15.75" x14ac:dyDescent="0.25">
      <c r="J483" s="275"/>
      <c r="K483" s="258"/>
    </row>
    <row r="484" spans="10:11" ht="15.75" x14ac:dyDescent="0.25">
      <c r="J484" s="275"/>
      <c r="K484" s="258"/>
    </row>
    <row r="485" spans="10:11" ht="15.75" x14ac:dyDescent="0.25">
      <c r="J485" s="275"/>
      <c r="K485" s="258"/>
    </row>
    <row r="486" spans="10:11" ht="15.75" x14ac:dyDescent="0.25">
      <c r="J486" s="275"/>
      <c r="K486" s="258"/>
    </row>
    <row r="487" spans="10:11" ht="15.75" x14ac:dyDescent="0.25">
      <c r="J487" s="275"/>
      <c r="K487" s="258"/>
    </row>
    <row r="488" spans="10:11" ht="15.75" x14ac:dyDescent="0.25">
      <c r="J488" s="275"/>
      <c r="K488" s="258"/>
    </row>
    <row r="489" spans="10:11" ht="15.75" x14ac:dyDescent="0.25">
      <c r="J489" s="275"/>
      <c r="K489" s="258"/>
    </row>
    <row r="490" spans="10:11" ht="15.75" x14ac:dyDescent="0.25">
      <c r="J490" s="275"/>
      <c r="K490" s="258"/>
    </row>
    <row r="491" spans="10:11" ht="15.75" x14ac:dyDescent="0.25">
      <c r="J491" s="275"/>
      <c r="K491" s="258"/>
    </row>
    <row r="492" spans="10:11" ht="15.75" x14ac:dyDescent="0.25">
      <c r="J492" s="275"/>
      <c r="K492" s="258"/>
    </row>
    <row r="493" spans="10:11" ht="15.75" x14ac:dyDescent="0.25">
      <c r="J493" s="275"/>
      <c r="K493" s="258"/>
    </row>
    <row r="494" spans="10:11" ht="15.75" x14ac:dyDescent="0.25">
      <c r="J494" s="275"/>
      <c r="K494" s="258"/>
    </row>
    <row r="495" spans="10:11" ht="15.75" x14ac:dyDescent="0.25">
      <c r="J495" s="275"/>
      <c r="K495" s="258"/>
    </row>
    <row r="496" spans="10:11" ht="15.75" x14ac:dyDescent="0.25">
      <c r="J496" s="275"/>
      <c r="K496" s="258"/>
    </row>
    <row r="497" spans="10:11" ht="15.75" x14ac:dyDescent="0.25">
      <c r="J497" s="275"/>
      <c r="K497" s="258"/>
    </row>
    <row r="498" spans="10:11" ht="15.75" x14ac:dyDescent="0.25">
      <c r="J498" s="275"/>
      <c r="K498" s="258"/>
    </row>
    <row r="499" spans="10:11" ht="15.75" x14ac:dyDescent="0.25">
      <c r="J499" s="275"/>
      <c r="K499" s="258"/>
    </row>
    <row r="500" spans="10:11" ht="15.75" x14ac:dyDescent="0.25">
      <c r="J500" s="275"/>
      <c r="K500" s="258"/>
    </row>
    <row r="501" spans="10:11" ht="15.75" x14ac:dyDescent="0.25">
      <c r="J501" s="275"/>
      <c r="K501" s="258"/>
    </row>
    <row r="502" spans="10:11" ht="15.75" x14ac:dyDescent="0.25">
      <c r="J502" s="275"/>
      <c r="K502" s="258"/>
    </row>
    <row r="503" spans="10:11" ht="15.75" x14ac:dyDescent="0.25">
      <c r="J503" s="275"/>
      <c r="K503" s="258"/>
    </row>
    <row r="504" spans="10:11" ht="15.75" x14ac:dyDescent="0.25">
      <c r="J504" s="275"/>
      <c r="K504" s="258"/>
    </row>
    <row r="505" spans="10:11" ht="15.75" x14ac:dyDescent="0.25">
      <c r="J505" s="275"/>
      <c r="K505" s="258"/>
    </row>
    <row r="506" spans="10:11" ht="15.75" x14ac:dyDescent="0.25">
      <c r="J506" s="275"/>
      <c r="K506" s="258"/>
    </row>
    <row r="507" spans="10:11" ht="15.75" x14ac:dyDescent="0.25">
      <c r="J507" s="275"/>
      <c r="K507" s="258"/>
    </row>
    <row r="508" spans="10:11" ht="15.75" x14ac:dyDescent="0.25">
      <c r="J508" s="275"/>
      <c r="K508" s="258"/>
    </row>
    <row r="509" spans="10:11" ht="15.75" x14ac:dyDescent="0.25">
      <c r="J509" s="275"/>
      <c r="K509" s="258"/>
    </row>
    <row r="510" spans="10:11" ht="15.75" x14ac:dyDescent="0.25">
      <c r="J510" s="275"/>
      <c r="K510" s="258"/>
    </row>
    <row r="511" spans="10:11" ht="15.75" x14ac:dyDescent="0.25">
      <c r="J511" s="275"/>
      <c r="K511" s="258"/>
    </row>
    <row r="512" spans="10:11" ht="15.75" x14ac:dyDescent="0.25">
      <c r="J512" s="275"/>
      <c r="K512" s="258"/>
    </row>
    <row r="513" spans="10:11" ht="15.75" x14ac:dyDescent="0.25">
      <c r="J513" s="275"/>
      <c r="K513" s="258"/>
    </row>
    <row r="514" spans="10:11" ht="15.75" x14ac:dyDescent="0.25">
      <c r="J514" s="275"/>
      <c r="K514" s="258"/>
    </row>
    <row r="515" spans="10:11" ht="15.75" x14ac:dyDescent="0.25">
      <c r="J515" s="275"/>
      <c r="K515" s="258"/>
    </row>
    <row r="516" spans="10:11" ht="15.75" x14ac:dyDescent="0.25">
      <c r="J516" s="275"/>
      <c r="K516" s="258"/>
    </row>
    <row r="517" spans="10:11" ht="15.75" x14ac:dyDescent="0.25">
      <c r="J517" s="275"/>
      <c r="K517" s="258"/>
    </row>
    <row r="518" spans="10:11" ht="15.75" x14ac:dyDescent="0.25">
      <c r="J518" s="275"/>
      <c r="K518" s="258"/>
    </row>
    <row r="519" spans="10:11" ht="15.75" x14ac:dyDescent="0.25">
      <c r="J519" s="275"/>
      <c r="K519" s="258"/>
    </row>
    <row r="520" spans="10:11" ht="15.75" x14ac:dyDescent="0.25">
      <c r="J520" s="275"/>
      <c r="K520" s="258"/>
    </row>
    <row r="521" spans="10:11" ht="15.75" x14ac:dyDescent="0.25">
      <c r="J521" s="275"/>
      <c r="K521" s="258"/>
    </row>
    <row r="522" spans="10:11" ht="15.75" x14ac:dyDescent="0.25">
      <c r="J522" s="275"/>
      <c r="K522" s="258"/>
    </row>
    <row r="523" spans="10:11" ht="15.75" x14ac:dyDescent="0.25">
      <c r="J523" s="275"/>
      <c r="K523" s="258"/>
    </row>
    <row r="524" spans="10:11" ht="15.75" x14ac:dyDescent="0.25">
      <c r="J524" s="275"/>
      <c r="K524" s="258"/>
    </row>
    <row r="525" spans="10:11" ht="15.75" x14ac:dyDescent="0.25">
      <c r="J525" s="275"/>
      <c r="K525" s="258"/>
    </row>
    <row r="526" spans="10:11" ht="15.75" x14ac:dyDescent="0.25">
      <c r="J526" s="275"/>
      <c r="K526" s="258"/>
    </row>
    <row r="527" spans="10:11" ht="15.75" x14ac:dyDescent="0.25">
      <c r="J527" s="275"/>
      <c r="K527" s="258"/>
    </row>
    <row r="528" spans="10:11" ht="15.75" x14ac:dyDescent="0.25">
      <c r="J528" s="275"/>
      <c r="K528" s="258"/>
    </row>
    <row r="529" spans="10:11" ht="15.75" x14ac:dyDescent="0.25">
      <c r="J529" s="275"/>
      <c r="K529" s="258"/>
    </row>
    <row r="530" spans="10:11" ht="15.75" x14ac:dyDescent="0.25">
      <c r="J530" s="275"/>
      <c r="K530" s="258"/>
    </row>
    <row r="531" spans="10:11" ht="15.75" x14ac:dyDescent="0.25">
      <c r="J531" s="275"/>
      <c r="K531" s="258"/>
    </row>
    <row r="532" spans="10:11" ht="15.75" x14ac:dyDescent="0.25">
      <c r="J532" s="275"/>
      <c r="K532" s="258"/>
    </row>
    <row r="533" spans="10:11" ht="15.75" x14ac:dyDescent="0.25">
      <c r="J533" s="275"/>
      <c r="K533" s="258"/>
    </row>
    <row r="534" spans="10:11" ht="15.75" x14ac:dyDescent="0.25">
      <c r="J534" s="275"/>
      <c r="K534" s="258"/>
    </row>
    <row r="535" spans="10:11" ht="15.75" x14ac:dyDescent="0.25">
      <c r="J535" s="275"/>
      <c r="K535" s="258"/>
    </row>
    <row r="536" spans="10:11" ht="15.75" x14ac:dyDescent="0.25">
      <c r="J536" s="275"/>
      <c r="K536" s="283"/>
    </row>
    <row r="537" spans="10:11" ht="15.75" x14ac:dyDescent="0.25">
      <c r="J537" s="275"/>
      <c r="K537" s="267"/>
    </row>
    <row r="538" spans="10:11" ht="15.75" x14ac:dyDescent="0.25">
      <c r="J538" s="275"/>
      <c r="K538" s="267"/>
    </row>
    <row r="539" spans="10:11" ht="15.75" x14ac:dyDescent="0.25">
      <c r="J539" s="275"/>
      <c r="K539" s="267"/>
    </row>
    <row r="540" spans="10:11" ht="15.75" x14ac:dyDescent="0.25">
      <c r="J540" s="275"/>
      <c r="K540" s="267"/>
    </row>
    <row r="541" spans="10:11" ht="15.75" x14ac:dyDescent="0.25">
      <c r="J541" s="275"/>
      <c r="K541" s="267"/>
    </row>
    <row r="542" spans="10:11" ht="15.75" x14ac:dyDescent="0.25">
      <c r="J542" s="275"/>
      <c r="K542" s="267"/>
    </row>
    <row r="543" spans="10:11" ht="15.75" x14ac:dyDescent="0.25">
      <c r="J543" s="275"/>
      <c r="K543" s="267"/>
    </row>
  </sheetData>
  <sheetProtection algorithmName="SHA-512" hashValue="4oyl/HdxiIXhgVVbLwn34Z9W7N6zLLq3npaE/5mjHoodE3Gk7gVFlaAF5NXWt4vtzNqW3qVxbbntvUhJQHyoWQ==" saltValue="evDX4HxF4WWc/eUl6sA1vA==" spinCount="100000" sheet="1" objects="1" scenarios="1"/>
  <pageMargins left="0.7" right="0.7" top="0.75" bottom="0.75" header="0.3" footer="0.3"/>
  <tableParts count="4">
    <tablePart r:id="rId1"/>
    <tablePart r:id="rId2"/>
    <tablePart r:id="rId3"/>
    <tablePart r:id="rId4"/>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Лист2">
    <tabColor rgb="FF00B050"/>
  </sheetPr>
  <dimension ref="A1:AH316"/>
  <sheetViews>
    <sheetView zoomScale="85" zoomScaleNormal="85" workbookViewId="0">
      <pane ySplit="1" topLeftCell="A2" activePane="bottomLeft" state="frozen"/>
      <selection pane="bottomLeft" activeCell="D283" sqref="D283:F283"/>
    </sheetView>
  </sheetViews>
  <sheetFormatPr defaultRowHeight="15" x14ac:dyDescent="0.25"/>
  <cols>
    <col min="1" max="1" width="0.7109375" style="1292" customWidth="1"/>
    <col min="2" max="2" width="5" style="1480" customWidth="1"/>
    <col min="3" max="3" width="57.42578125" customWidth="1"/>
    <col min="4" max="4" width="45.42578125" customWidth="1"/>
    <col min="5" max="5" width="61.42578125" customWidth="1"/>
    <col min="6" max="6" width="38.85546875" customWidth="1"/>
    <col min="7" max="7" width="19.28515625" customWidth="1"/>
    <col min="8" max="8" width="11.42578125" customWidth="1"/>
    <col min="9" max="9" width="16.42578125" customWidth="1"/>
    <col min="10" max="10" width="15.140625" customWidth="1"/>
    <col min="11" max="11" width="17.140625" customWidth="1"/>
    <col min="29" max="29" width="10.7109375" bestFit="1" customWidth="1"/>
  </cols>
  <sheetData>
    <row r="1" spans="1:26" s="1320" customFormat="1" ht="15" customHeight="1" x14ac:dyDescent="0.25">
      <c r="A1" s="1292"/>
      <c r="B1" s="1474"/>
      <c r="C1" s="1373" t="s">
        <v>1661</v>
      </c>
      <c r="D1" s="1319"/>
      <c r="E1" s="1374" t="s">
        <v>1654</v>
      </c>
      <c r="F1" s="1578"/>
      <c r="G1" s="1578"/>
      <c r="H1" s="1578"/>
      <c r="I1" s="1578"/>
      <c r="J1" s="1578"/>
      <c r="K1" s="1578"/>
      <c r="L1" s="1578"/>
      <c r="M1" s="1578"/>
      <c r="N1" s="1578"/>
      <c r="O1" s="1578"/>
      <c r="P1" s="1578"/>
      <c r="Q1" s="1578"/>
      <c r="R1" s="1578"/>
      <c r="S1" s="1578"/>
      <c r="T1" s="1578"/>
      <c r="U1" s="1578"/>
      <c r="V1" s="1578"/>
      <c r="W1" s="1578"/>
      <c r="X1" s="1578"/>
      <c r="Y1" s="1578"/>
      <c r="Z1" s="1318"/>
    </row>
    <row r="2" spans="1:26" s="17" customFormat="1" ht="15" customHeight="1" x14ac:dyDescent="0.25">
      <c r="A2" s="1292"/>
      <c r="B2" s="1475"/>
      <c r="C2" s="28"/>
      <c r="D2" s="28"/>
      <c r="E2" s="18" t="s">
        <v>1755</v>
      </c>
      <c r="F2" s="18"/>
      <c r="G2" s="18"/>
      <c r="H2" s="18"/>
      <c r="I2" s="18"/>
      <c r="J2" s="18"/>
      <c r="K2" s="18"/>
      <c r="L2" s="18"/>
      <c r="M2" s="18"/>
      <c r="N2" s="18"/>
      <c r="O2" s="18"/>
      <c r="P2" s="18"/>
      <c r="Q2" s="18"/>
      <c r="R2" s="18"/>
      <c r="S2" s="18"/>
      <c r="T2" s="18"/>
      <c r="U2" s="18"/>
      <c r="V2" s="18"/>
      <c r="W2" s="18"/>
      <c r="X2" s="18"/>
      <c r="Y2" s="18"/>
      <c r="Z2" s="18"/>
    </row>
    <row r="3" spans="1:26" s="17" customFormat="1" ht="15" customHeight="1" x14ac:dyDescent="0.25">
      <c r="A3" s="1292"/>
      <c r="B3" s="1475"/>
      <c r="C3" s="1579" t="s">
        <v>1756</v>
      </c>
      <c r="D3" s="1580"/>
      <c r="E3" s="67" t="s">
        <v>1238</v>
      </c>
      <c r="F3" s="18"/>
      <c r="G3" s="18"/>
      <c r="H3" s="18"/>
      <c r="I3" s="18"/>
      <c r="J3" s="18"/>
      <c r="K3" s="18"/>
      <c r="L3" s="18"/>
      <c r="M3" s="18"/>
      <c r="N3" s="18"/>
      <c r="O3" s="18"/>
      <c r="P3" s="18"/>
      <c r="Q3" s="18"/>
      <c r="R3" s="18"/>
      <c r="S3" s="18"/>
      <c r="T3" s="18"/>
      <c r="U3" s="18"/>
      <c r="V3" s="18"/>
      <c r="W3" s="18"/>
      <c r="X3" s="18"/>
      <c r="Y3" s="18"/>
      <c r="Z3" s="18"/>
    </row>
    <row r="4" spans="1:26" s="17" customFormat="1" ht="15" customHeight="1" x14ac:dyDescent="0.25">
      <c r="A4" s="1292"/>
      <c r="B4" s="1475"/>
      <c r="C4" s="1579"/>
      <c r="D4" s="1580"/>
      <c r="E4" s="11" t="s">
        <v>1812</v>
      </c>
      <c r="F4" s="18"/>
      <c r="G4" s="18"/>
      <c r="H4" s="18"/>
      <c r="I4" s="18"/>
      <c r="J4" s="18"/>
      <c r="K4" s="18"/>
      <c r="L4" s="18"/>
      <c r="M4" s="18"/>
      <c r="N4" s="18"/>
      <c r="O4" s="18"/>
      <c r="P4" s="18"/>
      <c r="Q4" s="18"/>
      <c r="R4" s="18"/>
      <c r="S4" s="18"/>
      <c r="T4" s="18"/>
      <c r="U4" s="18"/>
      <c r="V4" s="18"/>
      <c r="W4" s="18"/>
      <c r="X4" s="18"/>
      <c r="Y4" s="18"/>
      <c r="Z4" s="18"/>
    </row>
    <row r="5" spans="1:26" s="17" customFormat="1" x14ac:dyDescent="0.25">
      <c r="A5" s="1292"/>
      <c r="B5" s="1475"/>
      <c r="C5" s="1579"/>
      <c r="D5" s="1580"/>
      <c r="E5" s="25" t="s">
        <v>1750</v>
      </c>
      <c r="F5" s="18"/>
      <c r="G5" s="18"/>
      <c r="H5" s="18"/>
      <c r="I5" s="18"/>
      <c r="J5" s="18"/>
      <c r="K5" s="18"/>
      <c r="L5" s="18"/>
      <c r="M5" s="18"/>
      <c r="N5" s="18"/>
      <c r="O5" s="18"/>
      <c r="P5" s="18"/>
      <c r="Q5" s="18"/>
      <c r="R5" s="18"/>
      <c r="S5" s="18"/>
      <c r="T5" s="18"/>
      <c r="U5" s="18"/>
      <c r="V5" s="18"/>
      <c r="W5" s="18"/>
      <c r="X5" s="18"/>
      <c r="Y5" s="18"/>
      <c r="Z5" s="18"/>
    </row>
    <row r="6" spans="1:26" s="17" customFormat="1" x14ac:dyDescent="0.25">
      <c r="A6" s="1292"/>
      <c r="B6" s="1475"/>
      <c r="C6" s="1578"/>
      <c r="D6" s="1580"/>
      <c r="E6" s="1326" t="s">
        <v>1428</v>
      </c>
      <c r="F6" s="18"/>
      <c r="G6" s="18"/>
      <c r="H6" s="18"/>
      <c r="I6" s="18"/>
      <c r="J6" s="18"/>
      <c r="K6" s="18"/>
      <c r="L6" s="18"/>
      <c r="M6" s="18"/>
      <c r="N6" s="18"/>
      <c r="O6" s="18"/>
      <c r="P6" s="18"/>
      <c r="Q6" s="18"/>
      <c r="R6" s="18"/>
      <c r="S6" s="18"/>
      <c r="T6" s="18"/>
      <c r="U6" s="18"/>
      <c r="V6" s="18"/>
      <c r="W6" s="18"/>
      <c r="X6" s="18"/>
      <c r="Y6" s="18"/>
      <c r="Z6" s="18"/>
    </row>
    <row r="7" spans="1:26" s="17" customFormat="1" ht="16.5" customHeight="1" thickBot="1" x14ac:dyDescent="0.3">
      <c r="A7" s="1292"/>
      <c r="B7" s="1475"/>
      <c r="C7" s="1318"/>
      <c r="D7" s="1318"/>
      <c r="E7" s="1329"/>
      <c r="F7" s="18"/>
      <c r="G7" s="18"/>
      <c r="H7" s="18"/>
      <c r="I7" s="18"/>
      <c r="J7" s="18"/>
      <c r="K7" s="18"/>
      <c r="L7" s="18"/>
      <c r="M7" s="18"/>
      <c r="N7" s="18"/>
      <c r="O7" s="18"/>
      <c r="P7" s="18"/>
      <c r="Q7" s="18"/>
      <c r="R7" s="18"/>
      <c r="S7" s="18"/>
      <c r="T7" s="18"/>
      <c r="U7" s="18"/>
      <c r="V7" s="18"/>
      <c r="W7" s="18"/>
      <c r="X7" s="18"/>
      <c r="Y7" s="18"/>
      <c r="Z7" s="18"/>
    </row>
    <row r="8" spans="1:26" ht="26.25" customHeight="1" thickBot="1" x14ac:dyDescent="0.3">
      <c r="B8" s="1476">
        <v>0.125</v>
      </c>
      <c r="C8" s="1583" t="s">
        <v>756</v>
      </c>
      <c r="D8" s="1584"/>
      <c r="E8" s="1585"/>
      <c r="F8" s="74"/>
      <c r="G8" s="10"/>
      <c r="H8" s="10"/>
      <c r="I8" s="10"/>
      <c r="J8" s="10"/>
      <c r="K8" s="10"/>
      <c r="L8" s="18"/>
      <c r="M8" s="18"/>
      <c r="N8" s="18"/>
      <c r="O8" s="18"/>
      <c r="P8" s="18"/>
      <c r="Q8" s="18"/>
      <c r="R8" s="18"/>
      <c r="S8" s="18"/>
      <c r="T8" s="18"/>
      <c r="U8" s="18"/>
      <c r="V8" s="18"/>
      <c r="W8" s="18"/>
      <c r="X8" s="18"/>
      <c r="Y8" s="18"/>
      <c r="Z8" s="18"/>
    </row>
    <row r="9" spans="1:26" x14ac:dyDescent="0.25">
      <c r="B9" s="1477">
        <v>1</v>
      </c>
      <c r="C9" s="1286" t="s">
        <v>1864</v>
      </c>
      <c r="D9" s="71"/>
      <c r="E9" s="1481"/>
      <c r="F9" s="74"/>
      <c r="G9" s="10"/>
      <c r="H9" s="10"/>
      <c r="I9" s="10"/>
      <c r="J9" s="10"/>
      <c r="K9" s="10"/>
      <c r="L9" s="18"/>
      <c r="M9" s="18"/>
      <c r="N9" s="18"/>
      <c r="O9" s="18"/>
      <c r="P9" s="18"/>
      <c r="Q9" s="18"/>
      <c r="R9" s="18"/>
      <c r="S9" s="18"/>
      <c r="T9" s="18"/>
      <c r="U9" s="18"/>
      <c r="V9" s="18"/>
      <c r="W9" s="18"/>
      <c r="X9" s="18"/>
      <c r="Y9" s="18"/>
      <c r="Z9" s="18"/>
    </row>
    <row r="10" spans="1:26" x14ac:dyDescent="0.25">
      <c r="B10" s="1477">
        <v>2</v>
      </c>
      <c r="C10" s="1286" t="s">
        <v>752</v>
      </c>
      <c r="D10" s="71" t="s">
        <v>461</v>
      </c>
      <c r="E10" s="1481"/>
      <c r="F10" s="74"/>
      <c r="G10" s="10"/>
      <c r="H10" s="10"/>
      <c r="I10" s="10"/>
      <c r="J10" s="10"/>
      <c r="K10" s="10"/>
      <c r="L10" s="18"/>
      <c r="M10" s="18"/>
      <c r="N10" s="18"/>
      <c r="O10" s="18"/>
      <c r="P10" s="18"/>
      <c r="Q10" s="18"/>
      <c r="R10" s="18"/>
      <c r="S10" s="18"/>
      <c r="T10" s="18"/>
      <c r="U10" s="18"/>
      <c r="V10" s="18"/>
      <c r="W10" s="18"/>
      <c r="X10" s="18"/>
      <c r="Y10" s="18"/>
      <c r="Z10" s="18"/>
    </row>
    <row r="11" spans="1:26" x14ac:dyDescent="0.25">
      <c r="B11" s="1477">
        <v>3</v>
      </c>
      <c r="C11" s="1287" t="s">
        <v>753</v>
      </c>
      <c r="D11" s="71" t="s">
        <v>461</v>
      </c>
      <c r="E11" s="1481"/>
      <c r="F11" s="1498" t="str">
        <f>IF(TYPE(Климатология!E2)=16,"Проверьте выбор города","")</f>
        <v>Проверьте выбор города</v>
      </c>
      <c r="G11" s="10"/>
      <c r="H11" s="10"/>
      <c r="I11" s="10"/>
      <c r="J11" s="10"/>
      <c r="K11" s="10"/>
      <c r="L11" s="18"/>
      <c r="M11" s="18"/>
      <c r="N11" s="18"/>
      <c r="O11" s="18"/>
      <c r="P11" s="18"/>
      <c r="Q11" s="18"/>
      <c r="R11" s="18"/>
      <c r="S11" s="18"/>
      <c r="T11" s="18"/>
      <c r="U11" s="18"/>
      <c r="V11" s="18"/>
      <c r="W11" s="18"/>
      <c r="X11" s="18"/>
      <c r="Y11" s="18"/>
      <c r="Z11" s="18"/>
    </row>
    <row r="12" spans="1:26" ht="15.75" customHeight="1" x14ac:dyDescent="0.25">
      <c r="B12" s="1477">
        <v>4</v>
      </c>
      <c r="C12" s="1287" t="s">
        <v>810</v>
      </c>
      <c r="D12" s="71"/>
      <c r="E12" s="1481" t="s">
        <v>1759</v>
      </c>
      <c r="F12" s="1498" t="str">
        <f>IF(D12="","Введите год постройки","")</f>
        <v>Введите год постройки</v>
      </c>
      <c r="G12" s="10"/>
      <c r="H12" s="10"/>
      <c r="I12" s="10"/>
      <c r="J12" s="10"/>
      <c r="K12" s="10"/>
      <c r="L12" s="18"/>
      <c r="M12" s="18"/>
      <c r="N12" s="18"/>
      <c r="O12" s="18"/>
      <c r="P12" s="18"/>
      <c r="Q12" s="18"/>
      <c r="R12" s="18"/>
      <c r="S12" s="18"/>
      <c r="T12" s="18"/>
      <c r="U12" s="18"/>
      <c r="V12" s="18"/>
      <c r="W12" s="18"/>
      <c r="X12" s="18"/>
      <c r="Y12" s="18"/>
      <c r="Z12" s="18"/>
    </row>
    <row r="13" spans="1:26" s="17" customFormat="1" ht="54.75" customHeight="1" x14ac:dyDescent="0.25">
      <c r="A13" s="1292"/>
      <c r="B13" s="1499" t="s">
        <v>1913</v>
      </c>
      <c r="C13" s="1495" t="s">
        <v>1904</v>
      </c>
      <c r="D13" s="71" t="str">
        <f>IF(ISBLANK(D12),
        INDEX(snipyear,1),
        IF(D12&lt;=1996,
                INDEX(snipyear,2),
                IF(D12&lt;2001,
                        INDEX(snipyear,3),
                        INDEX(snipyear,4))))</f>
        <v>Пожалуйста, выберите</v>
      </c>
      <c r="E13" s="1496" t="s">
        <v>1914</v>
      </c>
      <c r="F13" s="1498" t="str">
        <f>IF(OR(D13="",D13="Пожалуйста, выберите"),"Выберите вариант","")</f>
        <v>Выберите вариант</v>
      </c>
      <c r="G13" s="18"/>
      <c r="H13" s="18"/>
      <c r="I13" s="18"/>
      <c r="J13" s="18"/>
      <c r="K13" s="18"/>
      <c r="L13" s="18"/>
      <c r="M13" s="18"/>
      <c r="N13" s="18"/>
      <c r="O13" s="18"/>
      <c r="P13" s="18"/>
      <c r="Q13" s="18"/>
      <c r="R13" s="18"/>
      <c r="S13" s="18"/>
      <c r="T13" s="18"/>
      <c r="U13" s="18"/>
      <c r="V13" s="18"/>
      <c r="W13" s="18"/>
      <c r="X13" s="18"/>
      <c r="Y13" s="18"/>
      <c r="Z13" s="18"/>
    </row>
    <row r="14" spans="1:26" ht="45" x14ac:dyDescent="0.25">
      <c r="B14" s="1477">
        <v>5</v>
      </c>
      <c r="C14" s="1287" t="s">
        <v>757</v>
      </c>
      <c r="D14" s="73" t="s">
        <v>446</v>
      </c>
      <c r="E14" s="1482" t="s">
        <v>1762</v>
      </c>
      <c r="F14" s="74"/>
      <c r="G14" s="10"/>
      <c r="H14" s="10"/>
      <c r="I14" s="10"/>
      <c r="J14" s="10"/>
      <c r="K14" s="10"/>
      <c r="L14" s="18"/>
      <c r="M14" s="18"/>
      <c r="N14" s="18"/>
      <c r="O14" s="18"/>
      <c r="P14" s="18"/>
      <c r="Q14" s="18"/>
      <c r="R14" s="18"/>
      <c r="S14" s="18"/>
      <c r="T14" s="18"/>
      <c r="U14" s="18"/>
      <c r="V14" s="18"/>
      <c r="W14" s="18"/>
      <c r="X14" s="18"/>
      <c r="Y14" s="18"/>
      <c r="Z14" s="18"/>
    </row>
    <row r="15" spans="1:26" s="8" customFormat="1" x14ac:dyDescent="0.25">
      <c r="A15" s="1292"/>
      <c r="B15" s="1587">
        <v>6</v>
      </c>
      <c r="C15" s="1586" t="s">
        <v>1167</v>
      </c>
      <c r="D15" s="25" t="str">
        <f>IF(COUNTIF('Серии теплотехника'!A5:A33,'Ввод исходных данных'!D14)&gt;1,"выберите ниже",VLOOKUP('Ввод исходных данных'!D14,'Серии теплотехника'!A5:C39,3,0))</f>
        <v>выберите ниже</v>
      </c>
      <c r="E15" s="1581" t="str">
        <f>"Если внутри серии есть варианты материалов стен, или серия не выбрана, выберите материал из выпадающего списка."</f>
        <v>Если внутри серии есть варианты материалов стен, или серия не выбрана, выберите материал из выпадающего списка.</v>
      </c>
      <c r="F15" s="74"/>
      <c r="G15" s="10"/>
      <c r="H15" s="10"/>
      <c r="I15" s="10"/>
      <c r="J15" s="10"/>
      <c r="K15" s="10"/>
      <c r="L15" s="18"/>
      <c r="M15" s="18"/>
      <c r="N15" s="18"/>
      <c r="O15" s="18"/>
      <c r="P15" s="18"/>
      <c r="Q15" s="18"/>
      <c r="R15" s="18"/>
      <c r="S15" s="18"/>
      <c r="T15" s="18"/>
      <c r="U15" s="18"/>
      <c r="V15" s="18"/>
      <c r="W15" s="18"/>
      <c r="X15" s="18"/>
      <c r="Y15" s="18"/>
      <c r="Z15" s="18"/>
    </row>
    <row r="16" spans="1:26" s="8" customFormat="1" ht="18" customHeight="1" x14ac:dyDescent="0.25">
      <c r="A16" s="1292"/>
      <c r="B16" s="1587"/>
      <c r="C16" s="1586"/>
      <c r="D16" s="1290" t="s">
        <v>1442</v>
      </c>
      <c r="E16" s="1582"/>
      <c r="F16" s="1498" t="str">
        <f>IF(TYPE('Расчет базового уровня'!C134)=16,"Проверьте выбор материала","")</f>
        <v>Проверьте выбор материала</v>
      </c>
      <c r="G16" s="18"/>
      <c r="H16" s="10"/>
      <c r="I16" s="10"/>
      <c r="J16" s="10"/>
      <c r="K16" s="10"/>
      <c r="L16" s="18"/>
      <c r="M16" s="18"/>
      <c r="N16" s="18"/>
      <c r="O16" s="18"/>
      <c r="P16" s="18"/>
      <c r="Q16" s="18"/>
      <c r="R16" s="18"/>
      <c r="S16" s="18"/>
      <c r="T16" s="18"/>
      <c r="U16" s="18"/>
      <c r="V16" s="18"/>
      <c r="W16" s="18"/>
      <c r="X16" s="18"/>
      <c r="Y16" s="18"/>
      <c r="Z16" s="18"/>
    </row>
    <row r="17" spans="1:26" ht="15.75" customHeight="1" x14ac:dyDescent="0.25">
      <c r="B17" s="1477">
        <v>7</v>
      </c>
      <c r="C17" s="1288" t="s">
        <v>1758</v>
      </c>
      <c r="D17" s="71"/>
      <c r="E17" s="1613" t="str">
        <f>IF(D14="Нет в списке","",IFERROR(VLOOKUP(CONCATENATE(D14,D19,D17),'Серии планировка'!$C$7:$D$50,1,0),"Внимание! Такого сочетания этажности и протяженности для этой серии нет в библиотеке. Проверьте ввод. Если все верно, то не стоит беспокоиться: расчет будет проведен исходя из удельных показателей серии"))</f>
        <v/>
      </c>
      <c r="F17" s="74"/>
      <c r="G17" s="18"/>
      <c r="H17" s="10"/>
      <c r="I17" s="10"/>
      <c r="J17" s="10"/>
      <c r="K17" s="10"/>
      <c r="L17" s="18"/>
      <c r="M17" s="18"/>
      <c r="N17" s="18"/>
      <c r="O17" s="18"/>
      <c r="P17" s="18"/>
      <c r="Q17" s="18"/>
      <c r="R17" s="18"/>
      <c r="S17" s="18"/>
      <c r="T17" s="18"/>
      <c r="U17" s="18"/>
      <c r="V17" s="18"/>
      <c r="W17" s="18"/>
      <c r="X17" s="18"/>
      <c r="Y17" s="18"/>
      <c r="Z17" s="18"/>
    </row>
    <row r="18" spans="1:26" s="17" customFormat="1" ht="21.75" customHeight="1" x14ac:dyDescent="0.25">
      <c r="A18" s="1292"/>
      <c r="B18" s="1477">
        <v>8</v>
      </c>
      <c r="C18" s="1288"/>
      <c r="D18" s="1291"/>
      <c r="E18" s="1613"/>
      <c r="F18" s="74"/>
      <c r="G18" s="18"/>
      <c r="H18" s="18"/>
      <c r="I18" s="18"/>
      <c r="J18" s="18"/>
      <c r="K18" s="18"/>
      <c r="L18" s="18"/>
      <c r="M18" s="18"/>
      <c r="N18" s="18"/>
      <c r="O18" s="18"/>
      <c r="P18" s="18"/>
      <c r="Q18" s="18"/>
      <c r="R18" s="18"/>
      <c r="S18" s="18"/>
      <c r="T18" s="18"/>
      <c r="U18" s="18"/>
      <c r="V18" s="18"/>
      <c r="W18" s="18"/>
      <c r="X18" s="18"/>
      <c r="Y18" s="18"/>
      <c r="Z18" s="18"/>
    </row>
    <row r="19" spans="1:26" ht="33" customHeight="1" x14ac:dyDescent="0.25">
      <c r="B19" s="1477">
        <v>9</v>
      </c>
      <c r="C19" s="1286" t="s">
        <v>1496</v>
      </c>
      <c r="D19" s="71"/>
      <c r="E19" s="1613"/>
      <c r="F19" s="74"/>
      <c r="G19" s="18"/>
      <c r="H19" s="10"/>
      <c r="I19" s="10"/>
      <c r="J19" s="10"/>
      <c r="K19" s="10"/>
      <c r="L19" s="18"/>
      <c r="M19" s="18"/>
      <c r="N19" s="18"/>
      <c r="O19" s="18"/>
      <c r="P19" s="18"/>
      <c r="Q19" s="18"/>
      <c r="R19" s="18"/>
      <c r="S19" s="18"/>
      <c r="T19" s="18"/>
      <c r="U19" s="18"/>
      <c r="V19" s="18"/>
      <c r="W19" s="18"/>
      <c r="X19" s="18"/>
      <c r="Y19" s="18"/>
      <c r="Z19" s="18"/>
    </row>
    <row r="20" spans="1:26" x14ac:dyDescent="0.25">
      <c r="B20" s="1477">
        <v>10</v>
      </c>
      <c r="C20" s="1287" t="s">
        <v>1760</v>
      </c>
      <c r="D20" s="71"/>
      <c r="E20" s="1613"/>
      <c r="F20" s="74"/>
      <c r="G20" s="18"/>
      <c r="H20" s="10"/>
      <c r="I20" s="10"/>
      <c r="J20" s="10"/>
      <c r="K20" s="10"/>
      <c r="L20" s="18"/>
      <c r="M20" s="18"/>
      <c r="N20" s="18"/>
      <c r="O20" s="18"/>
      <c r="P20" s="18"/>
      <c r="Q20" s="18"/>
      <c r="R20" s="18"/>
      <c r="S20" s="18"/>
      <c r="T20" s="18"/>
      <c r="U20" s="18"/>
      <c r="V20" s="18"/>
      <c r="W20" s="18"/>
      <c r="X20" s="18"/>
      <c r="Y20" s="18"/>
      <c r="Z20" s="18"/>
    </row>
    <row r="21" spans="1:26" ht="29.25" customHeight="1" x14ac:dyDescent="0.25">
      <c r="B21" s="1477">
        <v>11</v>
      </c>
      <c r="C21" s="1288" t="s">
        <v>1274</v>
      </c>
      <c r="D21" s="71"/>
      <c r="E21" s="1613"/>
      <c r="F21" s="74"/>
      <c r="G21" s="18"/>
      <c r="H21" s="10"/>
      <c r="I21" s="10"/>
      <c r="J21" s="10"/>
      <c r="K21" s="10"/>
      <c r="L21" s="18"/>
      <c r="M21" s="18"/>
      <c r="N21" s="18"/>
      <c r="O21" s="18"/>
      <c r="P21" s="18"/>
      <c r="Q21" s="18"/>
      <c r="R21" s="18"/>
      <c r="S21" s="18"/>
      <c r="T21" s="18"/>
      <c r="U21" s="18"/>
      <c r="V21" s="18"/>
      <c r="W21" s="18"/>
      <c r="X21" s="18"/>
      <c r="Y21" s="18"/>
      <c r="Z21" s="18"/>
    </row>
    <row r="22" spans="1:26" x14ac:dyDescent="0.25">
      <c r="B22" s="1477">
        <v>12</v>
      </c>
      <c r="C22" s="1287" t="s">
        <v>755</v>
      </c>
      <c r="D22" s="71"/>
      <c r="E22" s="1483"/>
      <c r="F22" s="74"/>
      <c r="G22" s="10"/>
      <c r="H22" s="10"/>
      <c r="I22" s="10"/>
      <c r="J22" s="10"/>
      <c r="K22" s="10"/>
      <c r="L22" s="18"/>
      <c r="M22" s="18"/>
      <c r="N22" s="18"/>
      <c r="O22" s="18"/>
      <c r="P22" s="18"/>
      <c r="Q22" s="18"/>
      <c r="R22" s="18"/>
      <c r="S22" s="18"/>
      <c r="T22" s="18"/>
      <c r="U22" s="18"/>
      <c r="V22" s="18"/>
      <c r="W22" s="18"/>
      <c r="X22" s="18"/>
      <c r="Y22" s="18"/>
      <c r="Z22" s="18"/>
    </row>
    <row r="23" spans="1:26" ht="30" x14ac:dyDescent="0.25">
      <c r="B23" s="1477">
        <v>13</v>
      </c>
      <c r="C23" s="1288" t="s">
        <v>1757</v>
      </c>
      <c r="D23" s="72"/>
      <c r="E23" s="1482" t="s">
        <v>1763</v>
      </c>
      <c r="F23" s="1435" t="str">
        <f>IF(D14&lt;&gt;"нет в списке",IF(D23/G44&gt;0.1,"Доля площади нежилых помещений более 10%. МКД не подходит для программы",""),"")</f>
        <v/>
      </c>
      <c r="G23" s="10"/>
      <c r="H23" s="10"/>
      <c r="I23" s="10"/>
      <c r="J23" s="10"/>
      <c r="K23" s="10"/>
      <c r="L23" s="18"/>
      <c r="M23" s="18"/>
      <c r="N23" s="18"/>
      <c r="O23" s="18"/>
      <c r="P23" s="18"/>
      <c r="Q23" s="18"/>
      <c r="R23" s="18"/>
      <c r="S23" s="18"/>
      <c r="T23" s="18"/>
      <c r="U23" s="18"/>
      <c r="V23" s="18"/>
      <c r="W23" s="18"/>
      <c r="X23" s="18"/>
      <c r="Y23" s="18"/>
      <c r="Z23" s="18"/>
    </row>
    <row r="24" spans="1:26" s="8" customFormat="1" x14ac:dyDescent="0.25">
      <c r="A24" s="1292"/>
      <c r="B24" s="1587">
        <v>14</v>
      </c>
      <c r="C24" s="1609" t="s">
        <v>1516</v>
      </c>
      <c r="D24" s="9"/>
      <c r="E24" s="1592" t="s">
        <v>1764</v>
      </c>
      <c r="F24" s="1545" t="str">
        <f>IF(AND(D23&lt;&gt;0,списки!D42&lt;1),"МКД не подходит под программу, т.к. в нежилых помещениях отсутствуют ИПУ электроэнергии","")</f>
        <v/>
      </c>
      <c r="G24" s="10"/>
      <c r="H24" s="10"/>
      <c r="I24" s="10"/>
      <c r="J24" s="10"/>
      <c r="K24" s="10"/>
      <c r="L24" s="18"/>
      <c r="M24" s="18"/>
      <c r="N24" s="18"/>
      <c r="O24" s="18"/>
      <c r="P24" s="18"/>
      <c r="Q24" s="18"/>
      <c r="R24" s="18"/>
      <c r="S24" s="18"/>
      <c r="T24" s="18"/>
      <c r="U24" s="18"/>
      <c r="V24" s="18"/>
      <c r="W24" s="18"/>
      <c r="X24" s="18"/>
      <c r="Y24" s="18"/>
      <c r="Z24" s="18"/>
    </row>
    <row r="25" spans="1:26" s="8" customFormat="1" x14ac:dyDescent="0.25">
      <c r="A25" s="1292"/>
      <c r="B25" s="1587"/>
      <c r="C25" s="1610"/>
      <c r="D25" s="9"/>
      <c r="E25" s="1592"/>
      <c r="F25" s="1545"/>
      <c r="G25" s="10"/>
      <c r="H25" s="10"/>
      <c r="I25" s="10"/>
      <c r="J25" s="10"/>
      <c r="K25" s="10"/>
      <c r="L25" s="18"/>
      <c r="M25" s="18"/>
      <c r="N25" s="18"/>
      <c r="O25" s="18"/>
      <c r="P25" s="18"/>
      <c r="Q25" s="18"/>
      <c r="R25" s="18"/>
      <c r="S25" s="18"/>
      <c r="T25" s="18"/>
      <c r="U25" s="18"/>
      <c r="V25" s="18"/>
      <c r="W25" s="18"/>
      <c r="X25" s="18"/>
      <c r="Y25" s="18"/>
      <c r="Z25" s="18"/>
    </row>
    <row r="26" spans="1:26" s="8" customFormat="1" x14ac:dyDescent="0.25">
      <c r="A26" s="1292"/>
      <c r="B26" s="1587"/>
      <c r="C26" s="1611"/>
      <c r="D26" s="9"/>
      <c r="E26" s="1592"/>
      <c r="F26" s="1545"/>
      <c r="G26" s="10"/>
      <c r="H26" s="10"/>
      <c r="I26" s="10"/>
      <c r="J26" s="10"/>
      <c r="K26" s="10"/>
      <c r="L26" s="18"/>
      <c r="M26" s="18"/>
      <c r="N26" s="18"/>
      <c r="O26" s="18"/>
      <c r="P26" s="18"/>
      <c r="Q26" s="18"/>
      <c r="R26" s="18"/>
      <c r="S26" s="18"/>
      <c r="T26" s="18"/>
      <c r="U26" s="18"/>
      <c r="V26" s="18"/>
      <c r="W26" s="18"/>
      <c r="X26" s="18"/>
      <c r="Y26" s="18"/>
      <c r="Z26" s="18"/>
    </row>
    <row r="27" spans="1:26" ht="32.25" customHeight="1" x14ac:dyDescent="0.25">
      <c r="B27" s="1477">
        <v>15</v>
      </c>
      <c r="C27" s="1287" t="s">
        <v>519</v>
      </c>
      <c r="D27" s="24"/>
      <c r="E27" s="1482" t="s">
        <v>1761</v>
      </c>
      <c r="F27" s="74"/>
      <c r="G27" s="10"/>
      <c r="H27" s="10"/>
      <c r="I27" s="10"/>
      <c r="J27" s="10"/>
      <c r="K27" s="10"/>
      <c r="L27" s="18"/>
      <c r="M27" s="18"/>
      <c r="N27" s="18"/>
      <c r="O27" s="18"/>
      <c r="P27" s="18"/>
      <c r="Q27" s="18"/>
      <c r="R27" s="18"/>
      <c r="S27" s="18"/>
      <c r="T27" s="18"/>
      <c r="U27" s="18"/>
      <c r="V27" s="18"/>
      <c r="W27" s="18"/>
      <c r="X27" s="18"/>
      <c r="Y27" s="18"/>
      <c r="Z27" s="18"/>
    </row>
    <row r="28" spans="1:26" ht="26.25" customHeight="1" x14ac:dyDescent="0.25">
      <c r="B28" s="1477">
        <v>16</v>
      </c>
      <c r="C28" s="1288" t="s">
        <v>759</v>
      </c>
      <c r="D28" s="24"/>
      <c r="E28" s="1481"/>
      <c r="F28" s="74"/>
      <c r="G28" s="10"/>
      <c r="H28" s="10"/>
      <c r="I28" s="10"/>
      <c r="J28" s="10"/>
      <c r="K28" s="10"/>
      <c r="L28" s="18"/>
      <c r="M28" s="18"/>
      <c r="N28" s="18"/>
      <c r="O28" s="18"/>
      <c r="P28" s="18"/>
      <c r="Q28" s="18"/>
      <c r="R28" s="18"/>
      <c r="S28" s="18"/>
      <c r="T28" s="18"/>
      <c r="U28" s="18"/>
      <c r="V28" s="18"/>
      <c r="W28" s="18"/>
      <c r="X28" s="18"/>
      <c r="Y28" s="18"/>
      <c r="Z28" s="18"/>
    </row>
    <row r="29" spans="1:26" s="17" customFormat="1" ht="18" customHeight="1" x14ac:dyDescent="0.25">
      <c r="A29" s="1292"/>
      <c r="B29" s="1477">
        <v>17</v>
      </c>
      <c r="C29" s="1612" t="s">
        <v>1449</v>
      </c>
      <c r="D29" s="24"/>
      <c r="E29" s="1481"/>
      <c r="F29" s="74"/>
      <c r="G29" s="18"/>
      <c r="H29" s="18"/>
      <c r="I29" s="18"/>
      <c r="J29" s="18"/>
      <c r="K29" s="18"/>
      <c r="L29" s="18"/>
      <c r="M29" s="18"/>
      <c r="N29" s="18"/>
      <c r="O29" s="18"/>
      <c r="P29" s="18"/>
      <c r="Q29" s="18"/>
      <c r="R29" s="18"/>
      <c r="S29" s="18"/>
      <c r="T29" s="18"/>
      <c r="U29" s="18"/>
      <c r="V29" s="18"/>
      <c r="W29" s="18"/>
      <c r="X29" s="18"/>
      <c r="Y29" s="18"/>
      <c r="Z29" s="18"/>
    </row>
    <row r="30" spans="1:26" s="17" customFormat="1" ht="18" customHeight="1" x14ac:dyDescent="0.25">
      <c r="A30" s="1292"/>
      <c r="B30" s="1477">
        <v>18</v>
      </c>
      <c r="C30" s="1612"/>
      <c r="D30" s="24"/>
      <c r="E30" s="1481"/>
      <c r="F30" s="74"/>
      <c r="G30" s="18"/>
      <c r="H30" s="18"/>
      <c r="I30" s="18"/>
      <c r="J30" s="18"/>
      <c r="K30" s="18"/>
      <c r="L30" s="18"/>
      <c r="M30" s="18"/>
      <c r="N30" s="18"/>
      <c r="O30" s="18"/>
      <c r="P30" s="18"/>
      <c r="Q30" s="18"/>
      <c r="R30" s="18"/>
      <c r="S30" s="18"/>
      <c r="T30" s="18"/>
      <c r="U30" s="18"/>
      <c r="V30" s="18"/>
      <c r="W30" s="18"/>
      <c r="X30" s="18"/>
      <c r="Y30" s="18"/>
      <c r="Z30" s="18"/>
    </row>
    <row r="31" spans="1:26" s="17" customFormat="1" ht="18" customHeight="1" x14ac:dyDescent="0.25">
      <c r="A31" s="1292"/>
      <c r="B31" s="1477">
        <v>19</v>
      </c>
      <c r="C31" s="1612"/>
      <c r="D31" s="24"/>
      <c r="E31" s="1481"/>
      <c r="F31" s="74"/>
      <c r="G31" s="18"/>
      <c r="H31" s="18"/>
      <c r="I31" s="18"/>
      <c r="J31" s="18"/>
      <c r="K31" s="18"/>
      <c r="L31" s="18"/>
      <c r="M31" s="18"/>
      <c r="N31" s="18"/>
      <c r="O31" s="18"/>
      <c r="P31" s="18"/>
      <c r="Q31" s="18"/>
      <c r="R31" s="18"/>
      <c r="S31" s="18"/>
      <c r="T31" s="18"/>
      <c r="U31" s="18"/>
      <c r="V31" s="18"/>
      <c r="W31" s="18"/>
      <c r="X31" s="18"/>
      <c r="Y31" s="18"/>
      <c r="Z31" s="18"/>
    </row>
    <row r="32" spans="1:26" ht="28.5" customHeight="1" x14ac:dyDescent="0.25">
      <c r="B32" s="1477"/>
      <c r="C32" s="1294" t="s">
        <v>859</v>
      </c>
      <c r="D32" s="1296">
        <f>D33+D34+D35</f>
        <v>0</v>
      </c>
      <c r="E32" s="1484" t="s">
        <v>1467</v>
      </c>
      <c r="F32" s="74"/>
      <c r="G32" s="10"/>
      <c r="H32" s="10"/>
      <c r="I32" s="10"/>
      <c r="J32" s="10"/>
      <c r="K32" s="10"/>
      <c r="L32" s="18"/>
      <c r="M32" s="18"/>
      <c r="N32" s="18"/>
      <c r="O32" s="18"/>
      <c r="P32" s="18"/>
      <c r="Q32" s="18"/>
      <c r="R32" s="18"/>
      <c r="S32" s="18"/>
      <c r="T32" s="18"/>
      <c r="U32" s="18"/>
      <c r="V32" s="18"/>
      <c r="W32" s="18"/>
      <c r="X32" s="18"/>
      <c r="Y32" s="18"/>
      <c r="Z32" s="18"/>
    </row>
    <row r="33" spans="1:26" x14ac:dyDescent="0.25">
      <c r="B33" s="1477">
        <v>20</v>
      </c>
      <c r="C33" s="1289" t="s">
        <v>762</v>
      </c>
      <c r="D33" s="1295"/>
      <c r="E33" s="1603" t="str">
        <f>IF(AND(D14&lt;&gt;"нет в списке",OR(D33&gt;G52,D34&gt;G55)),"Вы насчитали больше замененных окон, чем всего окон в МКД. Проверьте подсчет, или число подъездов/секций МКД","")</f>
        <v/>
      </c>
      <c r="F33" s="74"/>
      <c r="G33" s="10"/>
      <c r="H33" s="10"/>
      <c r="I33" s="10"/>
      <c r="J33" s="10"/>
      <c r="K33" s="10"/>
      <c r="L33" s="18"/>
      <c r="M33" s="18"/>
      <c r="N33" s="18"/>
      <c r="O33" s="18"/>
      <c r="P33" s="18"/>
      <c r="Q33" s="18"/>
      <c r="R33" s="18"/>
      <c r="S33" s="18"/>
      <c r="T33" s="18"/>
      <c r="U33" s="18"/>
      <c r="V33" s="18"/>
      <c r="W33" s="18"/>
      <c r="X33" s="18"/>
      <c r="Y33" s="18"/>
      <c r="Z33" s="18"/>
    </row>
    <row r="34" spans="1:26" x14ac:dyDescent="0.25">
      <c r="B34" s="1477">
        <v>21</v>
      </c>
      <c r="C34" s="1289" t="s">
        <v>763</v>
      </c>
      <c r="D34" s="72"/>
      <c r="E34" s="1604"/>
      <c r="F34" s="74"/>
      <c r="G34" s="10"/>
      <c r="H34" s="10"/>
      <c r="I34" s="10"/>
      <c r="J34" s="10"/>
      <c r="K34" s="10"/>
      <c r="L34" s="18"/>
      <c r="M34" s="18"/>
      <c r="N34" s="18"/>
      <c r="O34" s="18"/>
      <c r="P34" s="18"/>
      <c r="Q34" s="18"/>
      <c r="R34" s="18"/>
      <c r="S34" s="18"/>
      <c r="T34" s="18"/>
      <c r="U34" s="18"/>
      <c r="V34" s="18"/>
      <c r="W34" s="18"/>
      <c r="X34" s="18"/>
      <c r="Y34" s="18"/>
      <c r="Z34" s="18"/>
    </row>
    <row r="35" spans="1:26" s="17" customFormat="1" x14ac:dyDescent="0.25">
      <c r="A35" s="1292"/>
      <c r="B35" s="1477">
        <f>B34+1</f>
        <v>22</v>
      </c>
      <c r="C35" s="1289" t="s">
        <v>1587</v>
      </c>
      <c r="D35" s="72">
        <v>0</v>
      </c>
      <c r="E35" s="1605"/>
      <c r="F35" s="74"/>
      <c r="G35" s="18"/>
      <c r="H35" s="18"/>
      <c r="I35" s="18"/>
      <c r="J35" s="18"/>
      <c r="K35" s="18"/>
      <c r="L35" s="18"/>
      <c r="M35" s="18"/>
      <c r="N35" s="18"/>
      <c r="O35" s="18"/>
      <c r="P35" s="18"/>
      <c r="Q35" s="18"/>
      <c r="R35" s="18"/>
      <c r="S35" s="18"/>
      <c r="T35" s="18"/>
      <c r="U35" s="18"/>
      <c r="V35" s="18"/>
      <c r="W35" s="18"/>
      <c r="X35" s="18"/>
      <c r="Y35" s="18"/>
      <c r="Z35" s="18"/>
    </row>
    <row r="36" spans="1:26" ht="46.5" customHeight="1" x14ac:dyDescent="0.25">
      <c r="B36" s="1477">
        <f>B35+1</f>
        <v>23</v>
      </c>
      <c r="C36" s="1287" t="s">
        <v>1531</v>
      </c>
      <c r="D36" s="9"/>
      <c r="E36" s="490"/>
      <c r="F36" s="74"/>
      <c r="G36" s="10"/>
      <c r="H36" s="10"/>
      <c r="I36" s="10"/>
      <c r="J36" s="10"/>
      <c r="K36" s="10"/>
      <c r="L36" s="18"/>
      <c r="M36" s="18"/>
      <c r="N36" s="18"/>
      <c r="O36" s="18"/>
      <c r="P36" s="18"/>
      <c r="Q36" s="18"/>
      <c r="R36" s="18"/>
      <c r="S36" s="18"/>
      <c r="T36" s="18"/>
      <c r="U36" s="18"/>
      <c r="V36" s="18"/>
      <c r="W36" s="18"/>
      <c r="X36" s="18"/>
      <c r="Y36" s="18"/>
      <c r="Z36" s="18"/>
    </row>
    <row r="37" spans="1:26" s="17" customFormat="1" ht="24.75" customHeight="1" x14ac:dyDescent="0.25">
      <c r="A37" s="1292"/>
      <c r="B37" s="1436"/>
      <c r="C37" s="1292"/>
      <c r="D37" s="1292"/>
      <c r="E37" s="1292"/>
      <c r="F37" s="1436"/>
      <c r="G37" s="18"/>
      <c r="H37" s="18"/>
      <c r="I37" s="18"/>
      <c r="J37" s="18"/>
      <c r="K37" s="18"/>
      <c r="L37" s="18"/>
      <c r="M37" s="18"/>
      <c r="N37" s="18"/>
      <c r="O37" s="18"/>
      <c r="P37" s="18"/>
      <c r="Q37" s="18"/>
      <c r="R37" s="18"/>
      <c r="S37" s="18"/>
      <c r="T37" s="18"/>
      <c r="U37" s="18"/>
      <c r="V37" s="18"/>
      <c r="W37" s="18"/>
      <c r="X37" s="18"/>
      <c r="Y37" s="18"/>
      <c r="Z37" s="18"/>
    </row>
    <row r="38" spans="1:26" s="17" customFormat="1" ht="18.75" customHeight="1" x14ac:dyDescent="0.25">
      <c r="A38" s="1292"/>
      <c r="B38" s="1436"/>
      <c r="C38" s="1616" t="s">
        <v>1808</v>
      </c>
      <c r="D38" s="1616"/>
      <c r="E38" s="1616"/>
      <c r="F38" s="74"/>
      <c r="G38" s="18"/>
      <c r="H38" s="18"/>
      <c r="I38" s="18"/>
      <c r="J38" s="18"/>
      <c r="K38" s="18"/>
      <c r="L38" s="18"/>
      <c r="M38" s="18"/>
      <c r="N38" s="18"/>
      <c r="O38" s="18"/>
      <c r="P38" s="18"/>
      <c r="Q38" s="18"/>
      <c r="R38" s="18"/>
      <c r="S38" s="18"/>
      <c r="T38" s="18"/>
      <c r="U38" s="18"/>
      <c r="V38" s="18"/>
      <c r="W38" s="18"/>
      <c r="X38" s="18"/>
      <c r="Y38" s="18"/>
      <c r="Z38" s="18"/>
    </row>
    <row r="39" spans="1:26" s="22" customFormat="1" ht="18.75" customHeight="1" thickBot="1" x14ac:dyDescent="0.3">
      <c r="A39" s="1292"/>
      <c r="B39" s="1478"/>
      <c r="C39" s="1324"/>
      <c r="D39" s="1372" t="s">
        <v>1765</v>
      </c>
      <c r="E39" s="1325"/>
      <c r="F39" s="1437"/>
      <c r="G39" s="21"/>
      <c r="H39" s="21"/>
      <c r="I39" s="21"/>
      <c r="J39" s="21"/>
      <c r="K39" s="21"/>
      <c r="L39" s="21"/>
      <c r="M39" s="21"/>
      <c r="N39" s="21"/>
      <c r="O39" s="21"/>
      <c r="P39" s="21"/>
      <c r="Q39" s="21"/>
      <c r="R39" s="21"/>
      <c r="S39" s="21"/>
      <c r="T39" s="21"/>
      <c r="U39" s="21"/>
      <c r="V39" s="21"/>
      <c r="W39" s="21"/>
      <c r="X39" s="21"/>
      <c r="Y39" s="21"/>
      <c r="Z39" s="21"/>
    </row>
    <row r="40" spans="1:26" s="17" customFormat="1" ht="18.75" customHeight="1" x14ac:dyDescent="0.25">
      <c r="A40" s="1292"/>
      <c r="B40" s="1436"/>
      <c r="C40" s="1614" t="s">
        <v>1810</v>
      </c>
      <c r="D40" s="1614"/>
      <c r="E40" s="1614"/>
      <c r="F40" s="74"/>
      <c r="G40" s="18"/>
      <c r="H40" s="18"/>
      <c r="I40" s="18"/>
      <c r="J40" s="18"/>
      <c r="K40" s="18"/>
      <c r="L40" s="18"/>
      <c r="M40" s="18"/>
      <c r="N40" s="18"/>
      <c r="O40" s="18"/>
      <c r="P40" s="18"/>
      <c r="Q40" s="18"/>
      <c r="R40" s="18"/>
      <c r="S40" s="18"/>
      <c r="T40" s="18"/>
      <c r="U40" s="18"/>
      <c r="V40" s="18"/>
      <c r="W40" s="18"/>
      <c r="X40" s="18"/>
      <c r="Y40" s="18"/>
      <c r="Z40" s="18"/>
    </row>
    <row r="41" spans="1:26" s="17" customFormat="1" ht="24.75" customHeight="1" thickBot="1" x14ac:dyDescent="0.3">
      <c r="A41" s="1292"/>
      <c r="B41" s="1436"/>
      <c r="C41" s="1292"/>
      <c r="D41" s="1292"/>
      <c r="E41" s="1292"/>
      <c r="F41" s="1436"/>
      <c r="G41" s="18"/>
      <c r="H41" s="18"/>
      <c r="I41" s="18"/>
      <c r="J41" s="18"/>
      <c r="K41" s="18"/>
      <c r="L41" s="18"/>
      <c r="M41" s="18"/>
      <c r="N41" s="18"/>
      <c r="O41" s="18"/>
      <c r="P41" s="18"/>
      <c r="Q41" s="18"/>
      <c r="R41" s="18"/>
      <c r="S41" s="18"/>
      <c r="T41" s="18"/>
      <c r="U41" s="18"/>
      <c r="V41" s="18"/>
      <c r="W41" s="18"/>
      <c r="X41" s="18"/>
      <c r="Y41" s="18"/>
      <c r="Z41" s="18"/>
    </row>
    <row r="42" spans="1:26" ht="26.25" customHeight="1" thickBot="1" x14ac:dyDescent="0.3">
      <c r="B42" s="1476">
        <f>2/8</f>
        <v>0.25</v>
      </c>
      <c r="C42" s="1583" t="s">
        <v>1452</v>
      </c>
      <c r="D42" s="1584"/>
      <c r="E42" s="1585"/>
      <c r="F42" s="74"/>
      <c r="G42" s="10"/>
      <c r="H42" s="10"/>
      <c r="I42" s="10"/>
      <c r="J42" s="10"/>
      <c r="K42" s="10"/>
      <c r="L42" s="18"/>
      <c r="M42" s="18"/>
      <c r="N42" s="18"/>
      <c r="O42" s="18"/>
      <c r="P42" s="18"/>
      <c r="Q42" s="18"/>
      <c r="R42" s="18"/>
      <c r="S42" s="18"/>
      <c r="T42" s="18"/>
      <c r="U42" s="18"/>
      <c r="V42" s="18"/>
      <c r="W42" s="18"/>
      <c r="X42" s="18"/>
      <c r="Y42" s="18"/>
      <c r="Z42" s="18"/>
    </row>
    <row r="43" spans="1:26" s="17" customFormat="1" x14ac:dyDescent="0.25">
      <c r="A43" s="1292"/>
      <c r="B43" s="1436"/>
      <c r="C43" s="1321"/>
      <c r="D43" s="1292"/>
      <c r="E43" s="1439" t="str">
        <f>IFERROR(IF(AND(OR(G44=0,G45=0,G47=0,G46=0,G48=0,G49=0,G50=0,G51=0,G52=0,G53=0,G55=0,G56=0,G60+G61+G62=0,G63+G64=0,G66=0,SUM(I44:I66)&gt;0)),"Неполный/неверный ввод!","Введено верно"),"Неполный/неверный ввод!")</f>
        <v>Неполный/неверный ввод!</v>
      </c>
      <c r="F43" s="716"/>
      <c r="G43" s="18"/>
      <c r="H43" s="18"/>
      <c r="I43" s="18"/>
      <c r="J43" s="18"/>
      <c r="K43" s="18"/>
      <c r="L43" s="18"/>
      <c r="M43" s="18"/>
      <c r="N43" s="18"/>
      <c r="O43" s="18"/>
      <c r="P43" s="18"/>
      <c r="Q43" s="18"/>
      <c r="R43" s="18"/>
      <c r="S43" s="18"/>
      <c r="T43" s="18"/>
      <c r="U43" s="18"/>
      <c r="V43" s="18"/>
      <c r="W43" s="18"/>
      <c r="X43" s="18"/>
      <c r="Y43" s="18"/>
      <c r="Z43" s="18"/>
    </row>
    <row r="44" spans="1:26" ht="24" x14ac:dyDescent="0.25">
      <c r="B44" s="1477">
        <f>B36+1</f>
        <v>24</v>
      </c>
      <c r="C44" s="1297" t="s">
        <v>1766</v>
      </c>
      <c r="D44" s="1304"/>
      <c r="E44" s="1485" t="s">
        <v>1777</v>
      </c>
      <c r="F44" s="1438"/>
      <c r="G44" s="1306">
        <f>IF($D$14=списки!$B$3,D44,'Серии планировка'!F76)</f>
        <v>0</v>
      </c>
      <c r="H44" s="18"/>
      <c r="I44" s="1306">
        <f t="shared" ref="I44" si="0">IF(F44="",0,1)</f>
        <v>0</v>
      </c>
      <c r="J44" s="10"/>
      <c r="K44" s="10"/>
      <c r="L44" s="18"/>
      <c r="M44" s="18"/>
      <c r="N44" s="18"/>
      <c r="O44" s="18"/>
      <c r="P44" s="18"/>
      <c r="Q44" s="18"/>
      <c r="R44" s="18"/>
      <c r="S44" s="18"/>
      <c r="T44" s="18"/>
      <c r="U44" s="18"/>
      <c r="V44" s="18"/>
      <c r="W44" s="18"/>
      <c r="X44" s="18"/>
      <c r="Y44" s="18"/>
      <c r="Z44" s="18"/>
    </row>
    <row r="45" spans="1:26" ht="24" customHeight="1" x14ac:dyDescent="0.25">
      <c r="B45" s="1477">
        <f>B44+1</f>
        <v>25</v>
      </c>
      <c r="C45" s="1294" t="s">
        <v>1767</v>
      </c>
      <c r="D45" s="1304"/>
      <c r="E45" s="1486" t="s">
        <v>1778</v>
      </c>
      <c r="F45" s="1438" t="str">
        <f>IF(AND(D45&lt;&gt;0,$D$14="нет в списке",D45&gt;=D44),"Ошибка. Значение должно быть меньше общей площади","")</f>
        <v/>
      </c>
      <c r="G45" s="1306">
        <f>IF($D$14=списки!$B$3,D45,'Серии планировка'!G76)</f>
        <v>0</v>
      </c>
      <c r="H45" s="18"/>
      <c r="I45" s="1306">
        <f>IF(F45="",0,1)</f>
        <v>0</v>
      </c>
      <c r="J45" s="10"/>
      <c r="K45" s="10"/>
      <c r="L45" s="18"/>
      <c r="M45" s="18"/>
      <c r="N45" s="18"/>
      <c r="O45" s="18"/>
      <c r="P45" s="18"/>
      <c r="Q45" s="18"/>
      <c r="R45" s="18"/>
      <c r="S45" s="18"/>
      <c r="T45" s="18"/>
      <c r="U45" s="18"/>
      <c r="V45" s="18"/>
      <c r="W45" s="18"/>
      <c r="X45" s="18"/>
      <c r="Y45" s="18"/>
      <c r="Z45" s="18"/>
    </row>
    <row r="46" spans="1:26" s="17" customFormat="1" ht="24" customHeight="1" x14ac:dyDescent="0.25">
      <c r="A46" s="1292"/>
      <c r="B46" s="1477">
        <f t="shared" ref="B46:B66" si="1">B45+1</f>
        <v>26</v>
      </c>
      <c r="C46" s="1521" t="s">
        <v>1776</v>
      </c>
      <c r="D46" s="1304"/>
      <c r="E46" s="1486" t="s">
        <v>1779</v>
      </c>
      <c r="F46" s="1438" t="str">
        <f>IF(AND(D46&lt;&gt;0,$D$14="нет в списке",D46&gt;=D45),"Ошибка. Значение должно быть меньше площади квартир","")</f>
        <v/>
      </c>
      <c r="G46" s="1306">
        <f>IF($D$14=списки!$B$3,D46,'Серии планировка'!H76)</f>
        <v>0</v>
      </c>
      <c r="H46" s="18"/>
      <c r="I46" s="1306">
        <f t="shared" ref="I46:I66" si="2">IF(F46="",0,1)</f>
        <v>0</v>
      </c>
      <c r="J46" s="18"/>
      <c r="K46" s="18"/>
      <c r="L46" s="18"/>
      <c r="M46" s="18"/>
      <c r="N46" s="18"/>
      <c r="O46" s="18"/>
      <c r="P46" s="18"/>
      <c r="Q46" s="18"/>
      <c r="R46" s="18"/>
      <c r="S46" s="18"/>
      <c r="T46" s="18"/>
      <c r="U46" s="18"/>
      <c r="V46" s="18"/>
      <c r="W46" s="18"/>
      <c r="X46" s="18"/>
      <c r="Y46" s="18"/>
      <c r="Z46" s="18"/>
    </row>
    <row r="47" spans="1:26" s="17" customFormat="1" ht="15.75" customHeight="1" x14ac:dyDescent="0.25">
      <c r="A47" s="1292"/>
      <c r="B47" s="1477">
        <f>B46+1</f>
        <v>27</v>
      </c>
      <c r="C47" s="1521" t="s">
        <v>1558</v>
      </c>
      <c r="D47" s="1305"/>
      <c r="E47" s="1486" t="s">
        <v>1560</v>
      </c>
      <c r="F47" s="1438"/>
      <c r="G47" s="1307">
        <f>IF($D$14=списки!$B$3,D47,'Серии планировка'!$L$76)</f>
        <v>0</v>
      </c>
      <c r="H47" s="18"/>
      <c r="I47" s="1306">
        <f t="shared" si="2"/>
        <v>0</v>
      </c>
      <c r="J47" s="18"/>
      <c r="K47" s="18"/>
      <c r="L47" s="18"/>
      <c r="M47" s="18"/>
      <c r="N47" s="18"/>
      <c r="O47" s="18"/>
      <c r="P47" s="18"/>
      <c r="Q47" s="18"/>
      <c r="R47" s="18"/>
      <c r="S47" s="18"/>
      <c r="T47" s="18"/>
      <c r="U47" s="18"/>
      <c r="V47" s="18"/>
      <c r="W47" s="18"/>
      <c r="X47" s="18"/>
      <c r="Y47" s="18"/>
      <c r="Z47" s="18"/>
    </row>
    <row r="48" spans="1:26" s="17" customFormat="1" ht="17.25" customHeight="1" x14ac:dyDescent="0.25">
      <c r="A48" s="1292"/>
      <c r="B48" s="1477">
        <f t="shared" si="1"/>
        <v>28</v>
      </c>
      <c r="C48" s="1521" t="s">
        <v>1559</v>
      </c>
      <c r="D48" s="1305"/>
      <c r="E48" s="1486" t="s">
        <v>1561</v>
      </c>
      <c r="F48" s="1438"/>
      <c r="G48" s="1306">
        <f>IF($D$14=списки!$B$3,D48,'Серии планировка'!$M$76)</f>
        <v>0</v>
      </c>
      <c r="H48" s="18"/>
      <c r="I48" s="1306">
        <f t="shared" si="2"/>
        <v>0</v>
      </c>
      <c r="J48" s="18"/>
      <c r="K48" s="18"/>
      <c r="L48" s="18"/>
      <c r="M48" s="18"/>
      <c r="N48" s="18"/>
      <c r="O48" s="18"/>
      <c r="P48" s="18"/>
      <c r="Q48" s="18"/>
      <c r="R48" s="18"/>
      <c r="S48" s="18"/>
      <c r="T48" s="18"/>
      <c r="U48" s="18"/>
      <c r="V48" s="18"/>
      <c r="W48" s="18"/>
      <c r="X48" s="18"/>
      <c r="Y48" s="18"/>
      <c r="Z48" s="18"/>
    </row>
    <row r="49" spans="1:26" s="17" customFormat="1" ht="24" x14ac:dyDescent="0.25">
      <c r="A49" s="1292"/>
      <c r="B49" s="1477">
        <f t="shared" si="1"/>
        <v>29</v>
      </c>
      <c r="C49" s="1521" t="s">
        <v>1557</v>
      </c>
      <c r="D49" s="1305"/>
      <c r="E49" s="1486" t="s">
        <v>1632</v>
      </c>
      <c r="F49" s="1438"/>
      <c r="G49" s="1306">
        <f>IF($D$14=списки!$B$3,D49,'Серии планировка'!$J$76)</f>
        <v>0</v>
      </c>
      <c r="H49" s="18"/>
      <c r="I49" s="1306">
        <f t="shared" si="2"/>
        <v>0</v>
      </c>
      <c r="J49" s="18"/>
      <c r="K49" s="18"/>
      <c r="L49" s="18"/>
      <c r="M49" s="18"/>
      <c r="N49" s="18"/>
      <c r="O49" s="18"/>
      <c r="P49" s="18"/>
      <c r="Q49" s="18"/>
      <c r="R49" s="18"/>
      <c r="S49" s="18"/>
      <c r="T49" s="18"/>
      <c r="U49" s="18"/>
      <c r="V49" s="18"/>
      <c r="W49" s="18"/>
      <c r="X49" s="18"/>
      <c r="Y49" s="18"/>
      <c r="Z49" s="18"/>
    </row>
    <row r="50" spans="1:26" s="17" customFormat="1" ht="33.75" customHeight="1" x14ac:dyDescent="0.25">
      <c r="A50" s="1292"/>
      <c r="B50" s="1477">
        <f t="shared" si="1"/>
        <v>30</v>
      </c>
      <c r="C50" s="1521" t="s">
        <v>1784</v>
      </c>
      <c r="D50" s="1305"/>
      <c r="E50" s="1486" t="s">
        <v>1783</v>
      </c>
      <c r="F50" s="1438" t="str">
        <f>IF(AND(D50&lt;&gt;0,$D$14="нет в списке",OR(D50&gt;=D44,D50&lt;=0.4*D44)),"Ошибка. Значение должно быть не меньше 0,4 и не больше 1,5 от площади МКД ","")</f>
        <v/>
      </c>
      <c r="G50" s="1306">
        <f>IF($D$14=списки!$B$3,D50,'Серии планировка'!N76)</f>
        <v>0</v>
      </c>
      <c r="H50" s="18"/>
      <c r="I50" s="1306">
        <f t="shared" si="2"/>
        <v>0</v>
      </c>
      <c r="J50" s="18"/>
      <c r="K50" s="18"/>
      <c r="L50" s="18"/>
      <c r="M50" s="18"/>
      <c r="N50" s="18"/>
      <c r="O50" s="18"/>
      <c r="P50" s="18"/>
      <c r="Q50" s="18"/>
      <c r="R50" s="18"/>
      <c r="S50" s="18"/>
      <c r="T50" s="18"/>
      <c r="U50" s="18"/>
      <c r="V50" s="18"/>
      <c r="W50" s="18"/>
      <c r="X50" s="18"/>
      <c r="Y50" s="18"/>
      <c r="Z50" s="18"/>
    </row>
    <row r="51" spans="1:26" ht="30" customHeight="1" x14ac:dyDescent="0.25">
      <c r="B51" s="1477">
        <f t="shared" si="1"/>
        <v>31</v>
      </c>
      <c r="C51" s="1522" t="s">
        <v>1768</v>
      </c>
      <c r="D51" s="1301">
        <f>D50-D53-D56-D59-D66</f>
        <v>0</v>
      </c>
      <c r="E51" s="1486" t="s">
        <v>1780</v>
      </c>
      <c r="F51" s="1438" t="str">
        <f>IF(AND(D51&lt;&gt;0,$D$14="нет в списке",D51&gt;=D50),"Ошибка. Значение должно быть меньше площади фасадов","")</f>
        <v/>
      </c>
      <c r="G51" s="1308">
        <f>G50-G53-G56-G59-G66</f>
        <v>0</v>
      </c>
      <c r="H51" s="18"/>
      <c r="I51" s="1306">
        <f t="shared" si="2"/>
        <v>0</v>
      </c>
      <c r="J51" s="10"/>
      <c r="K51" s="10"/>
      <c r="L51" s="18"/>
      <c r="M51" s="18"/>
      <c r="N51" s="18"/>
      <c r="O51" s="18"/>
      <c r="P51" s="18"/>
      <c r="Q51" s="18"/>
      <c r="R51" s="18"/>
      <c r="S51" s="18"/>
      <c r="T51" s="18"/>
      <c r="U51" s="18"/>
      <c r="V51" s="18"/>
      <c r="W51" s="18"/>
      <c r="X51" s="18"/>
      <c r="Y51" s="18"/>
      <c r="Z51" s="18"/>
    </row>
    <row r="52" spans="1:26" ht="36" x14ac:dyDescent="0.25">
      <c r="B52" s="1477">
        <f t="shared" si="1"/>
        <v>32</v>
      </c>
      <c r="C52" s="1294" t="s">
        <v>821</v>
      </c>
      <c r="D52" s="1300"/>
      <c r="E52" s="1486" t="s">
        <v>1781</v>
      </c>
      <c r="F52" s="1438" t="str">
        <f>IF(AND(D14="нет в списке",OR(D33&gt;G52,D34&gt;G55)),"Вы насчитали больше замененных окон, чем всего окон в МКД. Проверьте подсчет","")</f>
        <v/>
      </c>
      <c r="G52" s="1306">
        <f>IF($D$14=списки!$B$3,D52,'Серии планировка'!Q76)</f>
        <v>0</v>
      </c>
      <c r="H52" s="18"/>
      <c r="I52" s="1306">
        <f t="shared" si="2"/>
        <v>0</v>
      </c>
      <c r="J52" s="10"/>
      <c r="K52" s="10"/>
      <c r="L52" s="18"/>
      <c r="M52" s="18"/>
      <c r="N52" s="18"/>
      <c r="O52" s="18"/>
      <c r="P52" s="18"/>
      <c r="Q52" s="18"/>
      <c r="R52" s="18"/>
      <c r="S52" s="18"/>
      <c r="T52" s="18"/>
      <c r="U52" s="18"/>
      <c r="V52" s="18"/>
      <c r="W52" s="18"/>
      <c r="X52" s="18"/>
      <c r="Y52" s="18"/>
      <c r="Z52" s="18"/>
    </row>
    <row r="53" spans="1:26" ht="17.25" x14ac:dyDescent="0.25">
      <c r="B53" s="1477">
        <f t="shared" si="1"/>
        <v>33</v>
      </c>
      <c r="C53" s="1294" t="s">
        <v>1769</v>
      </c>
      <c r="D53" s="1303"/>
      <c r="E53" s="1486" t="s">
        <v>1782</v>
      </c>
      <c r="F53" s="1438"/>
      <c r="G53" s="1306">
        <f>IF($D$14=списки!$B$3,D53,'Серии планировка'!T76)</f>
        <v>0</v>
      </c>
      <c r="H53" s="18"/>
      <c r="I53" s="1306">
        <f t="shared" si="2"/>
        <v>0</v>
      </c>
      <c r="J53" s="10"/>
      <c r="K53" s="10"/>
      <c r="L53" s="18"/>
      <c r="M53" s="18"/>
      <c r="N53" s="18"/>
      <c r="O53" s="18"/>
      <c r="P53" s="18"/>
      <c r="Q53" s="18"/>
      <c r="R53" s="18"/>
      <c r="S53" s="18"/>
      <c r="T53" s="18"/>
      <c r="U53" s="18"/>
      <c r="V53" s="18"/>
      <c r="W53" s="18"/>
      <c r="X53" s="18"/>
      <c r="Y53" s="18"/>
      <c r="Z53" s="18"/>
    </row>
    <row r="54" spans="1:26" ht="30" x14ac:dyDescent="0.25">
      <c r="B54" s="1477">
        <f t="shared" si="1"/>
        <v>34</v>
      </c>
      <c r="C54" s="1521" t="s">
        <v>1278</v>
      </c>
      <c r="D54" s="1298" t="s">
        <v>1944</v>
      </c>
      <c r="E54" s="1486" t="s">
        <v>1786</v>
      </c>
      <c r="F54" s="1438"/>
      <c r="G54" s="1306" t="e">
        <f>'Серии теплотехника'!B46</f>
        <v>#N/A</v>
      </c>
      <c r="H54" s="18"/>
      <c r="I54" s="1306">
        <f t="shared" si="2"/>
        <v>0</v>
      </c>
      <c r="J54" s="10"/>
      <c r="K54" s="10"/>
      <c r="L54" s="18"/>
      <c r="M54" s="18"/>
      <c r="N54" s="18"/>
      <c r="O54" s="18"/>
      <c r="P54" s="18"/>
      <c r="Q54" s="18"/>
      <c r="R54" s="18"/>
      <c r="S54" s="18"/>
      <c r="T54" s="18"/>
      <c r="U54" s="18"/>
      <c r="V54" s="18"/>
      <c r="W54" s="18"/>
      <c r="X54" s="18"/>
      <c r="Y54" s="18"/>
      <c r="Z54" s="18"/>
    </row>
    <row r="55" spans="1:26" x14ac:dyDescent="0.25">
      <c r="B55" s="1477">
        <f t="shared" si="1"/>
        <v>35</v>
      </c>
      <c r="C55" s="1521" t="s">
        <v>860</v>
      </c>
      <c r="D55" s="1298"/>
      <c r="E55" s="1486" t="s">
        <v>1919</v>
      </c>
      <c r="F55" s="1438"/>
      <c r="G55" s="1306">
        <f>IF($D$14=списки!$B$3,D55,'Серии планировка'!R76)</f>
        <v>0</v>
      </c>
      <c r="H55" s="18"/>
      <c r="I55" s="1306">
        <f t="shared" si="2"/>
        <v>0</v>
      </c>
      <c r="J55" s="10"/>
      <c r="K55" s="18"/>
      <c r="L55" s="18"/>
      <c r="M55" s="18"/>
      <c r="N55" s="18"/>
      <c r="O55" s="18"/>
      <c r="P55" s="18"/>
      <c r="Q55" s="18"/>
      <c r="R55" s="18"/>
      <c r="S55" s="18"/>
      <c r="T55" s="18"/>
      <c r="U55" s="18"/>
      <c r="V55" s="18"/>
      <c r="W55" s="18"/>
      <c r="X55" s="18"/>
      <c r="Y55" s="18"/>
      <c r="Z55" s="18"/>
    </row>
    <row r="56" spans="1:26" ht="24" x14ac:dyDescent="0.25">
      <c r="B56" s="1477">
        <f t="shared" si="1"/>
        <v>36</v>
      </c>
      <c r="C56" s="1286" t="s">
        <v>1770</v>
      </c>
      <c r="D56" s="1302"/>
      <c r="E56" s="1486" t="s">
        <v>1787</v>
      </c>
      <c r="F56" s="1438"/>
      <c r="G56" s="1306">
        <f>IF($D$14=списки!$B$3,D56,'Серии планировка'!U76)</f>
        <v>0</v>
      </c>
      <c r="H56" s="18"/>
      <c r="I56" s="1306">
        <f t="shared" si="2"/>
        <v>0</v>
      </c>
      <c r="J56" s="10"/>
      <c r="K56" s="10"/>
      <c r="L56" s="18"/>
      <c r="M56" s="18"/>
      <c r="N56" s="18"/>
      <c r="O56" s="18"/>
      <c r="P56" s="18"/>
      <c r="Q56" s="18"/>
      <c r="R56" s="18"/>
      <c r="S56" s="18"/>
      <c r="T56" s="18"/>
      <c r="U56" s="18"/>
      <c r="V56" s="18"/>
      <c r="W56" s="18"/>
      <c r="X56" s="18"/>
      <c r="Y56" s="18"/>
      <c r="Z56" s="18"/>
    </row>
    <row r="57" spans="1:26" ht="30" x14ac:dyDescent="0.25">
      <c r="B57" s="1477">
        <f t="shared" si="1"/>
        <v>37</v>
      </c>
      <c r="C57" s="1521" t="s">
        <v>758</v>
      </c>
      <c r="D57" s="1298" t="s">
        <v>1944</v>
      </c>
      <c r="E57" s="1486" t="s">
        <v>1788</v>
      </c>
      <c r="F57" s="1438"/>
      <c r="G57" s="1306"/>
      <c r="H57" s="18"/>
      <c r="I57" s="1306">
        <f t="shared" si="2"/>
        <v>0</v>
      </c>
      <c r="J57" s="10"/>
      <c r="K57" s="10"/>
      <c r="L57" s="18"/>
      <c r="M57" s="18"/>
      <c r="N57" s="18"/>
      <c r="O57" s="18"/>
      <c r="P57" s="18"/>
      <c r="Q57" s="18"/>
      <c r="R57" s="18"/>
      <c r="S57" s="18"/>
      <c r="T57" s="18"/>
      <c r="U57" s="18"/>
      <c r="V57" s="18"/>
      <c r="W57" s="18"/>
      <c r="X57" s="18"/>
      <c r="Y57" s="18"/>
      <c r="Z57" s="18"/>
    </row>
    <row r="58" spans="1:26" s="17" customFormat="1" x14ac:dyDescent="0.25">
      <c r="A58" s="1292"/>
      <c r="B58" s="1477">
        <f>B57+1</f>
        <v>38</v>
      </c>
      <c r="C58" s="1521" t="s">
        <v>1592</v>
      </c>
      <c r="D58" s="1299"/>
      <c r="E58" s="1486" t="s">
        <v>1789</v>
      </c>
      <c r="F58" s="1438"/>
      <c r="G58" s="1309">
        <f>IF($D$14=списки!$B$3,D58,ROUND((G52+G55)/D19*D23/('Серии планировка'!F76/'Серии планировка'!D76),0))</f>
        <v>0</v>
      </c>
      <c r="H58" s="18"/>
      <c r="I58" s="1306"/>
      <c r="J58" s="18"/>
      <c r="K58" s="18"/>
      <c r="L58" s="18"/>
      <c r="M58" s="18"/>
      <c r="N58" s="18"/>
      <c r="O58" s="18"/>
      <c r="P58" s="18"/>
      <c r="Q58" s="18"/>
      <c r="R58" s="18"/>
      <c r="S58" s="18"/>
      <c r="T58" s="18"/>
      <c r="U58" s="18"/>
      <c r="V58" s="18"/>
      <c r="W58" s="18"/>
      <c r="X58" s="18"/>
      <c r="Y58" s="18"/>
      <c r="Z58" s="18"/>
    </row>
    <row r="59" spans="1:26" s="17" customFormat="1" ht="24" x14ac:dyDescent="0.25">
      <c r="A59" s="1292"/>
      <c r="B59" s="1477">
        <f>B58+1</f>
        <v>39</v>
      </c>
      <c r="C59" s="1521" t="s">
        <v>1785</v>
      </c>
      <c r="D59" s="1302"/>
      <c r="E59" s="1486" t="s">
        <v>1787</v>
      </c>
      <c r="F59" s="1438"/>
      <c r="G59" s="1309">
        <f>IF($D$14=списки!$B$3,D59,(G53+G56)/D19*D23/('Серии планировка'!F76/'Серии планировка'!D76))</f>
        <v>0</v>
      </c>
      <c r="H59" s="18"/>
      <c r="I59" s="1306"/>
      <c r="J59" s="27"/>
      <c r="K59" s="18"/>
      <c r="L59" s="18"/>
      <c r="M59" s="18"/>
      <c r="N59" s="18"/>
      <c r="O59" s="18"/>
      <c r="P59" s="18"/>
      <c r="Q59" s="18"/>
      <c r="R59" s="18"/>
      <c r="S59" s="18"/>
      <c r="T59" s="18"/>
      <c r="U59" s="18"/>
      <c r="V59" s="18"/>
      <c r="W59" s="18"/>
      <c r="X59" s="18"/>
      <c r="Y59" s="18"/>
      <c r="Z59" s="18"/>
    </row>
    <row r="60" spans="1:26" ht="32.25" x14ac:dyDescent="0.25">
      <c r="B60" s="1477">
        <f t="shared" si="1"/>
        <v>40</v>
      </c>
      <c r="C60" s="1521" t="s">
        <v>1771</v>
      </c>
      <c r="D60" s="1302"/>
      <c r="E60" s="1486" t="s">
        <v>1792</v>
      </c>
      <c r="F60" s="1438" t="str">
        <f>IFERROR(IF(AND(D60+D61+D62&lt;&gt;0,$D$14="нет в списке",OR((D60+D61+D62&gt;=1.5*D44/D19),(D60+D61+D62&lt;=0.7*D44/D19))),"Ошибка. Сумма площади покрытий и перекрытий под чердаком должна быть близка к площади этажа МКД",""),"")</f>
        <v/>
      </c>
      <c r="G60" s="1306">
        <f>IF($D$14=списки!$B$3,D60,IF(списки!D31=0,'Серии планировка'!X76,0))</f>
        <v>0</v>
      </c>
      <c r="H60" s="18"/>
      <c r="I60" s="1306">
        <f t="shared" si="2"/>
        <v>0</v>
      </c>
      <c r="J60" s="10"/>
      <c r="K60" s="10"/>
      <c r="L60" s="18"/>
      <c r="M60" s="18"/>
      <c r="N60" s="18"/>
      <c r="O60" s="18"/>
      <c r="P60" s="18"/>
      <c r="Q60" s="18"/>
      <c r="R60" s="18"/>
      <c r="S60" s="18"/>
      <c r="T60" s="18"/>
      <c r="U60" s="18"/>
      <c r="V60" s="18"/>
      <c r="W60" s="18"/>
      <c r="X60" s="18"/>
      <c r="Y60" s="18"/>
      <c r="Z60" s="18"/>
    </row>
    <row r="61" spans="1:26" s="17" customFormat="1" ht="36" x14ac:dyDescent="0.25">
      <c r="A61" s="1292"/>
      <c r="B61" s="1477">
        <f t="shared" si="1"/>
        <v>41</v>
      </c>
      <c r="C61" s="1521" t="s">
        <v>1772</v>
      </c>
      <c r="D61" s="1302"/>
      <c r="E61" s="1486" t="s">
        <v>1790</v>
      </c>
      <c r="F61" s="1438"/>
      <c r="G61" s="1306">
        <f>IF($D$14=списки!$B$3,D61,IF(AND(списки!D31=1,списки!D32=0),'Серии планировка'!X76,0))</f>
        <v>0</v>
      </c>
      <c r="H61" s="18"/>
      <c r="I61" s="1306">
        <f t="shared" si="2"/>
        <v>0</v>
      </c>
      <c r="J61" s="18"/>
      <c r="K61" s="18"/>
      <c r="L61" s="18"/>
      <c r="M61" s="18"/>
      <c r="N61" s="18"/>
      <c r="O61" s="18"/>
      <c r="P61" s="18"/>
      <c r="Q61" s="18"/>
      <c r="R61" s="18"/>
      <c r="S61" s="18"/>
      <c r="T61" s="18"/>
      <c r="U61" s="18"/>
      <c r="V61" s="18"/>
      <c r="W61" s="18"/>
      <c r="X61" s="18"/>
      <c r="Y61" s="18"/>
      <c r="Z61" s="18"/>
    </row>
    <row r="62" spans="1:26" ht="36" x14ac:dyDescent="0.25">
      <c r="B62" s="1477">
        <f t="shared" si="1"/>
        <v>42</v>
      </c>
      <c r="C62" s="1521" t="s">
        <v>1773</v>
      </c>
      <c r="D62" s="1302"/>
      <c r="E62" s="1486" t="s">
        <v>1791</v>
      </c>
      <c r="F62" s="1438"/>
      <c r="G62" s="1306">
        <f>IF($D$14=списки!$B$3,D62,IF(AND(списки!D31=1,списки!D32=1),'Серии планировка'!X76,0))</f>
        <v>0</v>
      </c>
      <c r="H62" s="18"/>
      <c r="I62" s="1306">
        <f t="shared" si="2"/>
        <v>0</v>
      </c>
      <c r="J62" s="10"/>
      <c r="K62" s="10"/>
      <c r="L62" s="18"/>
      <c r="M62" s="18"/>
      <c r="N62" s="18"/>
      <c r="O62" s="18"/>
      <c r="P62" s="18"/>
      <c r="Q62" s="18"/>
      <c r="R62" s="18"/>
      <c r="S62" s="18"/>
      <c r="T62" s="18"/>
      <c r="U62" s="18"/>
      <c r="V62" s="18"/>
      <c r="W62" s="18"/>
      <c r="X62" s="18"/>
      <c r="Y62" s="18"/>
      <c r="Z62" s="18"/>
    </row>
    <row r="63" spans="1:26" ht="36" x14ac:dyDescent="0.25">
      <c r="B63" s="1477">
        <f t="shared" si="1"/>
        <v>43</v>
      </c>
      <c r="C63" s="1521" t="s">
        <v>1774</v>
      </c>
      <c r="D63" s="1302"/>
      <c r="E63" s="1486" t="s">
        <v>1793</v>
      </c>
      <c r="F63" s="1438" t="str">
        <f>IFERROR(IF(AND(D63+D64&lt;&gt;0,$D$14="нет в списке",OR((D63+D64&gt;=2*D44/D19),(D63+D64&lt;=0.7*D44/D19))),"Ошибка. Сумма площади перекрытий над отапливаемым и неотапливаемым подвалом должна быть близка к площади этажа МКД",""),"")</f>
        <v/>
      </c>
      <c r="G63" s="1306">
        <f>IF($D$14=списки!$B$3,D63,IF(AND(списки!D33=1,списки!D34=0),'Серии планировка'!Y76,0))</f>
        <v>0</v>
      </c>
      <c r="H63" s="18"/>
      <c r="I63" s="1306">
        <f t="shared" si="2"/>
        <v>0</v>
      </c>
      <c r="J63" s="10"/>
      <c r="K63" s="10"/>
      <c r="L63" s="18"/>
      <c r="M63" s="18"/>
      <c r="N63" s="18"/>
      <c r="O63" s="18"/>
      <c r="P63" s="18"/>
      <c r="Q63" s="18"/>
      <c r="R63" s="18"/>
      <c r="S63" s="18"/>
      <c r="T63" s="18"/>
      <c r="U63" s="18"/>
      <c r="V63" s="18"/>
      <c r="W63" s="18"/>
      <c r="X63" s="18"/>
      <c r="Y63" s="18"/>
      <c r="Z63" s="18"/>
    </row>
    <row r="64" spans="1:26" s="17" customFormat="1" ht="47.25" x14ac:dyDescent="0.25">
      <c r="A64" s="1292"/>
      <c r="B64" s="1477">
        <f t="shared" si="1"/>
        <v>44</v>
      </c>
      <c r="C64" s="1521" t="s">
        <v>1775</v>
      </c>
      <c r="D64" s="1302"/>
      <c r="E64" s="1486" t="s">
        <v>1794</v>
      </c>
      <c r="F64" s="1438"/>
      <c r="G64" s="1309">
        <f>IF($D$14=списки!$B$3,D64,IF(OR(списки!D33=0,AND(списки!D33=1,списки!D34=1)),'Серии планировка'!Z76,0))</f>
        <v>0</v>
      </c>
      <c r="H64" s="18"/>
      <c r="I64" s="1306">
        <f t="shared" si="2"/>
        <v>0</v>
      </c>
      <c r="J64" s="18"/>
      <c r="K64" s="18"/>
      <c r="L64" s="18"/>
      <c r="M64" s="18"/>
      <c r="N64" s="18"/>
      <c r="O64" s="18"/>
      <c r="P64" s="18"/>
      <c r="Q64" s="18"/>
      <c r="R64" s="18"/>
      <c r="S64" s="18"/>
      <c r="T64" s="18"/>
      <c r="U64" s="18"/>
      <c r="V64" s="18"/>
      <c r="W64" s="18"/>
      <c r="X64" s="18"/>
      <c r="Y64" s="18"/>
      <c r="Z64" s="18"/>
    </row>
    <row r="65" spans="1:26" s="17" customFormat="1" ht="16.5" customHeight="1" x14ac:dyDescent="0.25">
      <c r="A65" s="1292"/>
      <c r="B65" s="1477">
        <f t="shared" si="1"/>
        <v>45</v>
      </c>
      <c r="C65" s="1521" t="s">
        <v>1336</v>
      </c>
      <c r="D65" s="1299"/>
      <c r="E65" s="1588" t="s">
        <v>1918</v>
      </c>
      <c r="F65" s="1438" t="str">
        <f>IF(AND(D65&lt;&gt;0,$D$14="нет в списке",OR(D65&lt;D17,D65&gt;4*D17)),"Ошибка. Входных дверей может быть от 1 до 3 на секцию (подъезд)","")</f>
        <v/>
      </c>
      <c r="G65" s="1306">
        <f>IF($D$14=списки!$B$3,D65,'Серии планировка'!V76)</f>
        <v>0</v>
      </c>
      <c r="H65" s="18"/>
      <c r="I65" s="1306">
        <f t="shared" si="2"/>
        <v>0</v>
      </c>
      <c r="J65" s="18"/>
      <c r="K65" s="18"/>
      <c r="L65" s="18"/>
      <c r="M65" s="18"/>
      <c r="N65" s="18"/>
      <c r="O65" s="18"/>
      <c r="P65" s="18"/>
      <c r="Q65" s="18"/>
      <c r="R65" s="18"/>
      <c r="S65" s="18"/>
      <c r="T65" s="18"/>
      <c r="U65" s="18"/>
      <c r="V65" s="18"/>
      <c r="W65" s="18"/>
      <c r="X65" s="18"/>
      <c r="Y65" s="18"/>
      <c r="Z65" s="18"/>
    </row>
    <row r="66" spans="1:26" s="8" customFormat="1" ht="17.25" x14ac:dyDescent="0.25">
      <c r="A66" s="1292"/>
      <c r="B66" s="1477">
        <f t="shared" si="1"/>
        <v>46</v>
      </c>
      <c r="C66" s="1521" t="s">
        <v>1795</v>
      </c>
      <c r="D66" s="1302"/>
      <c r="E66" s="1589"/>
      <c r="F66" s="1438" t="str">
        <f>IF(AND(D66&lt;&gt;0,$D$14="нет в списке",OR(D66&lt;D65*2,D66&gt;=6*D65)),"Ошибка. Площадь одной входной двери должна быть в пределах 2-5 м2","")</f>
        <v/>
      </c>
      <c r="G66" s="1306">
        <f>IF($D$14=списки!$B$3,D66,'Серии планировка'!W76)</f>
        <v>0</v>
      </c>
      <c r="H66" s="18"/>
      <c r="I66" s="1306">
        <f t="shared" si="2"/>
        <v>0</v>
      </c>
      <c r="J66" s="10"/>
      <c r="K66" s="10"/>
      <c r="L66" s="18"/>
      <c r="M66" s="18"/>
      <c r="N66" s="18"/>
      <c r="O66" s="18"/>
      <c r="P66" s="18"/>
      <c r="Q66" s="18"/>
      <c r="R66" s="18"/>
      <c r="S66" s="18"/>
      <c r="T66" s="18"/>
      <c r="U66" s="18"/>
      <c r="V66" s="18"/>
      <c r="W66" s="18"/>
      <c r="X66" s="18"/>
      <c r="Y66" s="18"/>
      <c r="Z66" s="18"/>
    </row>
    <row r="67" spans="1:26" ht="35.25" customHeight="1" x14ac:dyDescent="0.25">
      <c r="B67" s="1436"/>
      <c r="C67" s="1"/>
      <c r="D67" s="1525" t="str">
        <f>IFERROR(IF(D23/G44&gt;0.1,"Доля площади нежилых помещений более 10%. МКД не подходит для программы",""),"")</f>
        <v/>
      </c>
      <c r="E67" s="1440" t="str">
        <f>IFERROR(IF(AND(OR(G44=0,G45=0,G47=0,G46=0,G48=0,G49=0,G50=0,G51=0,G52=0,G53=0,G55=0,G56=0,G60+G61+G62=0,G63+G64=0,G66=0,SUM(I44:I66)&gt;0)),"Неполный/неверный ввод!","Введено верно"),"Неполный/неверный ввод!")</f>
        <v>Неполный/неверный ввод!</v>
      </c>
      <c r="F67" s="289"/>
      <c r="G67" s="1306"/>
      <c r="H67" s="1"/>
      <c r="I67" s="1"/>
      <c r="J67" s="10"/>
      <c r="K67" s="10"/>
      <c r="L67" s="18"/>
      <c r="M67" s="18"/>
      <c r="N67" s="18"/>
      <c r="O67" s="18"/>
      <c r="P67" s="18"/>
      <c r="Q67" s="18"/>
      <c r="R67" s="18"/>
      <c r="S67" s="18"/>
      <c r="T67" s="18"/>
      <c r="U67" s="18"/>
      <c r="V67" s="18"/>
      <c r="W67" s="18"/>
      <c r="X67" s="18"/>
      <c r="Y67" s="18"/>
      <c r="Z67" s="18"/>
    </row>
    <row r="68" spans="1:26" s="17" customFormat="1" x14ac:dyDescent="0.25">
      <c r="A68" s="1292"/>
      <c r="B68" s="1436"/>
      <c r="C68" s="18"/>
      <c r="D68" s="18"/>
      <c r="E68" s="18"/>
      <c r="F68" s="74"/>
      <c r="G68" s="1306"/>
      <c r="H68" s="18"/>
      <c r="I68" s="18"/>
      <c r="J68" s="18"/>
      <c r="K68" s="18"/>
      <c r="L68" s="18"/>
      <c r="M68" s="18"/>
      <c r="N68" s="18"/>
      <c r="O68" s="18"/>
      <c r="P68" s="18"/>
      <c r="Q68" s="18"/>
      <c r="R68" s="18"/>
      <c r="S68" s="18"/>
      <c r="T68" s="18"/>
      <c r="U68" s="18"/>
      <c r="V68" s="18"/>
      <c r="W68" s="18"/>
      <c r="X68" s="18"/>
      <c r="Y68" s="18"/>
      <c r="Z68" s="18"/>
    </row>
    <row r="69" spans="1:26" s="17" customFormat="1" ht="22.5" customHeight="1" x14ac:dyDescent="0.25">
      <c r="A69" s="1292"/>
      <c r="B69" s="1436"/>
      <c r="C69" s="1583" t="s">
        <v>1796</v>
      </c>
      <c r="D69" s="1584"/>
      <c r="E69" s="1585"/>
      <c r="F69" s="74"/>
      <c r="G69" s="18"/>
      <c r="H69" s="18"/>
      <c r="I69" s="18"/>
      <c r="J69" s="18"/>
      <c r="K69" s="18"/>
      <c r="L69" s="18"/>
      <c r="M69" s="18"/>
      <c r="N69" s="18"/>
      <c r="O69" s="18"/>
      <c r="P69" s="18"/>
      <c r="Q69" s="18"/>
      <c r="R69" s="18"/>
      <c r="S69" s="18"/>
      <c r="T69" s="18"/>
      <c r="U69" s="18"/>
      <c r="V69" s="18"/>
      <c r="W69" s="18"/>
      <c r="X69" s="18"/>
      <c r="Y69" s="18"/>
      <c r="Z69" s="18"/>
    </row>
    <row r="70" spans="1:26" s="17" customFormat="1" ht="15" customHeight="1" x14ac:dyDescent="0.25">
      <c r="A70" s="1292"/>
      <c r="B70" s="1477">
        <f>B66+1</f>
        <v>47</v>
      </c>
      <c r="C70" s="1313" t="s">
        <v>514</v>
      </c>
      <c r="D70" s="70"/>
      <c r="E70" s="1606" t="s">
        <v>1593</v>
      </c>
      <c r="F70" s="74"/>
      <c r="G70" s="18"/>
      <c r="H70" s="18"/>
      <c r="I70" s="18"/>
      <c r="J70" s="18"/>
      <c r="K70" s="18"/>
      <c r="L70" s="18"/>
      <c r="M70" s="18"/>
      <c r="N70" s="18"/>
      <c r="O70" s="18"/>
      <c r="P70" s="18"/>
      <c r="Q70" s="18"/>
      <c r="R70" s="18"/>
      <c r="S70" s="18"/>
      <c r="T70" s="18"/>
      <c r="U70" s="18"/>
      <c r="V70" s="18"/>
      <c r="W70" s="18"/>
      <c r="X70" s="18"/>
      <c r="Y70" s="18"/>
      <c r="Z70" s="18"/>
    </row>
    <row r="71" spans="1:26" s="17" customFormat="1" x14ac:dyDescent="0.25">
      <c r="A71" s="1292"/>
      <c r="B71" s="1477">
        <f>B70+1</f>
        <v>48</v>
      </c>
      <c r="C71" s="1313" t="s">
        <v>1583</v>
      </c>
      <c r="D71" s="70"/>
      <c r="E71" s="1607"/>
      <c r="F71" s="74"/>
      <c r="G71" s="18"/>
      <c r="H71" s="18"/>
      <c r="I71" s="18"/>
      <c r="J71" s="18"/>
      <c r="K71" s="18"/>
      <c r="L71" s="18"/>
      <c r="M71" s="18"/>
      <c r="N71" s="18"/>
      <c r="O71" s="18"/>
      <c r="P71" s="18"/>
      <c r="Q71" s="18"/>
      <c r="R71" s="18"/>
      <c r="S71" s="18"/>
      <c r="T71" s="18"/>
      <c r="U71" s="18"/>
      <c r="V71" s="18"/>
      <c r="W71" s="18"/>
      <c r="X71" s="18"/>
      <c r="Y71" s="18"/>
      <c r="Z71" s="18"/>
    </row>
    <row r="72" spans="1:26" s="17" customFormat="1" x14ac:dyDescent="0.25">
      <c r="A72" s="1292"/>
      <c r="B72" s="1477">
        <f t="shared" ref="B72:B76" si="3">B71+1</f>
        <v>49</v>
      </c>
      <c r="C72" s="1313" t="s">
        <v>1584</v>
      </c>
      <c r="D72" s="70"/>
      <c r="E72" s="1607"/>
      <c r="F72" s="74"/>
      <c r="G72" s="18"/>
      <c r="H72" s="18"/>
      <c r="I72" s="18"/>
      <c r="J72" s="18"/>
      <c r="K72" s="18"/>
      <c r="L72" s="18"/>
      <c r="M72" s="18"/>
      <c r="N72" s="18"/>
      <c r="O72" s="18"/>
      <c r="P72" s="18"/>
      <c r="Q72" s="18"/>
      <c r="R72" s="18"/>
      <c r="S72" s="18"/>
      <c r="T72" s="18"/>
      <c r="U72" s="18"/>
      <c r="V72" s="18"/>
      <c r="W72" s="18"/>
      <c r="X72" s="18"/>
      <c r="Y72" s="18"/>
      <c r="Z72" s="18"/>
    </row>
    <row r="73" spans="1:26" s="17" customFormat="1" x14ac:dyDescent="0.25">
      <c r="A73" s="1292"/>
      <c r="B73" s="1477">
        <f t="shared" si="3"/>
        <v>50</v>
      </c>
      <c r="C73" s="1313" t="s">
        <v>1588</v>
      </c>
      <c r="D73" s="70"/>
      <c r="E73" s="1607"/>
      <c r="F73" s="74"/>
      <c r="G73" s="18"/>
      <c r="H73" s="18"/>
      <c r="I73" s="18"/>
      <c r="J73" s="18"/>
      <c r="K73" s="18"/>
      <c r="L73" s="18"/>
      <c r="M73" s="18"/>
      <c r="N73" s="18"/>
      <c r="O73" s="18"/>
      <c r="P73" s="18"/>
      <c r="Q73" s="18"/>
      <c r="R73" s="18"/>
      <c r="S73" s="18"/>
      <c r="T73" s="18"/>
      <c r="U73" s="18"/>
      <c r="V73" s="18"/>
      <c r="W73" s="18"/>
      <c r="X73" s="18"/>
      <c r="Y73" s="18"/>
      <c r="Z73" s="18"/>
    </row>
    <row r="74" spans="1:26" s="17" customFormat="1" x14ac:dyDescent="0.25">
      <c r="A74" s="1292"/>
      <c r="B74" s="1477">
        <f t="shared" si="3"/>
        <v>51</v>
      </c>
      <c r="C74" s="1313" t="s">
        <v>1585</v>
      </c>
      <c r="D74" s="70"/>
      <c r="E74" s="1607"/>
      <c r="F74" s="74"/>
      <c r="G74" s="18"/>
      <c r="H74" s="18"/>
      <c r="I74" s="18"/>
      <c r="J74" s="18"/>
      <c r="K74" s="18"/>
      <c r="L74" s="18"/>
      <c r="M74" s="18"/>
      <c r="N74" s="18"/>
      <c r="O74" s="18"/>
      <c r="P74" s="18"/>
      <c r="Q74" s="18"/>
      <c r="R74" s="18"/>
      <c r="S74" s="18"/>
      <c r="T74" s="18"/>
      <c r="U74" s="18"/>
      <c r="V74" s="18"/>
      <c r="W74" s="18"/>
      <c r="X74" s="18"/>
      <c r="Y74" s="18"/>
      <c r="Z74" s="18"/>
    </row>
    <row r="75" spans="1:26" s="17" customFormat="1" x14ac:dyDescent="0.25">
      <c r="A75" s="1292"/>
      <c r="B75" s="1477">
        <f t="shared" si="3"/>
        <v>52</v>
      </c>
      <c r="C75" s="1313" t="s">
        <v>1586</v>
      </c>
      <c r="D75" s="70"/>
      <c r="E75" s="1607"/>
      <c r="F75" s="74"/>
      <c r="G75" s="18"/>
      <c r="H75" s="18"/>
      <c r="I75" s="18"/>
      <c r="J75" s="18"/>
      <c r="K75" s="18"/>
      <c r="L75" s="18"/>
      <c r="M75" s="18"/>
      <c r="N75" s="18"/>
      <c r="O75" s="18"/>
      <c r="P75" s="18"/>
      <c r="Q75" s="18"/>
      <c r="R75" s="18"/>
      <c r="S75" s="18"/>
      <c r="T75" s="18"/>
      <c r="U75" s="18"/>
      <c r="V75" s="18"/>
      <c r="W75" s="18"/>
      <c r="X75" s="18"/>
      <c r="Y75" s="18"/>
      <c r="Z75" s="18"/>
    </row>
    <row r="76" spans="1:26" s="17" customFormat="1" x14ac:dyDescent="0.25">
      <c r="A76" s="1292"/>
      <c r="B76" s="1477">
        <f t="shared" si="3"/>
        <v>53</v>
      </c>
      <c r="C76" s="1313" t="s">
        <v>1594</v>
      </c>
      <c r="D76" s="70"/>
      <c r="E76" s="1608"/>
      <c r="F76" s="74"/>
      <c r="G76" s="18"/>
      <c r="H76" s="18"/>
      <c r="I76" s="18"/>
      <c r="J76" s="18"/>
      <c r="K76" s="18"/>
      <c r="L76" s="18"/>
      <c r="M76" s="18"/>
      <c r="N76" s="18"/>
      <c r="O76" s="18"/>
      <c r="P76" s="18"/>
      <c r="Q76" s="18"/>
      <c r="R76" s="18"/>
      <c r="S76" s="18"/>
      <c r="T76" s="18"/>
      <c r="U76" s="18"/>
      <c r="V76" s="18"/>
      <c r="W76" s="18"/>
      <c r="X76" s="18"/>
      <c r="Y76" s="18"/>
      <c r="Z76" s="18"/>
    </row>
    <row r="77" spans="1:26" x14ac:dyDescent="0.25">
      <c r="B77" s="1436"/>
      <c r="C77" s="1310" t="s">
        <v>1751</v>
      </c>
      <c r="D77" s="18"/>
      <c r="E77" s="1"/>
      <c r="F77" s="74"/>
      <c r="G77" s="1"/>
      <c r="H77" s="1"/>
      <c r="I77" s="1"/>
      <c r="J77" s="10"/>
      <c r="K77" s="10"/>
      <c r="L77" s="18"/>
      <c r="M77" s="18"/>
      <c r="N77" s="18"/>
      <c r="O77" s="18"/>
      <c r="P77" s="18"/>
      <c r="Q77" s="18"/>
      <c r="R77" s="18"/>
      <c r="S77" s="18"/>
      <c r="T77" s="18"/>
      <c r="U77" s="18"/>
      <c r="V77" s="18"/>
      <c r="W77" s="18"/>
      <c r="X77" s="18"/>
      <c r="Y77" s="18"/>
      <c r="Z77" s="18"/>
    </row>
    <row r="78" spans="1:26" s="17" customFormat="1" ht="15.75" thickBot="1" x14ac:dyDescent="0.3">
      <c r="A78" s="1292"/>
      <c r="B78" s="1436"/>
      <c r="C78" s="18"/>
      <c r="D78" s="20"/>
      <c r="E78" s="18"/>
      <c r="F78" s="74"/>
      <c r="G78" s="18"/>
      <c r="H78" s="18"/>
      <c r="I78" s="18"/>
      <c r="J78" s="18"/>
      <c r="K78" s="18"/>
      <c r="L78" s="18"/>
      <c r="M78" s="18"/>
      <c r="N78" s="18"/>
      <c r="O78" s="18"/>
      <c r="P78" s="18"/>
      <c r="Q78" s="18"/>
      <c r="R78" s="18"/>
      <c r="S78" s="18"/>
      <c r="T78" s="18"/>
      <c r="U78" s="18"/>
      <c r="V78" s="18"/>
      <c r="W78" s="18"/>
      <c r="X78" s="18"/>
      <c r="Y78" s="18"/>
      <c r="Z78" s="18"/>
    </row>
    <row r="79" spans="1:26" ht="33.75" customHeight="1" thickBot="1" x14ac:dyDescent="0.3">
      <c r="A79" s="1375"/>
      <c r="B79" s="1476">
        <f>3/8</f>
        <v>0.375</v>
      </c>
      <c r="C79" s="1594" t="s">
        <v>1825</v>
      </c>
      <c r="D79" s="1594"/>
      <c r="E79" s="1594"/>
      <c r="F79" s="74"/>
      <c r="G79" s="1"/>
      <c r="H79" s="1"/>
      <c r="I79" s="1"/>
      <c r="J79" s="10"/>
      <c r="K79" s="10"/>
      <c r="L79" s="18"/>
      <c r="M79" s="18"/>
      <c r="N79" s="18"/>
      <c r="O79" s="18"/>
      <c r="P79" s="18"/>
      <c r="Q79" s="18"/>
      <c r="R79" s="18"/>
      <c r="S79" s="18"/>
      <c r="T79" s="18"/>
      <c r="U79" s="18"/>
      <c r="V79" s="18"/>
      <c r="W79" s="18"/>
      <c r="X79" s="18"/>
      <c r="Y79" s="18"/>
      <c r="Z79" s="18"/>
    </row>
    <row r="80" spans="1:26" ht="26.25" customHeight="1" x14ac:dyDescent="0.3">
      <c r="B80" s="1436"/>
      <c r="C80" s="1591" t="s">
        <v>766</v>
      </c>
      <c r="D80" s="1591"/>
      <c r="E80" s="1591"/>
      <c r="F80" s="74"/>
      <c r="G80" s="1"/>
      <c r="H80" s="1"/>
      <c r="I80" s="1"/>
      <c r="J80" s="10"/>
      <c r="K80" s="10"/>
      <c r="L80" s="18"/>
      <c r="M80" s="18"/>
      <c r="N80" s="18"/>
      <c r="O80" s="18"/>
      <c r="P80" s="18"/>
      <c r="Q80" s="18"/>
      <c r="R80" s="18"/>
      <c r="S80" s="18"/>
      <c r="T80" s="18"/>
      <c r="U80" s="18"/>
      <c r="V80" s="18"/>
      <c r="W80" s="18"/>
      <c r="X80" s="18"/>
      <c r="Y80" s="18"/>
      <c r="Z80" s="18"/>
    </row>
    <row r="81" spans="2:26" x14ac:dyDescent="0.25">
      <c r="B81" s="1436"/>
      <c r="C81" s="1"/>
      <c r="D81" s="1"/>
      <c r="E81" s="1"/>
      <c r="F81" s="74"/>
      <c r="G81" s="1"/>
      <c r="H81" s="1"/>
      <c r="I81" s="1"/>
      <c r="J81" s="10"/>
      <c r="K81" s="10"/>
      <c r="L81" s="18"/>
      <c r="M81" s="18"/>
      <c r="N81" s="18"/>
      <c r="O81" s="18"/>
      <c r="P81" s="18"/>
      <c r="Q81" s="18"/>
      <c r="R81" s="18"/>
      <c r="S81" s="18"/>
      <c r="T81" s="18"/>
      <c r="U81" s="18"/>
      <c r="V81" s="18"/>
      <c r="W81" s="18"/>
      <c r="X81" s="18"/>
      <c r="Y81" s="18"/>
      <c r="Z81" s="18"/>
    </row>
    <row r="82" spans="2:26" x14ac:dyDescent="0.25">
      <c r="B82" s="1436"/>
      <c r="C82" s="1590" t="s">
        <v>764</v>
      </c>
      <c r="D82" s="1590"/>
      <c r="E82" s="1590"/>
      <c r="F82" s="74"/>
      <c r="G82" s="1"/>
      <c r="H82" s="1"/>
      <c r="I82" s="1"/>
      <c r="J82" s="10"/>
      <c r="K82" s="10"/>
      <c r="L82" s="18"/>
      <c r="M82" s="18"/>
      <c r="N82" s="18"/>
      <c r="O82" s="18"/>
      <c r="P82" s="18"/>
      <c r="Q82" s="18"/>
      <c r="R82" s="18"/>
      <c r="S82" s="18"/>
      <c r="T82" s="18"/>
      <c r="U82" s="18"/>
      <c r="V82" s="18"/>
      <c r="W82" s="18"/>
      <c r="X82" s="18"/>
      <c r="Y82" s="18"/>
      <c r="Z82" s="18"/>
    </row>
    <row r="83" spans="2:26" ht="38.25" customHeight="1" x14ac:dyDescent="0.25">
      <c r="B83" s="1477">
        <f>B76+1</f>
        <v>54</v>
      </c>
      <c r="C83" s="1286" t="s">
        <v>1800</v>
      </c>
      <c r="D83" s="69">
        <v>20</v>
      </c>
      <c r="E83" s="1311" t="s">
        <v>1797</v>
      </c>
      <c r="F83" s="74"/>
      <c r="G83" s="1"/>
      <c r="H83" s="1"/>
      <c r="I83" s="1"/>
      <c r="J83" s="10"/>
      <c r="K83" s="10"/>
      <c r="L83" s="18"/>
      <c r="M83" s="18"/>
      <c r="N83" s="18"/>
      <c r="O83" s="18"/>
      <c r="P83" s="18"/>
      <c r="Q83" s="18"/>
      <c r="R83" s="18"/>
      <c r="S83" s="18"/>
      <c r="T83" s="18"/>
      <c r="U83" s="18"/>
      <c r="V83" s="18"/>
      <c r="W83" s="18"/>
      <c r="X83" s="18"/>
      <c r="Y83" s="18"/>
      <c r="Z83" s="18"/>
    </row>
    <row r="84" spans="2:26" ht="49.5" x14ac:dyDescent="0.25">
      <c r="B84" s="1477">
        <f>B83+1</f>
        <v>55</v>
      </c>
      <c r="C84" s="1286" t="s">
        <v>1802</v>
      </c>
      <c r="D84" s="1314">
        <v>16</v>
      </c>
      <c r="E84" s="1312" t="s">
        <v>1799</v>
      </c>
      <c r="F84" s="74"/>
      <c r="G84" s="1"/>
      <c r="H84" s="1"/>
      <c r="I84" s="1"/>
      <c r="J84" s="10"/>
      <c r="K84" s="10"/>
      <c r="L84" s="18"/>
      <c r="M84" s="18"/>
      <c r="N84" s="18"/>
      <c r="O84" s="18"/>
      <c r="P84" s="18"/>
      <c r="Q84" s="18"/>
      <c r="R84" s="18"/>
      <c r="S84" s="18"/>
      <c r="T84" s="18"/>
      <c r="U84" s="18"/>
      <c r="V84" s="18"/>
      <c r="W84" s="18"/>
      <c r="X84" s="18"/>
      <c r="Y84" s="18"/>
      <c r="Z84" s="18"/>
    </row>
    <row r="85" spans="2:26" ht="42.75" customHeight="1" x14ac:dyDescent="0.25">
      <c r="B85" s="1477">
        <f>B84+1</f>
        <v>56</v>
      </c>
      <c r="C85" s="1286" t="s">
        <v>1801</v>
      </c>
      <c r="D85" s="69">
        <f>2</f>
        <v>2</v>
      </c>
      <c r="E85" s="1312" t="s">
        <v>1798</v>
      </c>
      <c r="F85" s="74"/>
      <c r="G85" s="1"/>
      <c r="H85" s="1"/>
      <c r="I85" s="1"/>
      <c r="J85" s="10"/>
      <c r="K85" s="10"/>
      <c r="L85" s="18"/>
      <c r="M85" s="18"/>
      <c r="N85" s="18"/>
      <c r="O85" s="18"/>
      <c r="P85" s="18"/>
      <c r="Q85" s="18"/>
      <c r="R85" s="18"/>
      <c r="S85" s="18"/>
      <c r="T85" s="18"/>
      <c r="U85" s="18"/>
      <c r="V85" s="18"/>
      <c r="W85" s="18"/>
      <c r="X85" s="18"/>
      <c r="Y85" s="18"/>
      <c r="Z85" s="18"/>
    </row>
    <row r="86" spans="2:26" x14ac:dyDescent="0.25">
      <c r="B86" s="1436"/>
      <c r="C86" s="1615" t="str">
        <f>IF(OR(D83="",D84="",D85=""),"Введите температуры, пользуясь подсказками. Если чердак или подвал отсутствуют, оставьте любое из предлагаемых значений","")</f>
        <v/>
      </c>
      <c r="D86" s="1615"/>
      <c r="E86" s="1615"/>
      <c r="F86" s="74"/>
      <c r="G86" s="1"/>
      <c r="H86" s="1"/>
      <c r="I86" s="1"/>
      <c r="J86" s="10"/>
      <c r="K86" s="10"/>
      <c r="L86" s="18"/>
      <c r="M86" s="18"/>
      <c r="N86" s="18"/>
      <c r="O86" s="18"/>
      <c r="P86" s="18"/>
      <c r="Q86" s="18"/>
      <c r="R86" s="18"/>
      <c r="S86" s="18"/>
      <c r="T86" s="18"/>
      <c r="U86" s="18"/>
      <c r="V86" s="18"/>
      <c r="W86" s="18"/>
      <c r="X86" s="18"/>
      <c r="Y86" s="18"/>
      <c r="Z86" s="18"/>
    </row>
    <row r="87" spans="2:26" x14ac:dyDescent="0.25">
      <c r="B87" s="1436"/>
      <c r="C87" s="1293" t="s">
        <v>765</v>
      </c>
      <c r="D87" s="1"/>
      <c r="E87" s="1293" t="s">
        <v>1809</v>
      </c>
      <c r="F87" s="74"/>
      <c r="G87" s="1"/>
      <c r="H87" s="1"/>
      <c r="I87" s="1"/>
      <c r="J87" s="10"/>
      <c r="K87" s="10"/>
      <c r="L87" s="18"/>
      <c r="M87" s="18"/>
      <c r="N87" s="18"/>
      <c r="O87" s="18"/>
      <c r="P87" s="18"/>
      <c r="Q87" s="18"/>
      <c r="R87" s="18"/>
      <c r="S87" s="18"/>
      <c r="T87" s="18"/>
      <c r="U87" s="18"/>
      <c r="V87" s="18"/>
      <c r="W87" s="18"/>
      <c r="X87" s="18"/>
      <c r="Y87" s="18"/>
      <c r="Z87" s="18"/>
    </row>
    <row r="88" spans="2:26" x14ac:dyDescent="0.25">
      <c r="B88" s="1477">
        <f>B85+1</f>
        <v>57</v>
      </c>
      <c r="C88" s="1323"/>
      <c r="D88" s="1327">
        <f>B88+1</f>
        <v>58</v>
      </c>
      <c r="E88" s="12"/>
      <c r="F88" s="74"/>
      <c r="G88" s="1"/>
      <c r="H88" s="1"/>
      <c r="I88" s="1"/>
      <c r="J88" s="10"/>
      <c r="K88" s="10"/>
      <c r="L88" s="18"/>
      <c r="M88" s="18"/>
      <c r="N88" s="18"/>
      <c r="O88" s="18"/>
      <c r="P88" s="18"/>
      <c r="Q88" s="18"/>
      <c r="R88" s="18"/>
      <c r="S88" s="18"/>
      <c r="T88" s="18"/>
      <c r="U88" s="18"/>
      <c r="V88" s="18"/>
      <c r="W88" s="18"/>
      <c r="X88" s="18"/>
      <c r="Y88" s="18"/>
      <c r="Z88" s="18"/>
    </row>
    <row r="89" spans="2:26" x14ac:dyDescent="0.25">
      <c r="B89" s="1436"/>
      <c r="C89" s="1323"/>
      <c r="D89" s="1"/>
      <c r="E89" s="12"/>
      <c r="F89" s="74"/>
      <c r="G89" s="1"/>
      <c r="H89" s="1"/>
      <c r="I89" s="1"/>
      <c r="J89" s="10"/>
      <c r="K89" s="10"/>
      <c r="L89" s="18"/>
      <c r="M89" s="18"/>
      <c r="N89" s="18"/>
      <c r="O89" s="18"/>
      <c r="P89" s="18"/>
      <c r="Q89" s="18"/>
      <c r="R89" s="18"/>
      <c r="S89" s="18"/>
      <c r="T89" s="18"/>
      <c r="U89" s="18"/>
      <c r="V89" s="18"/>
      <c r="W89" s="18"/>
      <c r="X89" s="18"/>
      <c r="Y89" s="18"/>
      <c r="Z89" s="18"/>
    </row>
    <row r="90" spans="2:26" x14ac:dyDescent="0.25">
      <c r="B90" s="1436"/>
      <c r="C90" s="1323"/>
      <c r="D90" s="1"/>
      <c r="E90" s="12"/>
      <c r="F90" s="74"/>
      <c r="G90" s="1"/>
      <c r="H90" s="1"/>
      <c r="I90" s="1"/>
      <c r="J90" s="10"/>
      <c r="K90" s="10"/>
      <c r="L90" s="18"/>
      <c r="M90" s="18"/>
      <c r="N90" s="18"/>
      <c r="O90" s="18"/>
      <c r="P90" s="18"/>
      <c r="Q90" s="18"/>
      <c r="R90" s="18"/>
      <c r="S90" s="18"/>
      <c r="T90" s="18"/>
      <c r="U90" s="18"/>
      <c r="V90" s="18"/>
      <c r="W90" s="18"/>
      <c r="X90" s="18"/>
      <c r="Y90" s="18"/>
      <c r="Z90" s="18"/>
    </row>
    <row r="91" spans="2:26" x14ac:dyDescent="0.25">
      <c r="B91" s="1436"/>
      <c r="C91" s="1323"/>
      <c r="D91" s="1"/>
      <c r="E91" s="12"/>
      <c r="F91" s="74"/>
      <c r="G91" s="1"/>
      <c r="H91" s="1"/>
      <c r="I91" s="1"/>
      <c r="J91" s="10"/>
      <c r="K91" s="10"/>
      <c r="L91" s="18"/>
      <c r="M91" s="18"/>
      <c r="N91" s="18"/>
      <c r="O91" s="18"/>
      <c r="P91" s="18"/>
      <c r="Q91" s="18"/>
      <c r="R91" s="18"/>
      <c r="S91" s="18"/>
      <c r="T91" s="18"/>
      <c r="U91" s="18"/>
      <c r="V91" s="18"/>
      <c r="W91" s="18"/>
      <c r="X91" s="18"/>
      <c r="Y91" s="18"/>
      <c r="Z91" s="18"/>
    </row>
    <row r="92" spans="2:26" x14ac:dyDescent="0.25">
      <c r="B92" s="1436"/>
      <c r="C92" s="1"/>
      <c r="D92" s="1" t="str">
        <f>IF(SUM('Система отопления'!C4:C19)=0,"Не то","")</f>
        <v/>
      </c>
      <c r="E92" s="13"/>
      <c r="F92" s="74"/>
      <c r="G92" s="1"/>
      <c r="H92" s="1"/>
      <c r="I92" s="1"/>
      <c r="J92" s="10"/>
      <c r="K92" s="10"/>
      <c r="L92" s="18"/>
      <c r="M92" s="18"/>
      <c r="N92" s="18"/>
      <c r="O92" s="18"/>
      <c r="P92" s="18"/>
      <c r="Q92" s="18"/>
      <c r="R92" s="18"/>
      <c r="S92" s="18"/>
      <c r="T92" s="18"/>
      <c r="U92" s="18"/>
      <c r="V92" s="18"/>
      <c r="W92" s="18"/>
      <c r="X92" s="18"/>
      <c r="Y92" s="18"/>
      <c r="Z92" s="18"/>
    </row>
    <row r="93" spans="2:26" x14ac:dyDescent="0.25">
      <c r="B93" s="1436"/>
      <c r="C93" s="10"/>
      <c r="D93" s="1"/>
      <c r="E93" s="13"/>
      <c r="F93" s="74"/>
      <c r="G93" s="1"/>
      <c r="H93" s="1"/>
      <c r="I93" s="1"/>
      <c r="J93" s="10"/>
      <c r="K93" s="10"/>
      <c r="L93" s="18"/>
      <c r="M93" s="18"/>
      <c r="N93" s="18"/>
      <c r="O93" s="18"/>
      <c r="P93" s="18"/>
      <c r="Q93" s="18"/>
      <c r="R93" s="18"/>
      <c r="S93" s="18"/>
      <c r="T93" s="18"/>
      <c r="U93" s="18"/>
      <c r="V93" s="18"/>
      <c r="W93" s="18"/>
      <c r="X93" s="18"/>
      <c r="Y93" s="18"/>
      <c r="Z93" s="18"/>
    </row>
    <row r="94" spans="2:26" x14ac:dyDescent="0.25">
      <c r="B94" s="1436"/>
      <c r="C94" s="10"/>
      <c r="D94" s="1"/>
      <c r="E94" s="1323"/>
      <c r="F94" s="74"/>
      <c r="G94" s="1"/>
      <c r="H94" s="1"/>
      <c r="I94" s="1"/>
      <c r="J94" s="10"/>
      <c r="K94" s="10"/>
      <c r="L94" s="18"/>
      <c r="M94" s="18"/>
      <c r="N94" s="18"/>
      <c r="O94" s="18"/>
      <c r="P94" s="18"/>
      <c r="Q94" s="18"/>
      <c r="R94" s="18"/>
      <c r="S94" s="18"/>
      <c r="T94" s="18"/>
      <c r="U94" s="18"/>
      <c r="V94" s="18"/>
      <c r="W94" s="18"/>
      <c r="X94" s="18"/>
      <c r="Y94" s="18"/>
      <c r="Z94" s="18"/>
    </row>
    <row r="95" spans="2:26" x14ac:dyDescent="0.25">
      <c r="B95" s="1436"/>
      <c r="C95" s="1"/>
      <c r="D95" s="1"/>
      <c r="E95" s="1"/>
      <c r="F95" s="74"/>
      <c r="G95" s="1"/>
      <c r="H95" s="1"/>
      <c r="I95" s="1"/>
      <c r="J95" s="10"/>
      <c r="K95" s="10"/>
      <c r="L95" s="18"/>
      <c r="M95" s="18"/>
      <c r="N95" s="18"/>
      <c r="O95" s="18"/>
      <c r="P95" s="18"/>
      <c r="Q95" s="18"/>
      <c r="R95" s="18"/>
      <c r="S95" s="18"/>
      <c r="T95" s="18"/>
      <c r="U95" s="18"/>
      <c r="V95" s="18"/>
      <c r="W95" s="18"/>
      <c r="X95" s="18"/>
      <c r="Y95" s="18"/>
      <c r="Z95" s="18"/>
    </row>
    <row r="96" spans="2:26" ht="22.5" customHeight="1" x14ac:dyDescent="0.3">
      <c r="B96" s="1436"/>
      <c r="C96" s="1595" t="s">
        <v>784</v>
      </c>
      <c r="D96" s="1595"/>
      <c r="E96" s="1595"/>
      <c r="F96" s="74"/>
      <c r="G96" s="1"/>
      <c r="H96" s="1"/>
      <c r="I96" s="1"/>
      <c r="J96" s="10"/>
      <c r="K96" s="10"/>
      <c r="L96" s="18"/>
      <c r="M96" s="18"/>
      <c r="N96" s="18"/>
      <c r="O96" s="18"/>
      <c r="P96" s="18"/>
      <c r="Q96" s="18"/>
      <c r="R96" s="18"/>
      <c r="S96" s="18"/>
      <c r="T96" s="18"/>
      <c r="U96" s="18"/>
      <c r="V96" s="18"/>
      <c r="W96" s="18"/>
      <c r="X96" s="18"/>
      <c r="Y96" s="18"/>
      <c r="Z96" s="18"/>
    </row>
    <row r="97" spans="1:26" x14ac:dyDescent="0.25">
      <c r="B97" s="1436"/>
      <c r="C97" s="1"/>
      <c r="D97" s="1"/>
      <c r="E97" s="1"/>
      <c r="F97" s="74"/>
      <c r="G97" s="1"/>
      <c r="H97" s="1"/>
      <c r="I97" s="1"/>
      <c r="J97" s="10"/>
      <c r="K97" s="10"/>
      <c r="L97" s="18"/>
      <c r="M97" s="18"/>
      <c r="N97" s="18"/>
      <c r="O97" s="18"/>
      <c r="P97" s="18"/>
      <c r="Q97" s="18"/>
      <c r="R97" s="18"/>
      <c r="S97" s="18"/>
      <c r="T97" s="18"/>
      <c r="U97" s="18"/>
      <c r="V97" s="18"/>
      <c r="W97" s="18"/>
      <c r="X97" s="18"/>
      <c r="Y97" s="18"/>
      <c r="Z97" s="18"/>
    </row>
    <row r="98" spans="1:26" x14ac:dyDescent="0.25">
      <c r="B98" s="1436"/>
      <c r="C98" s="1322" t="s">
        <v>787</v>
      </c>
      <c r="D98" s="18"/>
      <c r="E98" s="1322" t="s">
        <v>798</v>
      </c>
      <c r="F98" s="74"/>
      <c r="G98" s="1"/>
      <c r="H98" s="1"/>
      <c r="I98" s="1"/>
      <c r="J98" s="10"/>
      <c r="K98" s="10"/>
      <c r="L98" s="18"/>
      <c r="M98" s="18"/>
      <c r="N98" s="18"/>
      <c r="O98" s="18"/>
      <c r="P98" s="18"/>
      <c r="Q98" s="18"/>
      <c r="R98" s="18"/>
      <c r="S98" s="18"/>
      <c r="T98" s="18"/>
      <c r="U98" s="18"/>
      <c r="V98" s="18"/>
      <c r="W98" s="18"/>
      <c r="X98" s="18"/>
      <c r="Y98" s="18"/>
      <c r="Z98" s="18"/>
    </row>
    <row r="99" spans="1:26" x14ac:dyDescent="0.25">
      <c r="B99" s="1477">
        <f>D88+1</f>
        <v>59</v>
      </c>
      <c r="C99" s="4"/>
      <c r="D99" s="1327">
        <f>B99+1</f>
        <v>60</v>
      </c>
      <c r="E99" s="3"/>
      <c r="F99" s="74"/>
      <c r="G99" s="1"/>
      <c r="H99" s="1"/>
      <c r="I99" s="1"/>
      <c r="J99" s="10"/>
      <c r="K99" s="10"/>
      <c r="L99" s="18"/>
      <c r="M99" s="18"/>
      <c r="N99" s="18"/>
      <c r="O99" s="18"/>
      <c r="P99" s="18"/>
      <c r="Q99" s="18"/>
      <c r="R99" s="18"/>
      <c r="S99" s="18"/>
      <c r="T99" s="18"/>
      <c r="U99" s="18"/>
      <c r="V99" s="18"/>
      <c r="W99" s="18"/>
      <c r="X99" s="18"/>
      <c r="Y99" s="18"/>
      <c r="Z99" s="18"/>
    </row>
    <row r="100" spans="1:26" x14ac:dyDescent="0.25">
      <c r="B100" s="1436"/>
      <c r="C100" s="4"/>
      <c r="D100" s="18"/>
      <c r="E100" s="3"/>
      <c r="F100" s="74"/>
      <c r="G100" s="1"/>
      <c r="H100" s="1"/>
      <c r="I100" s="1"/>
      <c r="J100" s="10"/>
      <c r="K100" s="10"/>
      <c r="L100" s="18"/>
      <c r="M100" s="18"/>
      <c r="N100" s="18"/>
      <c r="O100" s="18"/>
      <c r="P100" s="18"/>
      <c r="Q100" s="18"/>
      <c r="R100" s="18"/>
      <c r="S100" s="18"/>
      <c r="T100" s="18"/>
      <c r="U100" s="18"/>
      <c r="V100" s="18"/>
      <c r="W100" s="18"/>
      <c r="X100" s="18"/>
      <c r="Y100" s="18"/>
      <c r="Z100" s="18"/>
    </row>
    <row r="101" spans="1:26" ht="34.5" customHeight="1" x14ac:dyDescent="0.25">
      <c r="B101" s="1436"/>
      <c r="C101" s="5"/>
      <c r="D101" s="18"/>
      <c r="E101" s="5"/>
      <c r="F101" s="74"/>
      <c r="G101" s="1"/>
      <c r="H101" s="1"/>
      <c r="I101" s="1"/>
      <c r="J101" s="10"/>
      <c r="K101" s="10"/>
      <c r="L101" s="18"/>
      <c r="M101" s="18"/>
      <c r="N101" s="18"/>
      <c r="O101" s="18"/>
      <c r="P101" s="18"/>
      <c r="Q101" s="18"/>
      <c r="R101" s="18"/>
      <c r="S101" s="18"/>
      <c r="T101" s="18"/>
      <c r="U101" s="18"/>
      <c r="V101" s="18"/>
      <c r="W101" s="18"/>
      <c r="X101" s="18"/>
      <c r="Y101" s="18"/>
      <c r="Z101" s="18"/>
    </row>
    <row r="102" spans="1:26" ht="39" customHeight="1" x14ac:dyDescent="0.25">
      <c r="B102" s="1436"/>
      <c r="C102" s="5"/>
      <c r="D102" s="18"/>
      <c r="E102" s="5"/>
      <c r="F102" s="74"/>
      <c r="G102" s="1"/>
      <c r="H102" s="1"/>
      <c r="I102" s="1"/>
      <c r="J102" s="10"/>
      <c r="K102" s="10"/>
      <c r="L102" s="18"/>
      <c r="M102" s="18"/>
      <c r="N102" s="18"/>
      <c r="O102" s="18"/>
      <c r="P102" s="18"/>
      <c r="Q102" s="18"/>
      <c r="R102" s="18"/>
      <c r="S102" s="18"/>
      <c r="T102" s="18"/>
      <c r="U102" s="18"/>
      <c r="V102" s="18"/>
      <c r="W102" s="18"/>
      <c r="X102" s="18"/>
      <c r="Y102" s="18"/>
      <c r="Z102" s="18"/>
    </row>
    <row r="103" spans="1:26" ht="43.5" customHeight="1" x14ac:dyDescent="0.25">
      <c r="B103" s="1436"/>
      <c r="C103" s="1315" t="str">
        <f>IF('Система ГВС'!F3=2,"Выбрана децентрализованная система ГВС!"&amp;CHAR(10)&amp;"Можно пропустить следующий блок (поля 60-69), и перейти к системе электроснабжения (поля 70 и далее).","")</f>
        <v/>
      </c>
      <c r="D103" s="18"/>
      <c r="E103" s="5"/>
      <c r="F103" s="74"/>
      <c r="G103" s="1"/>
      <c r="H103" s="1"/>
      <c r="I103" s="1"/>
      <c r="J103" s="10"/>
      <c r="K103" s="10"/>
      <c r="L103" s="18"/>
      <c r="M103" s="18"/>
      <c r="N103" s="18"/>
      <c r="O103" s="18"/>
      <c r="P103" s="18"/>
      <c r="Q103" s="18"/>
      <c r="R103" s="18"/>
      <c r="S103" s="18"/>
      <c r="T103" s="18"/>
      <c r="U103" s="18"/>
      <c r="V103" s="18"/>
      <c r="W103" s="18"/>
      <c r="X103" s="18"/>
      <c r="Y103" s="18"/>
      <c r="Z103" s="18"/>
    </row>
    <row r="104" spans="1:26" s="17" customFormat="1" ht="16.5" customHeight="1" x14ac:dyDescent="0.25">
      <c r="A104" s="1292"/>
      <c r="B104" s="1436"/>
      <c r="C104" s="5"/>
      <c r="D104" s="18"/>
      <c r="E104" s="5"/>
      <c r="F104" s="74"/>
      <c r="G104" s="18"/>
      <c r="H104" s="18"/>
      <c r="I104" s="18"/>
      <c r="J104" s="18"/>
      <c r="K104" s="18"/>
      <c r="L104" s="18"/>
      <c r="M104" s="18"/>
      <c r="N104" s="18"/>
      <c r="O104" s="18"/>
      <c r="P104" s="18"/>
      <c r="Q104" s="18"/>
      <c r="R104" s="18"/>
      <c r="S104" s="18"/>
      <c r="T104" s="18"/>
      <c r="U104" s="18"/>
      <c r="V104" s="18"/>
      <c r="W104" s="18"/>
      <c r="X104" s="18"/>
      <c r="Y104" s="18"/>
      <c r="Z104" s="18"/>
    </row>
    <row r="105" spans="1:26" x14ac:dyDescent="0.25">
      <c r="B105" s="1436"/>
      <c r="C105" s="1"/>
      <c r="D105" s="1"/>
      <c r="E105" s="1"/>
      <c r="F105" s="74"/>
      <c r="G105" s="1"/>
      <c r="H105" s="1"/>
      <c r="I105" s="1"/>
      <c r="J105" s="10"/>
      <c r="K105" s="10"/>
      <c r="L105" s="18"/>
      <c r="M105" s="18"/>
      <c r="N105" s="18"/>
      <c r="O105" s="18"/>
      <c r="P105" s="18"/>
      <c r="Q105" s="18"/>
      <c r="R105" s="18"/>
      <c r="S105" s="18"/>
      <c r="T105" s="18"/>
      <c r="U105" s="18"/>
      <c r="V105" s="18"/>
      <c r="W105" s="18"/>
      <c r="X105" s="18"/>
      <c r="Y105" s="18"/>
      <c r="Z105" s="18"/>
    </row>
    <row r="106" spans="1:26" ht="16.5" customHeight="1" x14ac:dyDescent="0.25">
      <c r="B106" s="1436"/>
      <c r="C106" s="1590" t="s">
        <v>785</v>
      </c>
      <c r="D106" s="1590"/>
      <c r="E106" s="1590"/>
      <c r="F106" s="74"/>
      <c r="G106" s="1"/>
      <c r="H106" s="1"/>
      <c r="I106" s="1"/>
      <c r="J106" s="10"/>
      <c r="K106" s="10"/>
      <c r="L106" s="18"/>
      <c r="M106" s="18"/>
      <c r="N106" s="18"/>
      <c r="O106" s="18"/>
      <c r="P106" s="18"/>
      <c r="Q106" s="18"/>
      <c r="R106" s="18"/>
      <c r="S106" s="18"/>
      <c r="T106" s="18"/>
      <c r="U106" s="18"/>
      <c r="V106" s="18"/>
      <c r="W106" s="18"/>
      <c r="X106" s="18"/>
      <c r="Y106" s="18"/>
      <c r="Z106" s="18"/>
    </row>
    <row r="107" spans="1:26" ht="76.5" customHeight="1" x14ac:dyDescent="0.25">
      <c r="B107" s="1477">
        <f>D99+1</f>
        <v>61</v>
      </c>
      <c r="C107" s="1500" t="s">
        <v>1909</v>
      </c>
      <c r="D107" s="68">
        <v>60</v>
      </c>
      <c r="E107" s="1316" t="s">
        <v>1915</v>
      </c>
      <c r="F107" s="74"/>
      <c r="G107" s="1"/>
      <c r="H107" s="1"/>
      <c r="I107" s="1"/>
      <c r="J107" s="10"/>
      <c r="K107" s="10"/>
      <c r="L107" s="18"/>
      <c r="M107" s="18"/>
      <c r="N107" s="18"/>
      <c r="O107" s="18"/>
      <c r="P107" s="18"/>
      <c r="Q107" s="18"/>
      <c r="R107" s="18"/>
      <c r="S107" s="18"/>
      <c r="T107" s="18"/>
      <c r="U107" s="18"/>
      <c r="V107" s="18"/>
      <c r="W107" s="18"/>
      <c r="X107" s="18"/>
      <c r="Y107" s="18"/>
      <c r="Z107" s="18"/>
    </row>
    <row r="108" spans="1:26" ht="32.25" x14ac:dyDescent="0.25">
      <c r="B108" s="1477">
        <f>B107+1</f>
        <v>62</v>
      </c>
      <c r="C108" s="1286" t="s">
        <v>1803</v>
      </c>
      <c r="D108" s="68">
        <v>5</v>
      </c>
      <c r="E108" s="1316" t="s">
        <v>1805</v>
      </c>
      <c r="F108" s="74"/>
      <c r="G108" s="1"/>
      <c r="H108" s="1"/>
      <c r="I108" s="1"/>
      <c r="J108" s="10"/>
      <c r="K108" s="10"/>
      <c r="L108" s="18"/>
      <c r="M108" s="18"/>
      <c r="N108" s="18"/>
      <c r="O108" s="18"/>
      <c r="P108" s="18"/>
      <c r="Q108" s="18"/>
      <c r="R108" s="18"/>
      <c r="S108" s="18"/>
      <c r="T108" s="18"/>
      <c r="U108" s="18"/>
      <c r="V108" s="18"/>
      <c r="W108" s="18"/>
      <c r="X108" s="18"/>
      <c r="Y108" s="18"/>
      <c r="Z108" s="18"/>
    </row>
    <row r="109" spans="1:26" ht="32.25" x14ac:dyDescent="0.25">
      <c r="B109" s="1477">
        <f t="shared" ref="B109:B112" si="4">B108+1</f>
        <v>63</v>
      </c>
      <c r="C109" s="1286" t="s">
        <v>1804</v>
      </c>
      <c r="D109" s="68">
        <v>15</v>
      </c>
      <c r="E109" s="1316" t="s">
        <v>1806</v>
      </c>
      <c r="F109" s="74"/>
      <c r="G109" s="1"/>
      <c r="H109" s="1"/>
      <c r="I109" s="1"/>
      <c r="J109" s="10"/>
      <c r="K109" s="10"/>
      <c r="L109" s="18"/>
      <c r="M109" s="18"/>
      <c r="N109" s="18"/>
      <c r="O109" s="18"/>
      <c r="P109" s="18"/>
      <c r="Q109" s="18"/>
      <c r="R109" s="18"/>
      <c r="S109" s="18"/>
      <c r="T109" s="18"/>
      <c r="U109" s="18"/>
      <c r="V109" s="18"/>
      <c r="W109" s="18"/>
      <c r="X109" s="18"/>
      <c r="Y109" s="18"/>
      <c r="Z109" s="18"/>
    </row>
    <row r="110" spans="1:26" ht="67.5" customHeight="1" x14ac:dyDescent="0.25">
      <c r="B110" s="1477">
        <f t="shared" si="4"/>
        <v>64</v>
      </c>
      <c r="C110" s="1317" t="s">
        <v>1807</v>
      </c>
      <c r="D110" s="68">
        <v>14</v>
      </c>
      <c r="E110" s="1316" t="s">
        <v>1429</v>
      </c>
      <c r="F110" s="74"/>
      <c r="G110" s="1"/>
      <c r="H110" s="1"/>
      <c r="I110" s="1"/>
      <c r="J110" s="10"/>
      <c r="K110" s="10"/>
      <c r="L110" s="18"/>
      <c r="M110" s="18"/>
      <c r="N110" s="18"/>
      <c r="O110" s="18"/>
      <c r="P110" s="18"/>
      <c r="Q110" s="18"/>
      <c r="R110" s="18"/>
      <c r="S110" s="18"/>
      <c r="T110" s="18"/>
      <c r="U110" s="18"/>
      <c r="V110" s="18"/>
      <c r="W110" s="18"/>
      <c r="X110" s="18"/>
      <c r="Y110" s="18"/>
      <c r="Z110" s="18"/>
    </row>
    <row r="111" spans="1:26" ht="30" x14ac:dyDescent="0.25">
      <c r="B111" s="1477">
        <f t="shared" si="4"/>
        <v>65</v>
      </c>
      <c r="C111" s="1317" t="s">
        <v>786</v>
      </c>
      <c r="D111" s="68" t="s">
        <v>807</v>
      </c>
      <c r="E111" s="1316"/>
      <c r="F111" s="74"/>
      <c r="G111" s="1"/>
      <c r="H111" s="1"/>
      <c r="I111" s="1"/>
      <c r="J111" s="10"/>
      <c r="K111" s="10"/>
      <c r="L111" s="18"/>
      <c r="M111" s="18"/>
      <c r="N111" s="18"/>
      <c r="O111" s="18"/>
      <c r="P111" s="18"/>
      <c r="Q111" s="18"/>
      <c r="R111" s="18"/>
      <c r="S111" s="18"/>
      <c r="T111" s="18"/>
      <c r="U111" s="18"/>
      <c r="V111" s="18"/>
      <c r="W111" s="18"/>
      <c r="X111" s="18"/>
      <c r="Y111" s="18"/>
      <c r="Z111" s="18"/>
    </row>
    <row r="112" spans="1:26" ht="45" x14ac:dyDescent="0.25">
      <c r="B112" s="1477">
        <f t="shared" si="4"/>
        <v>66</v>
      </c>
      <c r="C112" s="1317" t="s">
        <v>788</v>
      </c>
      <c r="D112" s="68">
        <f>0.9</f>
        <v>0.9</v>
      </c>
      <c r="E112" s="1316" t="s">
        <v>1653</v>
      </c>
      <c r="F112" s="74"/>
      <c r="G112" s="1"/>
      <c r="H112" s="1"/>
      <c r="I112" s="1"/>
      <c r="J112" s="10"/>
      <c r="K112" s="10"/>
      <c r="L112" s="18"/>
      <c r="M112" s="18"/>
      <c r="N112" s="18"/>
      <c r="O112" s="18"/>
      <c r="P112" s="18"/>
      <c r="Q112" s="18"/>
      <c r="R112" s="18"/>
      <c r="S112" s="18"/>
      <c r="T112" s="18"/>
      <c r="U112" s="18"/>
      <c r="V112" s="18"/>
      <c r="W112" s="18"/>
      <c r="X112" s="18"/>
      <c r="Y112" s="18"/>
      <c r="Z112" s="18"/>
    </row>
    <row r="113" spans="1:26" ht="47.25" x14ac:dyDescent="0.25">
      <c r="B113" s="1501" t="s">
        <v>1916</v>
      </c>
      <c r="C113" s="1286" t="s">
        <v>1917</v>
      </c>
      <c r="D113" s="68">
        <v>8</v>
      </c>
      <c r="E113" s="1316" t="s">
        <v>1920</v>
      </c>
      <c r="F113" s="74"/>
      <c r="G113" s="1"/>
      <c r="H113" s="1"/>
      <c r="I113" s="1"/>
      <c r="J113" s="10"/>
      <c r="K113" s="10"/>
      <c r="L113" s="18"/>
      <c r="M113" s="18"/>
      <c r="N113" s="18"/>
      <c r="O113" s="18"/>
      <c r="P113" s="18"/>
      <c r="Q113" s="18"/>
      <c r="R113" s="18"/>
      <c r="S113" s="18"/>
      <c r="T113" s="18"/>
      <c r="U113" s="18"/>
      <c r="V113" s="18"/>
      <c r="W113" s="18"/>
      <c r="X113" s="18"/>
      <c r="Y113" s="18"/>
      <c r="Z113" s="18"/>
    </row>
    <row r="114" spans="1:26" x14ac:dyDescent="0.25">
      <c r="B114" s="1436"/>
      <c r="C114" s="1596" t="str">
        <f>IF(OR(C107="",D107="",D108="",D109="",D110="",D111="",D112=""),"Заполните таблицу","")</f>
        <v/>
      </c>
      <c r="D114" s="1596"/>
      <c r="E114" s="1596"/>
      <c r="F114" s="74"/>
      <c r="G114" s="1"/>
      <c r="H114" s="1"/>
      <c r="I114" s="1"/>
      <c r="J114" s="10"/>
      <c r="K114" s="10"/>
      <c r="L114" s="18"/>
      <c r="M114" s="18"/>
      <c r="N114" s="18"/>
      <c r="O114" s="18"/>
      <c r="P114" s="18"/>
      <c r="Q114" s="18"/>
      <c r="R114" s="18"/>
      <c r="S114" s="18"/>
      <c r="T114" s="18"/>
      <c r="U114" s="18"/>
      <c r="V114" s="18"/>
      <c r="W114" s="18"/>
      <c r="X114" s="18"/>
      <c r="Y114" s="18"/>
      <c r="Z114" s="18"/>
    </row>
    <row r="115" spans="1:26" ht="15.75" customHeight="1" x14ac:dyDescent="0.25">
      <c r="B115" s="1436"/>
      <c r="C115" s="1293" t="s">
        <v>1453</v>
      </c>
      <c r="D115" s="18"/>
      <c r="E115" s="18"/>
      <c r="F115" s="74"/>
      <c r="G115" s="1"/>
      <c r="H115" s="1"/>
      <c r="I115" s="1"/>
      <c r="J115" s="10"/>
      <c r="K115" s="10"/>
      <c r="L115" s="18"/>
      <c r="M115" s="18"/>
      <c r="N115" s="18"/>
      <c r="O115" s="18"/>
      <c r="P115" s="18"/>
      <c r="Q115" s="18"/>
      <c r="R115" s="18"/>
      <c r="S115" s="18"/>
      <c r="T115" s="18"/>
      <c r="U115" s="18"/>
      <c r="V115" s="18"/>
      <c r="W115" s="18"/>
      <c r="X115" s="18"/>
      <c r="Y115" s="18"/>
      <c r="Z115" s="18"/>
    </row>
    <row r="116" spans="1:26" x14ac:dyDescent="0.25">
      <c r="B116" s="1477">
        <f>B112+1</f>
        <v>67</v>
      </c>
      <c r="C116" s="3"/>
      <c r="D116" s="18"/>
      <c r="E116" s="18"/>
      <c r="F116" s="74"/>
      <c r="G116" s="1"/>
      <c r="H116" s="1"/>
      <c r="I116" s="1"/>
      <c r="J116" s="10"/>
      <c r="K116" s="10"/>
      <c r="L116" s="18"/>
      <c r="M116" s="18"/>
      <c r="N116" s="18"/>
      <c r="O116" s="18"/>
      <c r="P116" s="18"/>
      <c r="Q116" s="18"/>
      <c r="R116" s="18"/>
      <c r="S116" s="18"/>
      <c r="T116" s="18"/>
      <c r="U116" s="18"/>
      <c r="V116" s="18"/>
      <c r="W116" s="18"/>
      <c r="X116" s="18"/>
      <c r="Y116" s="18"/>
      <c r="Z116" s="18"/>
    </row>
    <row r="117" spans="1:26" x14ac:dyDescent="0.25">
      <c r="B117" s="1436"/>
      <c r="C117" s="3"/>
      <c r="D117" s="18"/>
      <c r="E117" s="18"/>
      <c r="F117" s="74"/>
      <c r="G117" s="1"/>
      <c r="H117" s="1"/>
      <c r="I117" s="1"/>
      <c r="J117" s="10"/>
      <c r="K117" s="10"/>
      <c r="L117" s="18"/>
      <c r="M117" s="18"/>
      <c r="N117" s="18"/>
      <c r="O117" s="18"/>
      <c r="P117" s="18"/>
      <c r="Q117" s="18"/>
      <c r="R117" s="18"/>
      <c r="S117" s="18"/>
      <c r="T117" s="18"/>
      <c r="U117" s="18"/>
      <c r="V117" s="18"/>
      <c r="W117" s="18"/>
      <c r="X117" s="18"/>
      <c r="Y117" s="18"/>
      <c r="Z117" s="18"/>
    </row>
    <row r="118" spans="1:26" ht="22.5" customHeight="1" x14ac:dyDescent="0.25">
      <c r="B118" s="1436"/>
      <c r="C118" s="3"/>
      <c r="D118" s="18"/>
      <c r="E118" s="18"/>
      <c r="F118" s="74"/>
      <c r="G118" s="1"/>
      <c r="H118" s="1"/>
      <c r="I118" s="1"/>
      <c r="J118" s="10"/>
      <c r="K118" s="10"/>
      <c r="L118" s="18"/>
      <c r="M118" s="18"/>
      <c r="N118" s="18"/>
      <c r="O118" s="18"/>
      <c r="P118" s="18"/>
      <c r="Q118" s="18"/>
      <c r="R118" s="18"/>
      <c r="S118" s="18"/>
      <c r="T118" s="18"/>
      <c r="U118" s="18"/>
      <c r="V118" s="18"/>
      <c r="W118" s="18"/>
      <c r="X118" s="18"/>
      <c r="Y118" s="18"/>
      <c r="Z118" s="18"/>
    </row>
    <row r="119" spans="1:26" ht="22.5" customHeight="1" x14ac:dyDescent="0.25">
      <c r="B119" s="1436"/>
      <c r="C119" s="3"/>
      <c r="D119" s="18"/>
      <c r="E119" s="18"/>
      <c r="F119" s="74"/>
      <c r="G119" s="1"/>
      <c r="H119" s="1"/>
      <c r="I119" s="1"/>
      <c r="J119" s="10"/>
      <c r="K119" s="10"/>
      <c r="L119" s="18"/>
      <c r="M119" s="18"/>
      <c r="N119" s="18"/>
      <c r="O119" s="18"/>
      <c r="P119" s="18"/>
      <c r="Q119" s="18"/>
      <c r="R119" s="18"/>
      <c r="S119" s="18"/>
      <c r="T119" s="18"/>
      <c r="U119" s="18"/>
      <c r="V119" s="18"/>
      <c r="W119" s="18"/>
      <c r="X119" s="18"/>
      <c r="Y119" s="18"/>
      <c r="Z119" s="18"/>
    </row>
    <row r="120" spans="1:26" x14ac:dyDescent="0.25">
      <c r="B120" s="1436"/>
      <c r="C120" s="4"/>
      <c r="D120" s="18"/>
      <c r="E120" s="18"/>
      <c r="F120" s="74"/>
      <c r="G120" s="1"/>
      <c r="H120" s="1"/>
      <c r="I120" s="1"/>
      <c r="J120" s="10"/>
      <c r="K120" s="10"/>
      <c r="L120" s="18"/>
      <c r="M120" s="18"/>
      <c r="N120" s="18"/>
      <c r="O120" s="18"/>
      <c r="P120" s="18"/>
      <c r="Q120" s="18"/>
      <c r="R120" s="18"/>
      <c r="S120" s="18"/>
      <c r="T120" s="18"/>
      <c r="U120" s="18"/>
      <c r="V120" s="18"/>
      <c r="W120" s="18"/>
      <c r="X120" s="18"/>
      <c r="Y120" s="18"/>
      <c r="Z120" s="18"/>
    </row>
    <row r="121" spans="1:26" x14ac:dyDescent="0.25">
      <c r="B121" s="1436"/>
      <c r="C121" s="7"/>
      <c r="D121" s="18"/>
      <c r="E121" s="18"/>
      <c r="F121" s="74"/>
      <c r="G121" s="1"/>
      <c r="H121" s="1"/>
      <c r="I121" s="1"/>
      <c r="J121" s="10"/>
      <c r="K121" s="10"/>
      <c r="L121" s="18"/>
      <c r="M121" s="18"/>
      <c r="N121" s="18"/>
      <c r="O121" s="18"/>
      <c r="P121" s="18"/>
      <c r="Q121" s="18"/>
      <c r="R121" s="18"/>
      <c r="S121" s="18"/>
      <c r="T121" s="18"/>
      <c r="U121" s="18"/>
      <c r="V121" s="18"/>
      <c r="W121" s="18"/>
      <c r="X121" s="18"/>
      <c r="Y121" s="18"/>
      <c r="Z121" s="18"/>
    </row>
    <row r="122" spans="1:26" x14ac:dyDescent="0.25">
      <c r="B122" s="1436"/>
      <c r="C122" s="1"/>
      <c r="D122" s="1"/>
      <c r="E122" s="1"/>
      <c r="F122" s="74"/>
      <c r="G122" s="1"/>
      <c r="H122" s="1"/>
      <c r="I122" s="1"/>
      <c r="J122" s="10"/>
      <c r="K122" s="10"/>
      <c r="L122" s="18"/>
      <c r="M122" s="18"/>
      <c r="N122" s="18"/>
      <c r="O122" s="18"/>
      <c r="P122" s="18"/>
      <c r="Q122" s="18"/>
      <c r="R122" s="18"/>
      <c r="S122" s="18"/>
      <c r="T122" s="18"/>
      <c r="U122" s="18"/>
      <c r="V122" s="18"/>
      <c r="W122" s="18"/>
      <c r="X122" s="18"/>
      <c r="Y122" s="18"/>
      <c r="Z122" s="18"/>
    </row>
    <row r="123" spans="1:26" x14ac:dyDescent="0.25">
      <c r="B123" s="1436"/>
      <c r="C123" s="1293" t="s">
        <v>791</v>
      </c>
      <c r="D123" s="1"/>
      <c r="E123" s="1"/>
      <c r="F123" s="74"/>
      <c r="G123" s="1"/>
      <c r="H123" s="1"/>
      <c r="I123" s="1"/>
      <c r="J123" s="10"/>
      <c r="K123" s="10"/>
      <c r="L123" s="18"/>
      <c r="M123" s="18"/>
      <c r="N123" s="18"/>
      <c r="O123" s="18"/>
      <c r="P123" s="18"/>
      <c r="Q123" s="18"/>
      <c r="R123" s="18"/>
      <c r="S123" s="18"/>
      <c r="T123" s="18"/>
      <c r="U123" s="18"/>
      <c r="V123" s="18"/>
      <c r="W123" s="18"/>
      <c r="X123" s="18"/>
      <c r="Y123" s="18"/>
      <c r="Z123" s="18"/>
    </row>
    <row r="124" spans="1:26" x14ac:dyDescent="0.25">
      <c r="B124" s="1477">
        <f>B116+1</f>
        <v>68</v>
      </c>
      <c r="C124" s="6"/>
      <c r="D124" s="1"/>
      <c r="E124" s="1"/>
      <c r="F124" s="74"/>
      <c r="G124" s="1"/>
      <c r="H124" s="1"/>
      <c r="I124" s="1"/>
      <c r="J124" s="10"/>
      <c r="K124" s="10"/>
      <c r="L124" s="18"/>
      <c r="M124" s="18"/>
      <c r="N124" s="18"/>
      <c r="O124" s="18"/>
      <c r="P124" s="18"/>
      <c r="Q124" s="18"/>
      <c r="R124" s="18"/>
      <c r="S124" s="18"/>
      <c r="T124" s="18"/>
      <c r="U124" s="18"/>
      <c r="V124" s="18"/>
      <c r="W124" s="18"/>
      <c r="X124" s="18"/>
      <c r="Y124" s="18"/>
      <c r="Z124" s="18"/>
    </row>
    <row r="125" spans="1:26" ht="24.75" customHeight="1" x14ac:dyDescent="0.25">
      <c r="B125" s="1477">
        <f>B124+1</f>
        <v>69</v>
      </c>
      <c r="C125" s="6"/>
      <c r="D125" s="1"/>
      <c r="E125" s="1"/>
      <c r="F125" s="74"/>
      <c r="G125" s="1"/>
      <c r="H125" s="1"/>
      <c r="I125" s="1"/>
      <c r="J125" s="10"/>
      <c r="K125" s="10"/>
      <c r="L125" s="18"/>
      <c r="M125" s="18"/>
      <c r="N125" s="18"/>
      <c r="O125" s="18"/>
      <c r="P125" s="18"/>
      <c r="Q125" s="18"/>
      <c r="R125" s="18"/>
      <c r="S125" s="18"/>
      <c r="T125" s="18"/>
      <c r="U125" s="18"/>
      <c r="V125" s="18"/>
      <c r="W125" s="18"/>
      <c r="X125" s="18"/>
      <c r="Y125" s="18"/>
      <c r="Z125" s="18"/>
    </row>
    <row r="126" spans="1:26" x14ac:dyDescent="0.25">
      <c r="B126" s="1436"/>
      <c r="C126" s="20" t="str">
        <f>IF(AND(D113="",'Система ГВС'!F17=1),"Введите в поле 66а значение остывания горячей воды в циркуляционном трубопроводе","")</f>
        <v/>
      </c>
      <c r="D126" s="1"/>
      <c r="E126" s="1"/>
      <c r="F126" s="74"/>
      <c r="G126" s="1"/>
      <c r="H126" s="1"/>
      <c r="I126" s="1"/>
      <c r="J126" s="10"/>
      <c r="K126" s="10"/>
      <c r="L126" s="18"/>
      <c r="M126" s="18"/>
      <c r="N126" s="18"/>
      <c r="O126" s="18"/>
      <c r="P126" s="18"/>
      <c r="Q126" s="18"/>
      <c r="R126" s="18"/>
      <c r="S126" s="18"/>
      <c r="T126" s="18"/>
      <c r="U126" s="18"/>
      <c r="V126" s="18"/>
      <c r="W126" s="18"/>
      <c r="X126" s="18"/>
      <c r="Y126" s="18"/>
      <c r="Z126" s="18"/>
    </row>
    <row r="127" spans="1:26" s="8" customFormat="1" ht="22.5" customHeight="1" x14ac:dyDescent="0.3">
      <c r="A127" s="1292"/>
      <c r="B127" s="1436"/>
      <c r="C127" s="1595" t="s">
        <v>972</v>
      </c>
      <c r="D127" s="1595"/>
      <c r="E127" s="1595"/>
      <c r="F127" s="74"/>
      <c r="G127" s="10"/>
      <c r="H127" s="10"/>
      <c r="I127" s="10"/>
      <c r="J127" s="10"/>
      <c r="K127" s="10"/>
      <c r="L127" s="18"/>
      <c r="M127" s="18"/>
      <c r="N127" s="18"/>
      <c r="O127" s="18"/>
      <c r="P127" s="18"/>
      <c r="Q127" s="18"/>
      <c r="R127" s="18"/>
      <c r="S127" s="18"/>
      <c r="T127" s="18"/>
      <c r="U127" s="18"/>
      <c r="V127" s="18"/>
      <c r="W127" s="18"/>
      <c r="X127" s="18"/>
      <c r="Y127" s="18"/>
      <c r="Z127" s="18"/>
    </row>
    <row r="128" spans="1:26" s="17" customFormat="1" ht="22.5" customHeight="1" x14ac:dyDescent="0.25">
      <c r="A128" s="1292"/>
      <c r="B128" s="1436"/>
      <c r="C128" s="18"/>
      <c r="D128" s="18"/>
      <c r="E128" s="18"/>
      <c r="F128" s="74"/>
      <c r="G128" s="18"/>
      <c r="H128" s="18"/>
      <c r="I128" s="18"/>
      <c r="J128" s="18"/>
      <c r="K128" s="18"/>
      <c r="L128" s="18"/>
      <c r="M128" s="18"/>
      <c r="N128" s="18"/>
      <c r="O128" s="18"/>
      <c r="P128" s="18"/>
      <c r="Q128" s="18"/>
      <c r="R128" s="18"/>
      <c r="S128" s="18"/>
      <c r="T128" s="18"/>
      <c r="U128" s="18"/>
      <c r="V128" s="18"/>
      <c r="W128" s="18"/>
      <c r="X128" s="18"/>
      <c r="Y128" s="18"/>
      <c r="Z128" s="18"/>
    </row>
    <row r="129" spans="1:26" s="8" customFormat="1" x14ac:dyDescent="0.25">
      <c r="A129" s="1292"/>
      <c r="B129" s="1436"/>
      <c r="C129" s="1599" t="s">
        <v>1003</v>
      </c>
      <c r="D129" s="1599"/>
      <c r="E129" s="1333"/>
      <c r="F129" s="74"/>
      <c r="G129" s="10"/>
      <c r="H129" s="10"/>
      <c r="I129" s="10"/>
      <c r="J129" s="10"/>
      <c r="K129" s="10"/>
      <c r="L129" s="18"/>
      <c r="M129" s="18"/>
      <c r="N129" s="18"/>
      <c r="O129" s="18"/>
      <c r="P129" s="18"/>
      <c r="Q129" s="18"/>
      <c r="R129" s="18"/>
      <c r="S129" s="18"/>
      <c r="T129" s="18"/>
      <c r="U129" s="18"/>
      <c r="V129" s="18"/>
      <c r="W129" s="18"/>
      <c r="X129" s="18"/>
      <c r="Y129" s="18"/>
      <c r="Z129" s="18"/>
    </row>
    <row r="130" spans="1:26" s="8" customFormat="1" ht="64.5" customHeight="1" x14ac:dyDescent="0.25">
      <c r="A130" s="1292"/>
      <c r="B130" s="1436"/>
      <c r="C130" s="1332" t="s">
        <v>1811</v>
      </c>
      <c r="D130" s="1332" t="s">
        <v>1900</v>
      </c>
      <c r="E130" s="1332" t="s">
        <v>869</v>
      </c>
      <c r="F130" s="1332" t="s">
        <v>976</v>
      </c>
      <c r="G130" s="1332" t="s">
        <v>981</v>
      </c>
      <c r="H130" s="1332" t="s">
        <v>1430</v>
      </c>
      <c r="I130" s="1332" t="s">
        <v>982</v>
      </c>
      <c r="J130" s="10"/>
      <c r="K130" s="10"/>
      <c r="L130" s="18"/>
      <c r="M130" s="18"/>
      <c r="N130" s="18"/>
      <c r="O130" s="18"/>
      <c r="P130" s="18"/>
      <c r="Q130" s="18"/>
      <c r="R130" s="18"/>
      <c r="S130" s="18"/>
      <c r="T130" s="18"/>
      <c r="U130" s="18"/>
      <c r="V130" s="18"/>
      <c r="W130" s="18"/>
      <c r="X130" s="18"/>
      <c r="Y130" s="18"/>
      <c r="Z130" s="18"/>
    </row>
    <row r="131" spans="1:26" s="17" customFormat="1" ht="22.5" customHeight="1" x14ac:dyDescent="0.25">
      <c r="A131" s="1292"/>
      <c r="B131" s="1477">
        <f>B125+1</f>
        <v>70</v>
      </c>
      <c r="C131" s="1328" t="s">
        <v>1814</v>
      </c>
      <c r="D131" s="1330">
        <v>2920</v>
      </c>
      <c r="E131" s="1597" t="s">
        <v>983</v>
      </c>
      <c r="F131" s="1331" t="s">
        <v>977</v>
      </c>
      <c r="G131" s="68"/>
      <c r="H131" s="68"/>
      <c r="I131" s="1331" t="s">
        <v>467</v>
      </c>
      <c r="J131" s="18"/>
      <c r="K131" s="18"/>
      <c r="L131" s="23"/>
      <c r="M131" s="18"/>
      <c r="N131" s="18"/>
      <c r="O131" s="18"/>
      <c r="P131" s="18"/>
      <c r="Q131" s="18"/>
      <c r="R131" s="18"/>
      <c r="S131" s="18"/>
      <c r="T131" s="18"/>
      <c r="U131" s="18"/>
      <c r="V131" s="18"/>
      <c r="W131" s="18"/>
      <c r="X131" s="18"/>
      <c r="Y131" s="18"/>
      <c r="Z131" s="18"/>
    </row>
    <row r="132" spans="1:26" s="17" customFormat="1" ht="22.5" customHeight="1" x14ac:dyDescent="0.25">
      <c r="A132" s="1292"/>
      <c r="B132" s="1477">
        <f>B131+1</f>
        <v>71</v>
      </c>
      <c r="C132" s="1328" t="s">
        <v>1815</v>
      </c>
      <c r="D132" s="1330">
        <v>2920</v>
      </c>
      <c r="E132" s="1598"/>
      <c r="F132" s="1331" t="s">
        <v>977</v>
      </c>
      <c r="G132" s="68"/>
      <c r="H132" s="68"/>
      <c r="I132" s="1331" t="s">
        <v>467</v>
      </c>
      <c r="J132" s="18"/>
      <c r="K132" s="18"/>
      <c r="L132" s="18"/>
      <c r="M132" s="18"/>
      <c r="N132" s="18"/>
      <c r="O132" s="18"/>
      <c r="P132" s="18"/>
      <c r="Q132" s="18"/>
      <c r="R132" s="18"/>
      <c r="S132" s="18"/>
      <c r="T132" s="18"/>
      <c r="U132" s="18"/>
      <c r="V132" s="18"/>
      <c r="W132" s="18"/>
      <c r="X132" s="18"/>
      <c r="Y132" s="18"/>
      <c r="Z132" s="18"/>
    </row>
    <row r="133" spans="1:26" s="17" customFormat="1" ht="38.25" x14ac:dyDescent="0.25">
      <c r="A133" s="1292"/>
      <c r="B133" s="1477">
        <f t="shared" ref="B133:B135" si="5">B132+1</f>
        <v>72</v>
      </c>
      <c r="C133" s="1328" t="s">
        <v>1816</v>
      </c>
      <c r="D133" s="1330">
        <v>4380</v>
      </c>
      <c r="E133" s="1523" t="s">
        <v>986</v>
      </c>
      <c r="F133" s="1331" t="s">
        <v>977</v>
      </c>
      <c r="G133" s="68"/>
      <c r="H133" s="68"/>
      <c r="I133" s="1331" t="s">
        <v>467</v>
      </c>
      <c r="J133" s="18"/>
      <c r="K133" s="18"/>
      <c r="L133" s="18"/>
      <c r="M133" s="18"/>
      <c r="N133" s="18"/>
      <c r="O133" s="18"/>
      <c r="P133" s="18"/>
      <c r="Q133" s="18"/>
      <c r="R133" s="18"/>
      <c r="S133" s="18"/>
      <c r="T133" s="18"/>
      <c r="U133" s="18"/>
      <c r="V133" s="18"/>
      <c r="W133" s="18"/>
      <c r="X133" s="18"/>
      <c r="Y133" s="18"/>
      <c r="Z133" s="18"/>
    </row>
    <row r="134" spans="1:26" s="17" customFormat="1" ht="26.25" customHeight="1" x14ac:dyDescent="0.25">
      <c r="A134" s="1292"/>
      <c r="B134" s="1477">
        <f t="shared" si="5"/>
        <v>73</v>
      </c>
      <c r="C134" s="1328" t="s">
        <v>1813</v>
      </c>
      <c r="D134" s="1330">
        <v>300</v>
      </c>
      <c r="E134" s="1523" t="s">
        <v>987</v>
      </c>
      <c r="F134" s="1331" t="s">
        <v>977</v>
      </c>
      <c r="G134" s="68"/>
      <c r="H134" s="68"/>
      <c r="I134" s="1331" t="s">
        <v>467</v>
      </c>
      <c r="J134" s="18"/>
      <c r="K134" s="18"/>
      <c r="L134" s="18"/>
      <c r="M134" s="18"/>
      <c r="N134" s="18"/>
      <c r="O134" s="18"/>
      <c r="P134" s="18"/>
      <c r="Q134" s="18"/>
      <c r="R134" s="18"/>
      <c r="S134" s="18"/>
      <c r="T134" s="18"/>
      <c r="U134" s="18"/>
      <c r="V134" s="18"/>
      <c r="W134" s="18"/>
      <c r="X134" s="18"/>
      <c r="Y134" s="18"/>
      <c r="Z134" s="18"/>
    </row>
    <row r="135" spans="1:26" s="17" customFormat="1" ht="26.25" customHeight="1" x14ac:dyDescent="0.25">
      <c r="A135" s="1292"/>
      <c r="B135" s="1477">
        <f t="shared" si="5"/>
        <v>74</v>
      </c>
      <c r="C135" s="1328" t="s">
        <v>1469</v>
      </c>
      <c r="D135" s="1330">
        <v>100</v>
      </c>
      <c r="E135" s="1523" t="s">
        <v>988</v>
      </c>
      <c r="F135" s="1331" t="s">
        <v>977</v>
      </c>
      <c r="G135" s="68"/>
      <c r="H135" s="68"/>
      <c r="I135" s="1331" t="s">
        <v>467</v>
      </c>
      <c r="J135" s="18"/>
      <c r="K135" s="18"/>
      <c r="L135" s="18"/>
      <c r="M135" s="18"/>
      <c r="N135" s="18"/>
      <c r="O135" s="18"/>
      <c r="P135" s="18"/>
      <c r="Q135" s="18"/>
      <c r="R135" s="18"/>
      <c r="S135" s="18"/>
      <c r="T135" s="18"/>
      <c r="U135" s="18"/>
      <c r="V135" s="18"/>
      <c r="W135" s="18"/>
      <c r="X135" s="18"/>
      <c r="Y135" s="18"/>
      <c r="Z135" s="18"/>
    </row>
    <row r="136" spans="1:26" s="8" customFormat="1" x14ac:dyDescent="0.25">
      <c r="A136" s="1292"/>
      <c r="B136" s="1436"/>
      <c r="C136" s="10"/>
      <c r="D136" s="10"/>
      <c r="E136" s="18"/>
      <c r="F136" s="10"/>
      <c r="G136" s="10"/>
      <c r="H136" s="10"/>
      <c r="I136" s="10"/>
      <c r="J136" s="10"/>
      <c r="K136" s="10"/>
      <c r="L136" s="18"/>
      <c r="M136" s="18"/>
      <c r="N136" s="18"/>
      <c r="O136" s="18"/>
      <c r="P136" s="18"/>
      <c r="Q136" s="18"/>
      <c r="R136" s="18"/>
      <c r="S136" s="18"/>
      <c r="T136" s="18"/>
      <c r="U136" s="18"/>
      <c r="V136" s="18"/>
      <c r="W136" s="18"/>
      <c r="X136" s="18"/>
      <c r="Y136" s="18"/>
      <c r="Z136" s="18"/>
    </row>
    <row r="137" spans="1:26" s="8" customFormat="1" x14ac:dyDescent="0.25">
      <c r="A137" s="1292"/>
      <c r="B137" s="1436"/>
      <c r="C137" s="1599" t="s">
        <v>1470</v>
      </c>
      <c r="D137" s="1599"/>
      <c r="E137" s="1333"/>
      <c r="F137" s="10"/>
      <c r="G137" s="10"/>
      <c r="H137" s="10"/>
      <c r="I137" s="10"/>
      <c r="J137" s="10"/>
      <c r="K137" s="10"/>
      <c r="L137" s="18"/>
      <c r="M137" s="18"/>
      <c r="N137" s="18"/>
      <c r="O137" s="18"/>
      <c r="P137" s="18"/>
      <c r="Q137" s="18"/>
      <c r="R137" s="18"/>
      <c r="S137" s="18"/>
      <c r="T137" s="18"/>
      <c r="U137" s="18"/>
      <c r="V137" s="18"/>
      <c r="W137" s="18"/>
      <c r="X137" s="18"/>
      <c r="Y137" s="18"/>
      <c r="Z137" s="18"/>
    </row>
    <row r="138" spans="1:26" s="8" customFormat="1" x14ac:dyDescent="0.25">
      <c r="A138" s="1292"/>
      <c r="B138" s="1477">
        <f>B135+1</f>
        <v>75</v>
      </c>
      <c r="C138" s="1285" t="s">
        <v>989</v>
      </c>
      <c r="D138" s="68"/>
      <c r="E138" s="1334"/>
      <c r="F138" s="10"/>
      <c r="G138" s="10"/>
      <c r="H138" s="10"/>
      <c r="I138" s="10"/>
      <c r="J138" s="10"/>
      <c r="K138" s="10"/>
      <c r="L138" s="18"/>
      <c r="M138" s="18"/>
      <c r="N138" s="18"/>
      <c r="O138" s="18"/>
      <c r="P138" s="18"/>
      <c r="Q138" s="18"/>
      <c r="R138" s="18"/>
      <c r="S138" s="18"/>
      <c r="T138" s="18"/>
      <c r="U138" s="18"/>
      <c r="V138" s="18"/>
      <c r="W138" s="18"/>
      <c r="X138" s="18"/>
      <c r="Y138" s="18"/>
      <c r="Z138" s="18"/>
    </row>
    <row r="139" spans="1:26" s="17" customFormat="1" ht="45" x14ac:dyDescent="0.25">
      <c r="A139" s="1292"/>
      <c r="B139" s="1477">
        <f>B138+1</f>
        <v>76</v>
      </c>
      <c r="C139" s="1335" t="s">
        <v>1300</v>
      </c>
      <c r="D139" s="68"/>
      <c r="E139" s="1334"/>
      <c r="F139" s="18"/>
      <c r="G139" s="18"/>
      <c r="H139" s="18"/>
      <c r="I139" s="18"/>
      <c r="J139" s="18"/>
      <c r="K139" s="18"/>
      <c r="L139" s="18"/>
      <c r="M139" s="18"/>
      <c r="N139" s="18"/>
      <c r="O139" s="18"/>
      <c r="P139" s="18"/>
      <c r="Q139" s="18"/>
      <c r="R139" s="18"/>
      <c r="S139" s="18"/>
      <c r="T139" s="18"/>
      <c r="U139" s="18"/>
      <c r="V139" s="18"/>
      <c r="W139" s="18"/>
      <c r="X139" s="18"/>
      <c r="Y139" s="18"/>
      <c r="Z139" s="18"/>
    </row>
    <row r="140" spans="1:26" s="8" customFormat="1" x14ac:dyDescent="0.25">
      <c r="A140" s="1292"/>
      <c r="B140" s="1477">
        <f t="shared" ref="B140:B141" si="6">B139+1</f>
        <v>77</v>
      </c>
      <c r="C140" s="1285" t="s">
        <v>1280</v>
      </c>
      <c r="D140" s="68"/>
      <c r="E140" s="1489" t="str">
        <f>IFERROR(IF(OR(AND(D140&lt;&gt;"",D138=""),AND(D138&lt;&gt;"",D140=""),AND(D140&lt;&gt;"",D138&lt;&gt;"",D141="")),"Если лифты присутствуют, введите и количество, и мощность, и часы работы",""),"")</f>
        <v/>
      </c>
      <c r="F140" s="10"/>
      <c r="G140" s="10"/>
      <c r="H140" s="10"/>
      <c r="I140" s="10"/>
      <c r="J140" s="10"/>
      <c r="K140" s="10"/>
      <c r="L140" s="18"/>
      <c r="M140" s="18"/>
      <c r="N140" s="18"/>
      <c r="O140" s="18"/>
      <c r="P140" s="18"/>
      <c r="Q140" s="18"/>
      <c r="R140" s="18"/>
      <c r="S140" s="18"/>
      <c r="T140" s="18"/>
      <c r="U140" s="18"/>
      <c r="V140" s="18"/>
      <c r="W140" s="18"/>
      <c r="X140" s="18"/>
      <c r="Y140" s="18"/>
      <c r="Z140" s="18"/>
    </row>
    <row r="141" spans="1:26" s="8" customFormat="1" ht="25.5" x14ac:dyDescent="0.25">
      <c r="A141" s="1292"/>
      <c r="B141" s="1477">
        <f t="shared" si="6"/>
        <v>78</v>
      </c>
      <c r="C141" s="1285" t="s">
        <v>1897</v>
      </c>
      <c r="D141" s="68">
        <v>2200</v>
      </c>
      <c r="E141" s="1334" t="s">
        <v>1386</v>
      </c>
      <c r="F141" s="10"/>
      <c r="G141" s="10"/>
      <c r="H141" s="10"/>
      <c r="I141" s="10"/>
      <c r="J141" s="10"/>
      <c r="K141" s="10"/>
      <c r="L141" s="18"/>
      <c r="M141" s="18"/>
      <c r="N141" s="18"/>
      <c r="O141" s="18"/>
      <c r="P141" s="18"/>
      <c r="Q141" s="18"/>
      <c r="R141" s="18"/>
      <c r="S141" s="18"/>
      <c r="T141" s="18"/>
      <c r="U141" s="18"/>
      <c r="V141" s="18"/>
      <c r="W141" s="18"/>
      <c r="X141" s="18"/>
      <c r="Y141" s="18"/>
      <c r="Z141" s="18"/>
    </row>
    <row r="142" spans="1:26" s="8" customFormat="1" x14ac:dyDescent="0.25">
      <c r="A142" s="1292"/>
      <c r="B142" s="1436"/>
      <c r="C142" s="10"/>
      <c r="D142" s="16"/>
      <c r="E142" s="10"/>
      <c r="F142" s="10"/>
      <c r="G142" s="10"/>
      <c r="H142" s="10"/>
      <c r="I142" s="10"/>
      <c r="J142" s="10"/>
      <c r="K142" s="10"/>
      <c r="L142" s="18"/>
      <c r="M142" s="18"/>
      <c r="N142" s="18"/>
      <c r="O142" s="18"/>
      <c r="P142" s="18"/>
      <c r="Q142" s="18"/>
      <c r="R142" s="18"/>
      <c r="S142" s="18"/>
      <c r="T142" s="18"/>
      <c r="U142" s="18"/>
      <c r="V142" s="18"/>
      <c r="W142" s="18"/>
      <c r="X142" s="18"/>
      <c r="Y142" s="18"/>
      <c r="Z142" s="18"/>
    </row>
    <row r="143" spans="1:26" s="8" customFormat="1" x14ac:dyDescent="0.25">
      <c r="A143" s="1292"/>
      <c r="B143" s="1436"/>
      <c r="C143" s="1599" t="s">
        <v>1471</v>
      </c>
      <c r="D143" s="1599"/>
      <c r="E143" s="1343"/>
      <c r="F143" s="10"/>
      <c r="G143" s="10"/>
      <c r="H143" s="10"/>
      <c r="I143" s="10"/>
      <c r="J143" s="10"/>
      <c r="K143" s="10"/>
      <c r="L143" s="18"/>
      <c r="M143" s="18"/>
      <c r="N143" s="18"/>
      <c r="O143" s="18"/>
      <c r="P143" s="18"/>
      <c r="Q143" s="18"/>
      <c r="R143" s="18"/>
      <c r="S143" s="18"/>
      <c r="T143" s="18"/>
      <c r="U143" s="18"/>
      <c r="V143" s="18"/>
      <c r="W143" s="18"/>
      <c r="X143" s="18"/>
      <c r="Y143" s="18"/>
      <c r="Z143" s="18"/>
    </row>
    <row r="144" spans="1:26" s="8" customFormat="1" ht="42.75" customHeight="1" x14ac:dyDescent="0.25">
      <c r="A144" s="1292"/>
      <c r="B144" s="1477">
        <f>B141+1</f>
        <v>79</v>
      </c>
      <c r="C144" s="1338" t="s">
        <v>1817</v>
      </c>
      <c r="D144" s="1340"/>
      <c r="E144" s="1487"/>
      <c r="F144" s="10"/>
      <c r="G144" s="10"/>
      <c r="H144" s="10"/>
      <c r="I144" s="10"/>
      <c r="J144" s="10"/>
      <c r="K144" s="10"/>
      <c r="L144" s="18"/>
      <c r="M144" s="18"/>
      <c r="N144" s="18"/>
      <c r="O144" s="18"/>
      <c r="P144" s="18"/>
      <c r="Q144" s="18"/>
      <c r="R144" s="18"/>
      <c r="S144" s="18"/>
      <c r="T144" s="18"/>
      <c r="U144" s="18"/>
      <c r="V144" s="18"/>
      <c r="W144" s="18"/>
      <c r="X144" s="18"/>
      <c r="Y144" s="18"/>
      <c r="Z144" s="18"/>
    </row>
    <row r="145" spans="1:26" s="8" customFormat="1" ht="45" x14ac:dyDescent="0.25">
      <c r="A145" s="1292"/>
      <c r="B145" s="1477">
        <f>B144+1</f>
        <v>80</v>
      </c>
      <c r="C145" s="1339" t="s">
        <v>1299</v>
      </c>
      <c r="D145" s="1341"/>
      <c r="E145" s="1488" t="str">
        <f>IF(IFERROR(D146/D144,0)&gt;0.8,"Проверьте единицы измерения, мощность следует ввести в кВт (не в Вт)","")</f>
        <v/>
      </c>
      <c r="F145" s="10"/>
      <c r="G145" s="10"/>
      <c r="H145" s="10"/>
      <c r="I145" s="10"/>
      <c r="J145" s="10"/>
      <c r="K145" s="10"/>
      <c r="L145" s="18"/>
      <c r="M145" s="18"/>
      <c r="N145" s="18"/>
      <c r="O145" s="18"/>
      <c r="P145" s="18"/>
      <c r="Q145" s="18"/>
      <c r="R145" s="18"/>
      <c r="S145" s="18"/>
      <c r="T145" s="18"/>
      <c r="U145" s="18"/>
      <c r="V145" s="18"/>
      <c r="W145" s="18"/>
      <c r="X145" s="18"/>
      <c r="Y145" s="18"/>
      <c r="Z145" s="18"/>
    </row>
    <row r="146" spans="1:26" s="8" customFormat="1" x14ac:dyDescent="0.25">
      <c r="A146" s="1292"/>
      <c r="B146" s="1477">
        <f t="shared" ref="B146:B155" si="7">B145+1</f>
        <v>81</v>
      </c>
      <c r="C146" s="1336" t="s">
        <v>1320</v>
      </c>
      <c r="D146" s="1341"/>
      <c r="E146" s="1489" t="str">
        <f>IFERROR(IF(OR(AND(D146&lt;&gt;"",D144=""),AND(D144&lt;&gt;"",D146=""),AND(D146&lt;&gt;"",D144&lt;&gt;"",D147="")),"Если насосы присутствуют, введите и количество, и мощность, и часы работы",""),"")</f>
        <v/>
      </c>
      <c r="F146" s="20"/>
      <c r="G146" s="10"/>
      <c r="H146" s="10"/>
      <c r="I146" s="10"/>
      <c r="J146" s="10"/>
      <c r="K146" s="10"/>
      <c r="L146" s="18"/>
      <c r="M146" s="18"/>
      <c r="N146" s="18"/>
      <c r="O146" s="18"/>
      <c r="P146" s="18"/>
      <c r="Q146" s="18"/>
      <c r="R146" s="18"/>
      <c r="S146" s="18"/>
      <c r="T146" s="18"/>
      <c r="U146" s="18"/>
      <c r="V146" s="18"/>
      <c r="W146" s="18"/>
      <c r="X146" s="18"/>
      <c r="Y146" s="18"/>
      <c r="Z146" s="18"/>
    </row>
    <row r="147" spans="1:26" s="8" customFormat="1" ht="38.25" x14ac:dyDescent="0.25">
      <c r="A147" s="1292"/>
      <c r="B147" s="1477">
        <f t="shared" si="7"/>
        <v>82</v>
      </c>
      <c r="C147" s="1337" t="s">
        <v>1898</v>
      </c>
      <c r="D147" s="1342" t="str">
        <f>IFERROR('Расчет базового уровня'!D146*24,"")</f>
        <v/>
      </c>
      <c r="E147" s="1490" t="s">
        <v>1863</v>
      </c>
      <c r="F147" s="10"/>
      <c r="G147" s="10"/>
      <c r="H147" s="10"/>
      <c r="I147" s="10"/>
      <c r="J147" s="10"/>
      <c r="K147" s="10"/>
      <c r="L147" s="18"/>
      <c r="M147" s="18"/>
      <c r="N147" s="18"/>
      <c r="O147" s="18"/>
      <c r="P147" s="18"/>
      <c r="Q147" s="18"/>
      <c r="R147" s="18"/>
      <c r="S147" s="18"/>
      <c r="T147" s="18"/>
      <c r="U147" s="18"/>
      <c r="V147" s="18"/>
      <c r="W147" s="18"/>
      <c r="X147" s="18"/>
      <c r="Y147" s="18"/>
      <c r="Z147" s="18"/>
    </row>
    <row r="148" spans="1:26" s="8" customFormat="1" ht="30" x14ac:dyDescent="0.25">
      <c r="A148" s="1292"/>
      <c r="B148" s="1477">
        <f t="shared" si="7"/>
        <v>83</v>
      </c>
      <c r="C148" s="1338" t="s">
        <v>1520</v>
      </c>
      <c r="D148" s="1340"/>
      <c r="E148" s="1491" t="str">
        <f>IF(AND(D148=0,'Система ГВС'!F17=1),"Вы отметили ранее наличие циркуляционного трубопровода ГВС. Значит, есть и насосы",IF(AND(D148&gt;0,'Система ГВС'!F17=0),"Вы отметили ранее отсутствие циркуляционного трубопровода ГВС. Тогда насосов быть не должно",""))</f>
        <v/>
      </c>
      <c r="F148" s="10"/>
      <c r="G148" s="10"/>
      <c r="H148" s="10"/>
      <c r="I148" s="10"/>
      <c r="J148" s="10"/>
      <c r="K148" s="10"/>
      <c r="L148" s="18"/>
      <c r="M148" s="18"/>
      <c r="N148" s="18"/>
      <c r="O148" s="18"/>
      <c r="P148" s="18"/>
      <c r="Q148" s="18"/>
      <c r="R148" s="18"/>
      <c r="S148" s="18"/>
      <c r="T148" s="18"/>
      <c r="U148" s="18"/>
      <c r="V148" s="18"/>
      <c r="W148" s="18"/>
      <c r="X148" s="18"/>
      <c r="Y148" s="18"/>
      <c r="Z148" s="18"/>
    </row>
    <row r="149" spans="1:26" s="17" customFormat="1" ht="45" x14ac:dyDescent="0.25">
      <c r="A149" s="1292"/>
      <c r="B149" s="1477">
        <f>B148+1</f>
        <v>84</v>
      </c>
      <c r="C149" s="1339" t="s">
        <v>1299</v>
      </c>
      <c r="D149" s="1341"/>
      <c r="E149" s="1488" t="str">
        <f>IF(IFERROR(D150/D148,0)&gt;0.8,"Проверьте единицы измерения, мощность следует ввести в кВт (не в Вт)","")</f>
        <v/>
      </c>
      <c r="F149" s="18"/>
      <c r="G149" s="18"/>
      <c r="H149" s="18"/>
      <c r="I149" s="18"/>
      <c r="J149" s="18"/>
      <c r="K149" s="18"/>
      <c r="L149" s="18"/>
      <c r="M149" s="18"/>
      <c r="N149" s="18"/>
      <c r="O149" s="18"/>
      <c r="P149" s="18"/>
      <c r="Q149" s="18"/>
      <c r="R149" s="18"/>
      <c r="S149" s="18"/>
      <c r="T149" s="18"/>
      <c r="U149" s="18"/>
      <c r="V149" s="18"/>
      <c r="W149" s="18"/>
      <c r="X149" s="18"/>
      <c r="Y149" s="18"/>
      <c r="Z149" s="18"/>
    </row>
    <row r="150" spans="1:26" s="8" customFormat="1" ht="30" customHeight="1" x14ac:dyDescent="0.25">
      <c r="A150" s="1292"/>
      <c r="B150" s="1477">
        <f t="shared" si="7"/>
        <v>85</v>
      </c>
      <c r="C150" s="1336" t="s">
        <v>1320</v>
      </c>
      <c r="D150" s="1341"/>
      <c r="E150" s="1489" t="str">
        <f>IF(OR(AND(D150&lt;&gt;"",D148=""),AND(D148&lt;&gt;"",D150=""),AND(D150&lt;&gt;"",D148&lt;&gt;"",D151="")),"Если насосы присутствуют, введите и количество, и мощность, и часы работы","")</f>
        <v/>
      </c>
      <c r="F150" s="10"/>
      <c r="G150" s="10"/>
      <c r="H150" s="10"/>
      <c r="I150" s="10"/>
      <c r="J150" s="10"/>
      <c r="K150" s="10"/>
      <c r="L150" s="18"/>
      <c r="M150" s="18"/>
      <c r="N150" s="18"/>
      <c r="O150" s="18"/>
      <c r="P150" s="18"/>
      <c r="Q150" s="18"/>
      <c r="R150" s="18"/>
      <c r="S150" s="18"/>
      <c r="T150" s="18"/>
      <c r="U150" s="18"/>
      <c r="V150" s="18"/>
      <c r="W150" s="18"/>
      <c r="X150" s="18"/>
      <c r="Y150" s="18"/>
      <c r="Z150" s="18"/>
    </row>
    <row r="151" spans="1:26" s="8" customFormat="1" ht="54" customHeight="1" x14ac:dyDescent="0.25">
      <c r="A151" s="1292"/>
      <c r="B151" s="1477">
        <f t="shared" si="7"/>
        <v>86</v>
      </c>
      <c r="C151" s="1337" t="s">
        <v>1898</v>
      </c>
      <c r="D151" s="1342">
        <f>(365-D110)*24</f>
        <v>8424</v>
      </c>
      <c r="E151" s="1490" t="s">
        <v>1412</v>
      </c>
      <c r="F151" s="10"/>
      <c r="G151" s="10"/>
      <c r="H151" s="10"/>
      <c r="I151" s="10"/>
      <c r="J151" s="10"/>
      <c r="K151" s="10"/>
      <c r="L151" s="18"/>
      <c r="M151" s="18"/>
      <c r="N151" s="18"/>
      <c r="O151" s="18"/>
      <c r="P151" s="18"/>
      <c r="Q151" s="18"/>
      <c r="R151" s="18"/>
      <c r="S151" s="18"/>
      <c r="T151" s="18"/>
      <c r="U151" s="18"/>
      <c r="V151" s="18"/>
      <c r="W151" s="18"/>
      <c r="X151" s="18"/>
      <c r="Y151" s="18"/>
      <c r="Z151" s="18"/>
    </row>
    <row r="152" spans="1:26" s="8" customFormat="1" ht="30" x14ac:dyDescent="0.25">
      <c r="A152" s="1292"/>
      <c r="B152" s="1477">
        <f t="shared" si="7"/>
        <v>87</v>
      </c>
      <c r="C152" s="1338" t="s">
        <v>1335</v>
      </c>
      <c r="D152" s="1340"/>
      <c r="E152" s="1487"/>
      <c r="F152" s="10"/>
      <c r="G152" s="10"/>
      <c r="H152" s="10"/>
      <c r="I152" s="10"/>
      <c r="J152" s="10"/>
      <c r="K152" s="10"/>
      <c r="L152" s="18"/>
      <c r="M152" s="18"/>
      <c r="N152" s="18"/>
      <c r="O152" s="18"/>
      <c r="P152" s="18"/>
      <c r="Q152" s="18"/>
      <c r="R152" s="18"/>
      <c r="S152" s="18"/>
      <c r="T152" s="18"/>
      <c r="U152" s="18"/>
      <c r="V152" s="18"/>
      <c r="W152" s="18"/>
      <c r="X152" s="18"/>
      <c r="Y152" s="18"/>
      <c r="Z152" s="18"/>
    </row>
    <row r="153" spans="1:26" s="17" customFormat="1" ht="45" x14ac:dyDescent="0.25">
      <c r="A153" s="1292"/>
      <c r="B153" s="1477">
        <f>B152+1</f>
        <v>88</v>
      </c>
      <c r="C153" s="1339" t="s">
        <v>1299</v>
      </c>
      <c r="D153" s="1341"/>
      <c r="E153" s="1488" t="str">
        <f>IF(IFERROR(D154/D152,0)&gt;0.8,"Проверьте единицы измерения, мощность следует ввести в кВт (не в Вт)","")</f>
        <v/>
      </c>
      <c r="F153" s="18"/>
      <c r="G153" s="18"/>
      <c r="H153" s="18"/>
      <c r="I153" s="18"/>
      <c r="J153" s="18"/>
      <c r="K153" s="18"/>
      <c r="L153" s="18"/>
      <c r="M153" s="18"/>
      <c r="N153" s="18"/>
      <c r="O153" s="18"/>
      <c r="P153" s="18"/>
      <c r="Q153" s="18"/>
      <c r="R153" s="18"/>
      <c r="S153" s="18"/>
      <c r="T153" s="18"/>
      <c r="U153" s="18"/>
      <c r="V153" s="18"/>
      <c r="W153" s="18"/>
      <c r="X153" s="18"/>
      <c r="Y153" s="18"/>
      <c r="Z153" s="18"/>
    </row>
    <row r="154" spans="1:26" s="8" customFormat="1" x14ac:dyDescent="0.25">
      <c r="A154" s="1292"/>
      <c r="B154" s="1477">
        <f t="shared" si="7"/>
        <v>89</v>
      </c>
      <c r="C154" s="1336" t="s">
        <v>1320</v>
      </c>
      <c r="D154" s="1341"/>
      <c r="E154" s="1489" t="str">
        <f>IF(OR(AND(D154&lt;&gt;"",D152=""),AND(D152&lt;&gt;"",D154=""),AND(D154&lt;&gt;"",D152&lt;&gt;"",D155="")),"Если насосы присутствуют, введите и количество, и мощность, и часы работы","")</f>
        <v/>
      </c>
      <c r="F154" s="10"/>
      <c r="G154" s="10"/>
      <c r="H154" s="10"/>
      <c r="I154" s="10"/>
      <c r="J154" s="10"/>
      <c r="K154" s="10"/>
      <c r="L154" s="18"/>
      <c r="M154" s="18"/>
      <c r="N154" s="18"/>
      <c r="O154" s="18"/>
      <c r="P154" s="18"/>
      <c r="Q154" s="18"/>
      <c r="R154" s="18"/>
      <c r="S154" s="18"/>
      <c r="T154" s="18"/>
      <c r="U154" s="18"/>
      <c r="V154" s="18"/>
      <c r="W154" s="18"/>
      <c r="X154" s="18"/>
      <c r="Y154" s="18"/>
      <c r="Z154" s="18"/>
    </row>
    <row r="155" spans="1:26" s="8" customFormat="1" ht="33.6" customHeight="1" x14ac:dyDescent="0.25">
      <c r="A155" s="1292"/>
      <c r="B155" s="1477">
        <f t="shared" si="7"/>
        <v>90</v>
      </c>
      <c r="C155" s="1337" t="s">
        <v>1898</v>
      </c>
      <c r="D155" s="1342">
        <v>8760</v>
      </c>
      <c r="E155" s="1490" t="s">
        <v>990</v>
      </c>
      <c r="F155" s="10"/>
      <c r="G155" s="10"/>
      <c r="H155" s="10"/>
      <c r="I155" s="10"/>
      <c r="J155" s="10"/>
      <c r="K155" s="10"/>
      <c r="L155" s="18"/>
      <c r="M155" s="18"/>
      <c r="N155" s="18"/>
      <c r="O155" s="18"/>
      <c r="P155" s="18"/>
      <c r="Q155" s="18"/>
      <c r="R155" s="18"/>
      <c r="S155" s="18"/>
      <c r="T155" s="18"/>
      <c r="U155" s="18"/>
      <c r="V155" s="18"/>
      <c r="W155" s="18"/>
      <c r="X155" s="18"/>
      <c r="Y155" s="18"/>
      <c r="Z155" s="18"/>
    </row>
    <row r="156" spans="1:26" s="8" customFormat="1" x14ac:dyDescent="0.25">
      <c r="A156" s="1292"/>
      <c r="B156" s="1436"/>
      <c r="C156" s="10"/>
      <c r="D156" s="10"/>
      <c r="E156" s="10"/>
      <c r="F156" s="10"/>
      <c r="G156" s="10"/>
      <c r="H156" s="10"/>
      <c r="I156" s="10"/>
      <c r="J156" s="10"/>
      <c r="K156" s="10"/>
      <c r="L156" s="18"/>
      <c r="M156" s="18"/>
      <c r="N156" s="18"/>
      <c r="O156" s="18"/>
      <c r="P156" s="18"/>
      <c r="Q156" s="18"/>
      <c r="R156" s="18"/>
      <c r="S156" s="18"/>
      <c r="T156" s="18"/>
      <c r="U156" s="18"/>
      <c r="V156" s="18"/>
      <c r="W156" s="18"/>
      <c r="X156" s="18"/>
      <c r="Y156" s="18"/>
      <c r="Z156" s="18"/>
    </row>
    <row r="157" spans="1:26" s="8" customFormat="1" x14ac:dyDescent="0.25">
      <c r="A157" s="1292"/>
      <c r="B157" s="1436"/>
      <c r="C157" s="10"/>
      <c r="D157" s="10"/>
      <c r="E157" s="10"/>
      <c r="F157" s="10"/>
      <c r="G157" s="10"/>
      <c r="H157" s="10"/>
      <c r="I157" s="10"/>
      <c r="J157" s="10"/>
      <c r="K157" s="10"/>
      <c r="L157" s="18"/>
      <c r="M157" s="18"/>
      <c r="N157" s="18"/>
      <c r="O157" s="18"/>
      <c r="P157" s="18"/>
      <c r="Q157" s="18"/>
      <c r="R157" s="18"/>
      <c r="S157" s="18"/>
      <c r="T157" s="18"/>
      <c r="U157" s="18"/>
      <c r="V157" s="18"/>
      <c r="W157" s="18"/>
      <c r="X157" s="18"/>
      <c r="Y157" s="18"/>
      <c r="Z157" s="18"/>
    </row>
    <row r="158" spans="1:26" s="8" customFormat="1" x14ac:dyDescent="0.25">
      <c r="A158" s="1292"/>
      <c r="B158" s="1436"/>
      <c r="C158" s="1600" t="s">
        <v>1472</v>
      </c>
      <c r="D158" s="1600"/>
      <c r="E158" s="1343"/>
      <c r="F158" s="10"/>
      <c r="G158" s="10"/>
      <c r="H158" s="10"/>
      <c r="I158" s="10"/>
      <c r="J158" s="10"/>
      <c r="K158" s="10"/>
      <c r="L158" s="18"/>
      <c r="M158" s="18"/>
      <c r="N158" s="18"/>
      <c r="O158" s="18"/>
      <c r="P158" s="18"/>
      <c r="Q158" s="18"/>
      <c r="R158" s="18"/>
      <c r="S158" s="18"/>
      <c r="T158" s="18"/>
      <c r="U158" s="18"/>
      <c r="V158" s="18"/>
      <c r="W158" s="18"/>
      <c r="X158" s="18"/>
      <c r="Y158" s="18"/>
      <c r="Z158" s="18"/>
    </row>
    <row r="159" spans="1:26" s="8" customFormat="1" ht="30" customHeight="1" x14ac:dyDescent="0.25">
      <c r="A159" s="1292"/>
      <c r="B159" s="1477">
        <f>B155+1</f>
        <v>91</v>
      </c>
      <c r="C159" s="1285" t="s">
        <v>1385</v>
      </c>
      <c r="D159" s="68"/>
      <c r="E159" s="1601" t="str">
        <f>IF(D160*D159&gt;4380,"Будьте внимательны в указании мощности!"&amp;CHAR(10)&amp;"Указан значительный неизвестный потребитель электроэнергии."&amp;CHAR(10)&amp;"В случае ошибки здесь, прогноз эффекта будет не верен!","")</f>
        <v/>
      </c>
      <c r="F159" s="10"/>
      <c r="G159" s="10"/>
      <c r="H159" s="10"/>
      <c r="I159" s="10"/>
      <c r="J159" s="10"/>
      <c r="K159" s="10"/>
      <c r="L159" s="18"/>
      <c r="M159" s="18"/>
      <c r="N159" s="18"/>
      <c r="O159" s="18"/>
      <c r="P159" s="18"/>
      <c r="Q159" s="18"/>
      <c r="R159" s="18"/>
      <c r="S159" s="18"/>
      <c r="T159" s="18"/>
      <c r="U159" s="18"/>
      <c r="V159" s="18"/>
      <c r="W159" s="18"/>
      <c r="X159" s="18"/>
      <c r="Y159" s="18"/>
      <c r="Z159" s="18"/>
    </row>
    <row r="160" spans="1:26" s="8" customFormat="1" ht="30" customHeight="1" x14ac:dyDescent="0.25">
      <c r="A160" s="1292"/>
      <c r="B160" s="1477">
        <f>B159+1</f>
        <v>92</v>
      </c>
      <c r="C160" s="1328" t="s">
        <v>1899</v>
      </c>
      <c r="D160" s="68"/>
      <c r="E160" s="1602"/>
      <c r="F160" s="10"/>
      <c r="G160" s="10"/>
      <c r="H160" s="10"/>
      <c r="I160" s="10"/>
      <c r="J160" s="10"/>
      <c r="K160" s="10"/>
      <c r="L160" s="18"/>
      <c r="M160" s="18"/>
      <c r="N160" s="18"/>
      <c r="O160" s="18"/>
      <c r="P160" s="18"/>
      <c r="Q160" s="18"/>
      <c r="R160" s="18"/>
      <c r="S160" s="18"/>
      <c r="T160" s="18"/>
      <c r="U160" s="18"/>
      <c r="V160" s="18"/>
      <c r="W160" s="18"/>
      <c r="X160" s="18"/>
      <c r="Y160" s="18"/>
      <c r="Z160" s="18"/>
    </row>
    <row r="161" spans="1:26" s="8" customFormat="1" x14ac:dyDescent="0.25">
      <c r="A161" s="1292"/>
      <c r="B161" s="1436"/>
      <c r="C161" s="10"/>
      <c r="D161" s="10"/>
      <c r="E161" s="10"/>
      <c r="F161" s="10"/>
      <c r="G161" s="10"/>
      <c r="H161" s="10"/>
      <c r="I161" s="10"/>
      <c r="J161" s="10"/>
      <c r="K161" s="10"/>
      <c r="L161" s="18"/>
      <c r="M161" s="18"/>
      <c r="N161" s="18"/>
      <c r="O161" s="18"/>
      <c r="P161" s="18"/>
      <c r="Q161" s="18"/>
      <c r="R161" s="18"/>
      <c r="S161" s="18"/>
      <c r="T161" s="18"/>
      <c r="U161" s="18"/>
      <c r="V161" s="18"/>
      <c r="W161" s="18"/>
      <c r="X161" s="18"/>
      <c r="Y161" s="18"/>
      <c r="Z161" s="18"/>
    </row>
    <row r="162" spans="1:26" s="8" customFormat="1" ht="15.75" thickBot="1" x14ac:dyDescent="0.3">
      <c r="A162" s="1292"/>
      <c r="B162" s="1436"/>
      <c r="C162" s="10"/>
      <c r="D162" s="10"/>
      <c r="E162" s="10"/>
      <c r="F162" s="10"/>
      <c r="G162" s="10"/>
      <c r="H162" s="10"/>
      <c r="I162" s="10"/>
      <c r="J162" s="10"/>
      <c r="K162" s="10"/>
      <c r="L162" s="18"/>
      <c r="M162" s="18"/>
      <c r="N162" s="18"/>
      <c r="O162" s="18"/>
      <c r="P162" s="18"/>
      <c r="Q162" s="18"/>
      <c r="R162" s="18"/>
      <c r="S162" s="18"/>
      <c r="T162" s="18"/>
      <c r="U162" s="18"/>
      <c r="V162" s="18"/>
      <c r="W162" s="18"/>
      <c r="X162" s="18"/>
      <c r="Y162" s="18"/>
      <c r="Z162" s="18"/>
    </row>
    <row r="163" spans="1:26" s="8" customFormat="1" ht="33.950000000000003" customHeight="1" thickBot="1" x14ac:dyDescent="0.3">
      <c r="A163" s="1292"/>
      <c r="B163" s="1476">
        <f>4/8</f>
        <v>0.5</v>
      </c>
      <c r="C163" s="1594" t="s">
        <v>1826</v>
      </c>
      <c r="D163" s="1594"/>
      <c r="E163" s="1594"/>
      <c r="F163" s="10"/>
      <c r="G163" s="10"/>
      <c r="H163" s="10"/>
      <c r="I163" s="10"/>
      <c r="J163" s="10"/>
      <c r="K163" s="10"/>
      <c r="L163" s="18"/>
      <c r="M163" s="18"/>
      <c r="N163" s="18"/>
      <c r="O163" s="18"/>
      <c r="P163" s="18"/>
      <c r="Q163" s="18"/>
      <c r="R163" s="18"/>
      <c r="S163" s="18"/>
      <c r="T163" s="18"/>
      <c r="U163" s="18"/>
      <c r="V163" s="18"/>
      <c r="W163" s="18"/>
      <c r="X163" s="18"/>
      <c r="Y163" s="18"/>
      <c r="Z163" s="18"/>
    </row>
    <row r="164" spans="1:26" s="8" customFormat="1" x14ac:dyDescent="0.25">
      <c r="A164" s="1292"/>
      <c r="B164" s="1436"/>
      <c r="C164" s="10"/>
      <c r="D164" s="10"/>
      <c r="E164" s="10"/>
      <c r="F164" s="10"/>
      <c r="G164" s="10"/>
      <c r="H164" s="10"/>
      <c r="I164" s="10"/>
      <c r="J164" s="10"/>
      <c r="K164" s="10"/>
      <c r="L164" s="18"/>
      <c r="M164" s="18"/>
      <c r="N164" s="18"/>
      <c r="O164" s="18"/>
      <c r="P164" s="18"/>
      <c r="Q164" s="18"/>
      <c r="R164" s="18"/>
      <c r="S164" s="18"/>
      <c r="T164" s="18"/>
      <c r="U164" s="18"/>
      <c r="V164" s="18"/>
      <c r="W164" s="18"/>
      <c r="X164" s="18"/>
      <c r="Y164" s="18"/>
      <c r="Z164" s="18"/>
    </row>
    <row r="165" spans="1:26" s="8" customFormat="1" ht="36.6" customHeight="1" x14ac:dyDescent="0.25">
      <c r="A165" s="1292"/>
      <c r="B165" s="1477">
        <f>B160+1</f>
        <v>93</v>
      </c>
      <c r="C165" s="1346" t="s">
        <v>1820</v>
      </c>
      <c r="D165" s="1527"/>
      <c r="E165" s="1536" t="s">
        <v>991</v>
      </c>
      <c r="F165" s="10"/>
      <c r="G165" s="10"/>
      <c r="H165" s="10"/>
      <c r="I165" s="10"/>
      <c r="J165" s="10"/>
      <c r="K165" s="10"/>
      <c r="L165" s="18"/>
      <c r="M165" s="18"/>
      <c r="N165" s="18"/>
      <c r="O165" s="18"/>
      <c r="P165" s="18"/>
      <c r="Q165" s="18"/>
      <c r="R165" s="18"/>
      <c r="S165" s="18"/>
      <c r="T165" s="18"/>
      <c r="U165" s="18"/>
      <c r="V165" s="18"/>
      <c r="W165" s="18"/>
      <c r="X165" s="18"/>
      <c r="Y165" s="18"/>
      <c r="Z165" s="18"/>
    </row>
    <row r="166" spans="1:26" s="8" customFormat="1" x14ac:dyDescent="0.25">
      <c r="A166" s="1292"/>
      <c r="B166" s="1477">
        <f>B165+1</f>
        <v>94</v>
      </c>
      <c r="C166" s="1347" t="s">
        <v>1819</v>
      </c>
      <c r="D166" s="1527"/>
      <c r="E166" s="1537"/>
      <c r="F166" s="10"/>
      <c r="G166" s="10"/>
      <c r="H166" s="10"/>
      <c r="I166" s="10"/>
      <c r="J166" s="10"/>
      <c r="K166" s="10"/>
      <c r="L166" s="18"/>
      <c r="M166" s="18"/>
      <c r="N166" s="18"/>
      <c r="O166" s="18"/>
      <c r="P166" s="18"/>
      <c r="Q166" s="18"/>
      <c r="R166" s="18"/>
      <c r="S166" s="18"/>
      <c r="T166" s="18"/>
      <c r="U166" s="18"/>
      <c r="V166" s="18"/>
      <c r="W166" s="18"/>
      <c r="X166" s="18"/>
      <c r="Y166" s="18"/>
      <c r="Z166" s="18"/>
    </row>
    <row r="167" spans="1:26" s="8" customFormat="1" x14ac:dyDescent="0.25">
      <c r="A167" s="1292"/>
      <c r="B167" s="1477">
        <f t="shared" ref="B167:B168" si="8">B166+1</f>
        <v>95</v>
      </c>
      <c r="C167" s="1347" t="s">
        <v>1822</v>
      </c>
      <c r="D167" s="1527"/>
      <c r="E167" s="1537"/>
      <c r="F167" s="10"/>
      <c r="G167" s="10"/>
      <c r="H167" s="10"/>
      <c r="I167" s="10"/>
      <c r="J167" s="10"/>
      <c r="K167" s="10"/>
      <c r="L167" s="18"/>
      <c r="M167" s="18"/>
      <c r="N167" s="18"/>
      <c r="O167" s="18"/>
      <c r="P167" s="18"/>
      <c r="Q167" s="18"/>
      <c r="R167" s="18"/>
      <c r="S167" s="18"/>
      <c r="T167" s="18"/>
      <c r="U167" s="18"/>
      <c r="V167" s="18"/>
      <c r="W167" s="18"/>
      <c r="X167" s="18"/>
      <c r="Y167" s="18"/>
      <c r="Z167" s="18"/>
    </row>
    <row r="168" spans="1:26" s="8" customFormat="1" ht="45" x14ac:dyDescent="0.25">
      <c r="A168" s="1292"/>
      <c r="B168" s="1477">
        <f t="shared" si="8"/>
        <v>96</v>
      </c>
      <c r="C168" s="1348" t="s">
        <v>1821</v>
      </c>
      <c r="D168" s="68"/>
      <c r="E168" s="1538"/>
      <c r="F168" s="10"/>
      <c r="G168" s="10"/>
      <c r="H168" s="10"/>
      <c r="I168" s="10"/>
      <c r="J168" s="10"/>
      <c r="K168" s="10"/>
      <c r="L168" s="18"/>
      <c r="M168" s="18"/>
      <c r="N168" s="18"/>
      <c r="O168" s="18"/>
      <c r="P168" s="18"/>
      <c r="Q168" s="18"/>
      <c r="R168" s="18"/>
      <c r="S168" s="18"/>
      <c r="T168" s="18"/>
      <c r="U168" s="18"/>
      <c r="V168" s="18"/>
      <c r="W168" s="18"/>
      <c r="X168" s="18"/>
      <c r="Y168" s="18"/>
      <c r="Z168" s="18"/>
    </row>
    <row r="169" spans="1:26" s="8" customFormat="1" x14ac:dyDescent="0.25">
      <c r="A169" s="1292"/>
      <c r="B169" s="1436"/>
      <c r="C169" s="1310" t="s">
        <v>1612</v>
      </c>
      <c r="D169" s="10"/>
      <c r="E169" s="10"/>
      <c r="F169" s="10"/>
      <c r="G169" s="10"/>
      <c r="H169" s="10"/>
      <c r="I169" s="10"/>
      <c r="J169" s="10"/>
      <c r="K169" s="10"/>
      <c r="L169" s="18"/>
      <c r="M169" s="18"/>
      <c r="N169" s="18"/>
      <c r="O169" s="18"/>
      <c r="P169" s="18"/>
      <c r="Q169" s="18"/>
      <c r="R169" s="18"/>
      <c r="S169" s="18"/>
      <c r="T169" s="18"/>
      <c r="U169" s="18"/>
      <c r="V169" s="18"/>
      <c r="W169" s="18"/>
      <c r="X169" s="18"/>
      <c r="Y169" s="18"/>
      <c r="Z169" s="18"/>
    </row>
    <row r="170" spans="1:26" s="8" customFormat="1" x14ac:dyDescent="0.25">
      <c r="A170" s="1292"/>
      <c r="B170" s="1436"/>
      <c r="C170" s="10"/>
      <c r="D170" s="10"/>
      <c r="E170" s="10"/>
      <c r="F170" s="10"/>
      <c r="G170" s="10"/>
      <c r="H170" s="10"/>
      <c r="I170" s="10"/>
      <c r="J170" s="10"/>
      <c r="K170" s="10"/>
      <c r="L170" s="18"/>
      <c r="M170" s="18"/>
      <c r="N170" s="18"/>
      <c r="O170" s="18"/>
      <c r="P170" s="18"/>
      <c r="Q170" s="18"/>
      <c r="R170" s="18"/>
      <c r="S170" s="18"/>
      <c r="T170" s="18"/>
      <c r="U170" s="18"/>
      <c r="V170" s="18"/>
      <c r="W170" s="18"/>
      <c r="X170" s="18"/>
      <c r="Y170" s="18"/>
      <c r="Z170" s="18"/>
    </row>
    <row r="171" spans="1:26" s="8" customFormat="1" x14ac:dyDescent="0.25">
      <c r="A171" s="1292"/>
      <c r="B171" s="1477"/>
      <c r="C171" s="1533" t="s">
        <v>1818</v>
      </c>
      <c r="D171" s="1534"/>
      <c r="E171" s="1536" t="s">
        <v>991</v>
      </c>
      <c r="F171" s="10"/>
      <c r="G171" s="10"/>
      <c r="H171" s="10"/>
      <c r="I171" s="10"/>
      <c r="J171" s="10"/>
      <c r="K171" s="10"/>
      <c r="L171" s="18"/>
      <c r="M171" s="18"/>
      <c r="N171" s="18"/>
      <c r="O171" s="18"/>
      <c r="P171" s="18"/>
      <c r="Q171" s="18"/>
      <c r="R171" s="18"/>
      <c r="S171" s="18"/>
      <c r="T171" s="18"/>
      <c r="U171" s="18"/>
      <c r="V171" s="18"/>
      <c r="W171" s="18"/>
      <c r="X171" s="18"/>
      <c r="Y171" s="18"/>
      <c r="Z171" s="18"/>
    </row>
    <row r="172" spans="1:26" s="8" customFormat="1" ht="32.25" x14ac:dyDescent="0.25">
      <c r="A172" s="1292"/>
      <c r="B172" s="1477">
        <v>97</v>
      </c>
      <c r="C172" s="1344" t="s">
        <v>992</v>
      </c>
      <c r="D172" s="68"/>
      <c r="E172" s="1537"/>
      <c r="F172" s="10"/>
      <c r="G172" s="10"/>
      <c r="H172" s="10"/>
      <c r="I172" s="10"/>
      <c r="J172" s="10"/>
      <c r="K172" s="10"/>
      <c r="L172" s="18"/>
      <c r="M172" s="18"/>
      <c r="N172" s="18"/>
      <c r="O172" s="18"/>
      <c r="P172" s="18"/>
      <c r="Q172" s="18"/>
      <c r="R172" s="18"/>
      <c r="S172" s="18"/>
      <c r="T172" s="18"/>
      <c r="U172" s="18"/>
      <c r="V172" s="18"/>
      <c r="W172" s="18"/>
      <c r="X172" s="18"/>
      <c r="Y172" s="18"/>
      <c r="Z172" s="18"/>
    </row>
    <row r="173" spans="1:26" s="8" customFormat="1" ht="32.25" x14ac:dyDescent="0.25">
      <c r="A173" s="1292"/>
      <c r="B173" s="1477">
        <f t="shared" ref="B173" si="9">B172+1</f>
        <v>98</v>
      </c>
      <c r="C173" s="1344" t="s">
        <v>993</v>
      </c>
      <c r="D173" s="68"/>
      <c r="E173" s="1538"/>
      <c r="F173" s="10"/>
      <c r="G173" s="10"/>
      <c r="H173" s="10"/>
      <c r="I173" s="10"/>
      <c r="J173" s="10"/>
      <c r="K173" s="10"/>
      <c r="L173" s="18"/>
      <c r="M173" s="18"/>
      <c r="N173" s="18"/>
      <c r="O173" s="18"/>
      <c r="P173" s="18"/>
      <c r="Q173" s="18"/>
      <c r="R173" s="18"/>
      <c r="S173" s="18"/>
      <c r="T173" s="18"/>
      <c r="U173" s="18"/>
      <c r="V173" s="18"/>
      <c r="W173" s="18"/>
      <c r="X173" s="18"/>
      <c r="Y173" s="18"/>
      <c r="Z173" s="18"/>
    </row>
    <row r="174" spans="1:26" s="8" customFormat="1" x14ac:dyDescent="0.25">
      <c r="A174" s="1292"/>
      <c r="B174" s="1477"/>
      <c r="C174" s="1310" t="s">
        <v>1612</v>
      </c>
      <c r="D174" s="10"/>
      <c r="E174" s="10"/>
      <c r="F174" s="10"/>
      <c r="G174" s="10"/>
      <c r="H174" s="10"/>
      <c r="I174" s="10"/>
      <c r="J174" s="10"/>
      <c r="K174" s="10"/>
      <c r="L174" s="18"/>
      <c r="M174" s="18"/>
      <c r="N174" s="18"/>
      <c r="O174" s="18"/>
      <c r="P174" s="18"/>
      <c r="Q174" s="18"/>
      <c r="R174" s="18"/>
      <c r="S174" s="18"/>
      <c r="T174" s="18"/>
      <c r="U174" s="18"/>
      <c r="V174" s="18"/>
      <c r="W174" s="18"/>
      <c r="X174" s="18"/>
      <c r="Y174" s="18"/>
      <c r="Z174" s="18"/>
    </row>
    <row r="175" spans="1:26" s="8" customFormat="1" x14ac:dyDescent="0.25">
      <c r="A175" s="1292"/>
      <c r="B175" s="1477"/>
      <c r="C175" s="10"/>
      <c r="D175" s="10"/>
      <c r="E175" s="10"/>
      <c r="F175" s="10"/>
      <c r="G175" s="10"/>
      <c r="H175" s="10"/>
      <c r="I175" s="10"/>
      <c r="J175" s="10"/>
      <c r="K175" s="10"/>
      <c r="L175" s="18"/>
      <c r="M175" s="18"/>
      <c r="N175" s="18"/>
      <c r="O175" s="18"/>
      <c r="P175" s="18"/>
      <c r="Q175" s="18"/>
      <c r="R175" s="18"/>
      <c r="S175" s="18"/>
      <c r="T175" s="18"/>
      <c r="U175" s="18"/>
      <c r="V175" s="18"/>
      <c r="W175" s="18"/>
      <c r="X175" s="18"/>
      <c r="Y175" s="18"/>
      <c r="Z175" s="18"/>
    </row>
    <row r="176" spans="1:26" s="8" customFormat="1" x14ac:dyDescent="0.25">
      <c r="A176" s="1292"/>
      <c r="B176" s="1477"/>
      <c r="C176" s="1533" t="s">
        <v>994</v>
      </c>
      <c r="D176" s="1534"/>
      <c r="E176" s="1536" t="s">
        <v>991</v>
      </c>
      <c r="F176" s="10"/>
      <c r="G176" s="10"/>
      <c r="H176" s="10"/>
      <c r="I176" s="10"/>
      <c r="J176" s="10"/>
      <c r="K176" s="10"/>
      <c r="L176" s="18"/>
      <c r="M176" s="18"/>
      <c r="N176" s="18"/>
      <c r="O176" s="18"/>
      <c r="P176" s="18"/>
      <c r="Q176" s="18"/>
      <c r="R176" s="18"/>
      <c r="S176" s="18"/>
      <c r="T176" s="18"/>
      <c r="U176" s="18"/>
      <c r="V176" s="18"/>
      <c r="W176" s="18"/>
      <c r="X176" s="18"/>
      <c r="Y176" s="18"/>
      <c r="Z176" s="18"/>
    </row>
    <row r="177" spans="1:26" s="8" customFormat="1" ht="32.25" x14ac:dyDescent="0.25">
      <c r="A177" s="1292"/>
      <c r="B177" s="1477">
        <v>99</v>
      </c>
      <c r="C177" s="1286" t="s">
        <v>1823</v>
      </c>
      <c r="D177" s="69"/>
      <c r="E177" s="1537"/>
      <c r="F177" s="10"/>
      <c r="G177" s="10"/>
      <c r="H177" s="10"/>
      <c r="I177" s="10"/>
      <c r="J177" s="10"/>
      <c r="K177" s="10"/>
      <c r="L177" s="18"/>
      <c r="M177" s="18"/>
      <c r="N177" s="18"/>
      <c r="O177" s="18"/>
      <c r="P177" s="18"/>
      <c r="Q177" s="18"/>
      <c r="R177" s="18"/>
      <c r="S177" s="18"/>
      <c r="T177" s="18"/>
      <c r="U177" s="18"/>
      <c r="V177" s="18"/>
      <c r="W177" s="18"/>
      <c r="X177" s="18"/>
      <c r="Y177" s="18"/>
      <c r="Z177" s="18"/>
    </row>
    <row r="178" spans="1:26" s="8" customFormat="1" ht="32.25" x14ac:dyDescent="0.25">
      <c r="A178" s="1292"/>
      <c r="B178" s="1477">
        <f t="shared" ref="B178" si="10">B177+1</f>
        <v>100</v>
      </c>
      <c r="C178" s="1286" t="s">
        <v>1824</v>
      </c>
      <c r="D178" s="69"/>
      <c r="E178" s="1538"/>
      <c r="F178" s="10"/>
      <c r="G178" s="10"/>
      <c r="H178" s="10"/>
      <c r="I178" s="10"/>
      <c r="J178" s="10"/>
      <c r="K178" s="10"/>
      <c r="L178" s="18"/>
      <c r="M178" s="18"/>
      <c r="N178" s="18"/>
      <c r="O178" s="18"/>
      <c r="P178" s="18"/>
      <c r="Q178" s="18"/>
      <c r="R178" s="18"/>
      <c r="S178" s="18"/>
      <c r="T178" s="18"/>
      <c r="U178" s="18"/>
      <c r="V178" s="18"/>
      <c r="W178" s="18"/>
      <c r="X178" s="18"/>
      <c r="Y178" s="18"/>
      <c r="Z178" s="18"/>
    </row>
    <row r="179" spans="1:26" s="8" customFormat="1" x14ac:dyDescent="0.25">
      <c r="A179" s="1292"/>
      <c r="B179" s="1475"/>
      <c r="C179" s="10"/>
      <c r="D179" s="716" t="str">
        <f>IF(OR(D177="",D178=""),"Введите температурный график!","")</f>
        <v>Введите температурный график!</v>
      </c>
      <c r="E179" s="10"/>
      <c r="F179" s="10"/>
      <c r="G179" s="10"/>
      <c r="H179" s="10"/>
      <c r="I179" s="10"/>
      <c r="J179" s="10"/>
      <c r="K179" s="10"/>
      <c r="L179" s="18"/>
      <c r="M179" s="18"/>
      <c r="N179" s="18"/>
      <c r="O179" s="18"/>
      <c r="P179" s="18"/>
      <c r="Q179" s="18"/>
      <c r="R179" s="18"/>
      <c r="S179" s="18"/>
      <c r="T179" s="18"/>
      <c r="U179" s="18"/>
      <c r="V179" s="18"/>
      <c r="W179" s="18"/>
      <c r="X179" s="18"/>
      <c r="Y179" s="18"/>
      <c r="Z179" s="18"/>
    </row>
    <row r="180" spans="1:26" s="17" customFormat="1" x14ac:dyDescent="0.25">
      <c r="A180" s="1292"/>
      <c r="B180" s="1475"/>
      <c r="C180" s="18"/>
      <c r="D180" s="18"/>
      <c r="E180" s="18"/>
      <c r="F180" s="18"/>
      <c r="G180" s="18"/>
      <c r="H180" s="18"/>
      <c r="I180" s="18"/>
      <c r="J180" s="18"/>
      <c r="K180" s="18"/>
      <c r="L180" s="18"/>
      <c r="M180" s="18"/>
      <c r="N180" s="18"/>
      <c r="O180" s="18"/>
      <c r="P180" s="18"/>
      <c r="Q180" s="18"/>
      <c r="R180" s="18"/>
      <c r="S180" s="18"/>
      <c r="T180" s="18"/>
      <c r="U180" s="18"/>
      <c r="V180" s="18"/>
      <c r="W180" s="18"/>
      <c r="X180" s="18"/>
      <c r="Y180" s="18"/>
      <c r="Z180" s="18"/>
    </row>
    <row r="181" spans="1:26" s="17" customFormat="1" x14ac:dyDescent="0.25">
      <c r="A181" s="1292"/>
      <c r="B181" s="1475"/>
      <c r="C181" s="18"/>
      <c r="D181" s="18"/>
      <c r="E181" s="18"/>
      <c r="F181" s="18"/>
      <c r="G181" s="18"/>
      <c r="H181" s="18"/>
      <c r="I181" s="18"/>
      <c r="J181" s="18"/>
      <c r="K181" s="18"/>
      <c r="L181" s="18"/>
      <c r="M181" s="18"/>
      <c r="N181" s="18"/>
      <c r="O181" s="18"/>
      <c r="P181" s="18"/>
      <c r="Q181" s="18"/>
      <c r="R181" s="18"/>
      <c r="S181" s="18"/>
      <c r="T181" s="18"/>
      <c r="U181" s="18"/>
      <c r="V181" s="18"/>
      <c r="W181" s="18"/>
      <c r="X181" s="18"/>
      <c r="Y181" s="18"/>
      <c r="Z181" s="18"/>
    </row>
    <row r="182" spans="1:26" s="8" customFormat="1" x14ac:dyDescent="0.25">
      <c r="A182" s="1292"/>
      <c r="B182" s="1475"/>
      <c r="C182" s="10"/>
      <c r="D182" s="10"/>
      <c r="E182" s="10"/>
      <c r="F182" s="10"/>
      <c r="G182" s="10"/>
      <c r="H182" s="10"/>
      <c r="I182" s="10"/>
      <c r="J182" s="10"/>
      <c r="K182" s="18"/>
      <c r="L182" s="18"/>
      <c r="M182" s="18"/>
      <c r="N182" s="18"/>
      <c r="O182" s="18"/>
      <c r="P182" s="18"/>
      <c r="Q182" s="18"/>
      <c r="R182" s="18"/>
      <c r="S182" s="18"/>
      <c r="T182" s="18"/>
      <c r="U182" s="18"/>
      <c r="V182" s="18"/>
      <c r="W182" s="18"/>
      <c r="X182" s="18"/>
      <c r="Y182" s="18"/>
      <c r="Z182" s="18"/>
    </row>
    <row r="183" spans="1:26" s="8" customFormat="1" ht="22.5" customHeight="1" x14ac:dyDescent="0.25">
      <c r="A183" s="1292"/>
      <c r="B183" s="1475"/>
      <c r="C183" s="1535" t="s">
        <v>1830</v>
      </c>
      <c r="D183" s="1535"/>
      <c r="E183" s="1535"/>
      <c r="F183" s="1535"/>
      <c r="G183" s="74"/>
      <c r="H183" s="74"/>
      <c r="I183" s="74"/>
      <c r="J183" s="74"/>
      <c r="K183" s="74"/>
      <c r="L183" s="18"/>
      <c r="M183" s="18"/>
      <c r="N183" s="18"/>
      <c r="O183" s="18"/>
      <c r="P183" s="18"/>
      <c r="Q183" s="18"/>
      <c r="R183" s="18"/>
      <c r="S183" s="18"/>
      <c r="T183" s="18"/>
      <c r="U183" s="18"/>
      <c r="V183" s="18"/>
      <c r="W183" s="18"/>
      <c r="X183" s="18"/>
      <c r="Y183" s="18"/>
      <c r="Z183" s="18"/>
    </row>
    <row r="184" spans="1:26" s="8" customFormat="1" ht="14.45" customHeight="1" x14ac:dyDescent="0.25">
      <c r="A184" s="1292"/>
      <c r="B184" s="1475"/>
      <c r="C184" s="1544" t="s">
        <v>995</v>
      </c>
      <c r="D184" s="1542" t="s">
        <v>996</v>
      </c>
      <c r="E184" s="1543"/>
      <c r="F184" s="1543"/>
      <c r="G184" s="74"/>
      <c r="H184" s="74"/>
      <c r="I184" s="74"/>
      <c r="J184" s="1541" t="s">
        <v>1528</v>
      </c>
      <c r="K184" s="1541"/>
      <c r="L184" s="18"/>
      <c r="M184" s="18"/>
      <c r="N184" s="18"/>
      <c r="O184" s="18"/>
      <c r="P184" s="18"/>
      <c r="Q184" s="18"/>
      <c r="R184" s="18"/>
      <c r="S184" s="18"/>
      <c r="T184" s="18"/>
      <c r="U184" s="18"/>
      <c r="V184" s="18"/>
      <c r="W184" s="18"/>
      <c r="X184" s="18"/>
      <c r="Y184" s="18"/>
      <c r="Z184" s="18"/>
    </row>
    <row r="185" spans="1:26" s="8" customFormat="1" ht="47.25" x14ac:dyDescent="0.25">
      <c r="A185" s="1292"/>
      <c r="B185" s="1475"/>
      <c r="C185" s="1544"/>
      <c r="D185" s="1349" t="s">
        <v>1829</v>
      </c>
      <c r="E185" s="1349" t="s">
        <v>1828</v>
      </c>
      <c r="F185" s="1349" t="s">
        <v>1827</v>
      </c>
      <c r="G185" s="74"/>
      <c r="H185" s="74"/>
      <c r="I185" s="74"/>
      <c r="J185" s="1442" t="s">
        <v>998</v>
      </c>
      <c r="K185" s="1442" t="s">
        <v>999</v>
      </c>
      <c r="L185" s="18"/>
      <c r="M185" s="18"/>
      <c r="N185" s="18"/>
      <c r="O185" s="18"/>
      <c r="P185" s="18"/>
      <c r="Q185" s="18"/>
      <c r="R185" s="18"/>
      <c r="S185" s="18"/>
      <c r="T185" s="18"/>
      <c r="U185" s="18"/>
      <c r="V185" s="18"/>
      <c r="W185" s="18"/>
      <c r="X185" s="18"/>
      <c r="Y185" s="18"/>
      <c r="Z185" s="18"/>
    </row>
    <row r="186" spans="1:26" s="8" customFormat="1" ht="15" customHeight="1" x14ac:dyDescent="0.25">
      <c r="A186" s="1292"/>
      <c r="B186" s="1477">
        <f>B178+1</f>
        <v>101</v>
      </c>
      <c r="C186" s="1351" t="s">
        <v>488</v>
      </c>
      <c r="D186" s="1514"/>
      <c r="E186" s="1514"/>
      <c r="F186" s="1514"/>
      <c r="G186" s="1545" t="str">
        <f>IF(AND(F192=0,E192=0,D192&gt;(F212*(1+IF($C$107=списки!$Y$54,'Расчет базового уровня'!$D$176,0))*($D$107-$D$109)+E212*$D$113/1000)),"расход ТЭ в летние месяцы сильно выше теоретического на основе введенного водоразбора. Стоит обратиться в поддержку","")</f>
        <v/>
      </c>
      <c r="H186" s="74"/>
      <c r="I186" s="74"/>
      <c r="J186" s="1443" t="e">
        <f>IF(E186="",D186-K186,E186)</f>
        <v>#N/A</v>
      </c>
      <c r="K186" s="1444" t="e">
        <f>IF('Система ГВС'!F3=2,0,IF(F186=0,(F206*(1+IF($C$107=списки!$Y$54,'Расчет базового уровня'!$D$176,0))*($D$107-IF(F252&gt;150,$D$108,$D$109))+E206*$D$113)/1000,F186))</f>
        <v>#N/A</v>
      </c>
      <c r="L186" s="18"/>
      <c r="M186" s="18"/>
      <c r="N186" s="18"/>
      <c r="O186" s="18"/>
      <c r="P186" s="18"/>
      <c r="Q186" s="18"/>
      <c r="R186" s="18"/>
      <c r="S186" s="18"/>
      <c r="T186" s="18"/>
      <c r="U186" s="18"/>
      <c r="V186" s="18"/>
      <c r="W186" s="18"/>
      <c r="X186" s="18"/>
      <c r="Y186" s="18"/>
      <c r="Z186" s="18"/>
    </row>
    <row r="187" spans="1:26" s="8" customFormat="1" ht="15" customHeight="1" x14ac:dyDescent="0.25">
      <c r="A187" s="1292"/>
      <c r="B187" s="1477">
        <f>B186+1</f>
        <v>102</v>
      </c>
      <c r="C187" s="1352" t="s">
        <v>489</v>
      </c>
      <c r="D187" s="1515"/>
      <c r="E187" s="1515"/>
      <c r="F187" s="1515"/>
      <c r="G187" s="1545"/>
      <c r="H187" s="74"/>
      <c r="I187" s="74"/>
      <c r="J187" s="1443" t="e">
        <f t="shared" ref="J187:J197" si="11">IF(E187="",D187-K187,E187)</f>
        <v>#N/A</v>
      </c>
      <c r="K187" s="1444" t="e">
        <f>IF('Система ГВС'!F4=2,0,IF(F187=0,(F207*(1+IF($C$107=списки!$Y$54,'Расчет базового уровня'!$D$176,0))*($D$107-IF(F253&gt;150,$D$108,$D$109))+E207*$D$113)/1000,F187))</f>
        <v>#N/A</v>
      </c>
      <c r="L187" s="18"/>
      <c r="M187" s="18"/>
      <c r="N187" s="18"/>
      <c r="O187" s="18"/>
      <c r="P187" s="18"/>
      <c r="Q187" s="18"/>
      <c r="R187" s="18"/>
      <c r="S187" s="18"/>
      <c r="T187" s="18"/>
      <c r="U187" s="18"/>
      <c r="V187" s="18"/>
      <c r="W187" s="18"/>
      <c r="X187" s="18"/>
      <c r="Y187" s="18"/>
      <c r="Z187" s="18"/>
    </row>
    <row r="188" spans="1:26" s="8" customFormat="1" ht="15" customHeight="1" x14ac:dyDescent="0.25">
      <c r="A188" s="1292"/>
      <c r="B188" s="1477">
        <f t="shared" ref="B188:B197" si="12">B187+1</f>
        <v>103</v>
      </c>
      <c r="C188" s="1352" t="s">
        <v>490</v>
      </c>
      <c r="D188" s="1515"/>
      <c r="E188" s="1515"/>
      <c r="F188" s="1515"/>
      <c r="G188" s="1545"/>
      <c r="H188" s="74"/>
      <c r="I188" s="74"/>
      <c r="J188" s="1443" t="e">
        <f t="shared" si="11"/>
        <v>#N/A</v>
      </c>
      <c r="K188" s="1444" t="e">
        <f>IF('Система ГВС'!F5=2,0,IF(F188=0,(F208*(1+IF($C$107=списки!$Y$54,'Расчет базового уровня'!$D$176,0))*($D$107-IF(F254&gt;150,$D$108,$D$109))+E208*$D$113)/1000,F188))</f>
        <v>#N/A</v>
      </c>
      <c r="L188" s="18"/>
      <c r="M188" s="18"/>
      <c r="N188" s="18"/>
      <c r="O188" s="18"/>
      <c r="P188" s="18"/>
      <c r="Q188" s="18"/>
      <c r="R188" s="18"/>
      <c r="S188" s="18"/>
      <c r="T188" s="18"/>
      <c r="U188" s="18"/>
      <c r="V188" s="18"/>
      <c r="W188" s="18"/>
      <c r="X188" s="18"/>
      <c r="Y188" s="18"/>
      <c r="Z188" s="18"/>
    </row>
    <row r="189" spans="1:26" s="8" customFormat="1" ht="15" customHeight="1" x14ac:dyDescent="0.25">
      <c r="A189" s="1292"/>
      <c r="B189" s="1477">
        <f t="shared" si="12"/>
        <v>104</v>
      </c>
      <c r="C189" s="1352" t="s">
        <v>491</v>
      </c>
      <c r="D189" s="1515"/>
      <c r="E189" s="1515"/>
      <c r="F189" s="1515"/>
      <c r="G189" s="1545"/>
      <c r="H189" s="74"/>
      <c r="I189" s="74"/>
      <c r="J189" s="1443" t="e">
        <f t="shared" si="11"/>
        <v>#N/A</v>
      </c>
      <c r="K189" s="1444" t="e">
        <f>IF('Система ГВС'!F6=2,0,IF(F189=0,(F209*(1+IF($C$107=списки!$Y$54,'Расчет базового уровня'!$D$176,0))*($D$107-IF(F255&gt;150,$D$108,$D$109))+E209*$D$113)/1000,F189))</f>
        <v>#N/A</v>
      </c>
      <c r="L189" s="18"/>
      <c r="M189" s="18"/>
      <c r="N189" s="18"/>
      <c r="O189" s="18"/>
      <c r="P189" s="18"/>
      <c r="Q189" s="18"/>
      <c r="R189" s="18"/>
      <c r="S189" s="18"/>
      <c r="T189" s="18"/>
      <c r="U189" s="18"/>
      <c r="V189" s="18"/>
      <c r="W189" s="18"/>
      <c r="X189" s="18"/>
      <c r="Y189" s="18"/>
      <c r="Z189" s="18"/>
    </row>
    <row r="190" spans="1:26" s="8" customFormat="1" ht="15" customHeight="1" x14ac:dyDescent="0.25">
      <c r="A190" s="1292"/>
      <c r="B190" s="1477">
        <f t="shared" si="12"/>
        <v>105</v>
      </c>
      <c r="C190" s="1352" t="s">
        <v>805</v>
      </c>
      <c r="D190" s="1515"/>
      <c r="E190" s="1515"/>
      <c r="F190" s="1515"/>
      <c r="G190" s="1545"/>
      <c r="H190" s="74"/>
      <c r="I190" s="74"/>
      <c r="J190" s="1443" t="e">
        <f t="shared" si="11"/>
        <v>#N/A</v>
      </c>
      <c r="K190" s="1444" t="e">
        <f>IF('Система ГВС'!F7=2,0,IF(F190=0,(F210*(1+IF($C$107=списки!$Y$54,'Расчет базового уровня'!$D$176,0))*($D$107-IF(F256&gt;150,$D$108,$D$109))+E210*$D$113)/1000,F190))</f>
        <v>#N/A</v>
      </c>
      <c r="L190" s="18"/>
      <c r="M190" s="18"/>
      <c r="N190" s="18"/>
      <c r="O190" s="18"/>
      <c r="P190" s="18"/>
      <c r="Q190" s="18"/>
      <c r="R190" s="18"/>
      <c r="S190" s="18"/>
      <c r="T190" s="18"/>
      <c r="U190" s="18"/>
      <c r="V190" s="18"/>
      <c r="W190" s="18"/>
      <c r="X190" s="18"/>
      <c r="Y190" s="18"/>
      <c r="Z190" s="18"/>
    </row>
    <row r="191" spans="1:26" s="8" customFormat="1" ht="15" customHeight="1" x14ac:dyDescent="0.25">
      <c r="A191" s="1292"/>
      <c r="B191" s="1477">
        <f t="shared" si="12"/>
        <v>106</v>
      </c>
      <c r="C191" s="1352" t="s">
        <v>806</v>
      </c>
      <c r="D191" s="1515"/>
      <c r="E191" s="1515"/>
      <c r="F191" s="1515"/>
      <c r="G191" s="1545"/>
      <c r="H191" s="74"/>
      <c r="I191" s="74"/>
      <c r="J191" s="1443" t="e">
        <f t="shared" si="11"/>
        <v>#N/A</v>
      </c>
      <c r="K191" s="1444" t="e">
        <f>IF('Система ГВС'!F8=2,0,IF(F191=0,(F211*(1+IF($C$107=списки!$Y$54,'Расчет базового уровня'!$D$176,0))*($D$107-IF(F257&gt;150,$D$108,$D$109))+E211*$D$113)/1000,F191))</f>
        <v>#N/A</v>
      </c>
      <c r="L191" s="18"/>
      <c r="M191" s="18"/>
      <c r="N191" s="18"/>
      <c r="O191" s="18"/>
      <c r="P191" s="18"/>
      <c r="Q191" s="18"/>
      <c r="R191" s="18"/>
      <c r="S191" s="18"/>
      <c r="T191" s="18"/>
      <c r="U191" s="18"/>
      <c r="V191" s="18"/>
      <c r="W191" s="18"/>
      <c r="X191" s="18"/>
      <c r="Y191" s="18"/>
      <c r="Z191" s="18"/>
    </row>
    <row r="192" spans="1:26" s="8" customFormat="1" ht="15" customHeight="1" x14ac:dyDescent="0.25">
      <c r="A192" s="1292"/>
      <c r="B192" s="1477">
        <f t="shared" si="12"/>
        <v>107</v>
      </c>
      <c r="C192" s="1352" t="s">
        <v>807</v>
      </c>
      <c r="D192" s="1515"/>
      <c r="E192" s="1515"/>
      <c r="F192" s="1515"/>
      <c r="G192" s="1545"/>
      <c r="H192" s="74"/>
      <c r="I192" s="74"/>
      <c r="J192" s="1443" t="e">
        <f t="shared" si="11"/>
        <v>#N/A</v>
      </c>
      <c r="K192" s="1444" t="e">
        <f>IF('Система ГВС'!F9=2,0,IF(F192=0,(F212*(1+IF($C$107=списки!$Y$54,'Расчет базового уровня'!$D$176,0))*($D$107-IF(F258&gt;150,$D$108,$D$109))+E212*$D$113)/1000,F192))</f>
        <v>#N/A</v>
      </c>
      <c r="L192" s="18"/>
      <c r="M192" s="18"/>
      <c r="N192" s="18"/>
      <c r="O192" s="18"/>
      <c r="P192" s="18"/>
      <c r="Q192" s="18"/>
      <c r="R192" s="18"/>
      <c r="S192" s="18"/>
      <c r="T192" s="18"/>
      <c r="U192" s="18"/>
      <c r="V192" s="18"/>
      <c r="W192" s="18"/>
      <c r="X192" s="18"/>
      <c r="Y192" s="18"/>
      <c r="Z192" s="18"/>
    </row>
    <row r="193" spans="1:34" s="8" customFormat="1" ht="15" customHeight="1" x14ac:dyDescent="0.25">
      <c r="A193" s="1292"/>
      <c r="B193" s="1477">
        <f t="shared" si="12"/>
        <v>108</v>
      </c>
      <c r="C193" s="1352" t="s">
        <v>808</v>
      </c>
      <c r="D193" s="1515"/>
      <c r="E193" s="1515"/>
      <c r="F193" s="1515"/>
      <c r="G193" s="1545"/>
      <c r="H193" s="74"/>
      <c r="I193" s="74"/>
      <c r="J193" s="1443" t="e">
        <f t="shared" si="11"/>
        <v>#N/A</v>
      </c>
      <c r="K193" s="1444" t="e">
        <f>IF('Система ГВС'!F10=2,0,IF(F193=0,(F213*(1+IF($C$107=списки!$Y$54,'Расчет базового уровня'!$D$176,0))*($D$107-IF(F259&gt;150,$D$108,$D$109))+E213*$D$113)/1000,F193))</f>
        <v>#N/A</v>
      </c>
      <c r="L193" s="18"/>
      <c r="M193" s="18"/>
      <c r="N193" s="18"/>
      <c r="O193" s="18"/>
      <c r="P193" s="18"/>
      <c r="Q193" s="18"/>
      <c r="R193" s="18"/>
      <c r="S193" s="18"/>
      <c r="T193" s="18"/>
      <c r="U193" s="18"/>
      <c r="V193" s="18"/>
      <c r="W193" s="18"/>
      <c r="X193" s="18"/>
      <c r="Y193" s="18"/>
      <c r="Z193" s="18"/>
    </row>
    <row r="194" spans="1:34" s="8" customFormat="1" ht="15" customHeight="1" x14ac:dyDescent="0.25">
      <c r="A194" s="1292"/>
      <c r="B194" s="1477">
        <f t="shared" si="12"/>
        <v>109</v>
      </c>
      <c r="C194" s="1352" t="s">
        <v>809</v>
      </c>
      <c r="D194" s="1515"/>
      <c r="E194" s="1515"/>
      <c r="F194" s="1515"/>
      <c r="G194" s="1545"/>
      <c r="H194" s="74"/>
      <c r="I194" s="74"/>
      <c r="J194" s="1443" t="e">
        <f t="shared" si="11"/>
        <v>#N/A</v>
      </c>
      <c r="K194" s="1444" t="e">
        <f>IF('Система ГВС'!F11=2,0,IF(F194=0,(F214*(1+IF($C$107=списки!$Y$54,'Расчет базового уровня'!$D$176,0))*($D$107-IF(F260&gt;150,$D$108,$D$109))+E214*$D$113)/1000,F194))</f>
        <v>#N/A</v>
      </c>
      <c r="L194" s="18"/>
      <c r="M194" s="18"/>
      <c r="N194" s="18"/>
      <c r="O194" s="18"/>
      <c r="P194" s="18"/>
      <c r="Q194" s="18"/>
      <c r="R194" s="18"/>
      <c r="S194" s="18"/>
      <c r="T194" s="18"/>
      <c r="U194" s="18"/>
      <c r="V194" s="18"/>
      <c r="W194" s="18"/>
      <c r="X194" s="18"/>
      <c r="Y194" s="18"/>
      <c r="Z194" s="18"/>
    </row>
    <row r="195" spans="1:34" s="8" customFormat="1" ht="15" customHeight="1" x14ac:dyDescent="0.25">
      <c r="A195" s="1292"/>
      <c r="B195" s="1477">
        <f t="shared" si="12"/>
        <v>110</v>
      </c>
      <c r="C195" s="1352" t="s">
        <v>482</v>
      </c>
      <c r="D195" s="1515"/>
      <c r="E195" s="1515"/>
      <c r="F195" s="1515"/>
      <c r="G195" s="1545"/>
      <c r="H195" s="74"/>
      <c r="I195" s="74"/>
      <c r="J195" s="1443" t="e">
        <f t="shared" si="11"/>
        <v>#N/A</v>
      </c>
      <c r="K195" s="1444" t="e">
        <f>IF('Система ГВС'!F12=2,0,IF(F195=0,(F215*(1+IF($C$107=списки!$Y$54,'Расчет базового уровня'!$D$176,0))*($D$107-IF(F261&gt;150,$D$108,$D$109))+E215*$D$113)/1000,F195))</f>
        <v>#N/A</v>
      </c>
      <c r="L195" s="18"/>
      <c r="M195" s="18"/>
      <c r="N195" s="18"/>
      <c r="O195" s="18"/>
      <c r="P195" s="18"/>
      <c r="Q195" s="18"/>
      <c r="R195" s="18"/>
      <c r="S195" s="18"/>
      <c r="T195" s="18"/>
      <c r="U195" s="18"/>
      <c r="V195" s="18"/>
      <c r="W195" s="18"/>
      <c r="X195" s="18"/>
      <c r="Y195" s="18"/>
      <c r="Z195" s="18"/>
    </row>
    <row r="196" spans="1:34" s="8" customFormat="1" ht="15" customHeight="1" x14ac:dyDescent="0.25">
      <c r="A196" s="1292"/>
      <c r="B196" s="1477">
        <f t="shared" si="12"/>
        <v>111</v>
      </c>
      <c r="C196" s="1352" t="s">
        <v>486</v>
      </c>
      <c r="D196" s="1515"/>
      <c r="E196" s="1515"/>
      <c r="F196" s="1515"/>
      <c r="G196" s="1545"/>
      <c r="H196" s="74"/>
      <c r="I196" s="74"/>
      <c r="J196" s="1443" t="e">
        <f t="shared" si="11"/>
        <v>#N/A</v>
      </c>
      <c r="K196" s="1444" t="e">
        <f>IF('Система ГВС'!F13=2,0,IF(F196=0,(F216*(1+IF($C$107=списки!$Y$54,'Расчет базового уровня'!$D$176,0))*($D$107-IF(F262&gt;150,$D$108,$D$109))+E216*$D$113)/1000,F196))</f>
        <v>#N/A</v>
      </c>
      <c r="L196" s="18"/>
      <c r="M196" s="18"/>
      <c r="N196" s="18"/>
      <c r="O196" s="18"/>
      <c r="P196" s="18"/>
      <c r="Q196" s="18"/>
      <c r="R196" s="18"/>
      <c r="S196" s="18"/>
      <c r="T196" s="18"/>
      <c r="U196" s="18"/>
      <c r="V196" s="18"/>
      <c r="W196" s="18"/>
      <c r="X196" s="18"/>
      <c r="Y196" s="18"/>
      <c r="Z196" s="18"/>
    </row>
    <row r="197" spans="1:34" s="8" customFormat="1" ht="15" customHeight="1" x14ac:dyDescent="0.25">
      <c r="A197" s="1292"/>
      <c r="B197" s="1477">
        <f t="shared" si="12"/>
        <v>112</v>
      </c>
      <c r="C197" s="1353" t="s">
        <v>487</v>
      </c>
      <c r="D197" s="1516"/>
      <c r="E197" s="1516"/>
      <c r="F197" s="1516"/>
      <c r="G197" s="1545"/>
      <c r="H197" s="74"/>
      <c r="I197" s="74"/>
      <c r="J197" s="1443" t="e">
        <f t="shared" si="11"/>
        <v>#N/A</v>
      </c>
      <c r="K197" s="1444" t="e">
        <f>IF('Система ГВС'!F14=2,0,IF(F197=0,(F217*(1+IF($C$107=списки!$Y$54,'Расчет базового уровня'!$D$176,0))*($D$107-IF(F263&gt;150,$D$108,$D$109))+E217*$D$113)/1000,F197))</f>
        <v>#N/A</v>
      </c>
      <c r="L197" s="18"/>
      <c r="M197" s="18"/>
      <c r="N197" s="18"/>
      <c r="O197" s="18"/>
      <c r="P197" s="18"/>
      <c r="Q197" s="18"/>
      <c r="R197" s="18"/>
      <c r="S197" s="18"/>
      <c r="T197" s="18"/>
      <c r="U197" s="18"/>
      <c r="V197" s="18"/>
      <c r="W197" s="18"/>
      <c r="X197" s="18"/>
      <c r="Y197" s="18"/>
      <c r="Z197" s="18"/>
    </row>
    <row r="198" spans="1:34" s="8" customFormat="1" ht="15" customHeight="1" x14ac:dyDescent="0.25">
      <c r="A198" s="1292"/>
      <c r="B198" s="1475"/>
      <c r="C198" s="1350" t="s">
        <v>1000</v>
      </c>
      <c r="D198" s="1431">
        <f>SUM(D186:D197)</f>
        <v>0</v>
      </c>
      <c r="E198" s="1431">
        <f>SUM(E186:E197)</f>
        <v>0</v>
      </c>
      <c r="F198" s="1431">
        <f>SUM(F186:F197)</f>
        <v>0</v>
      </c>
      <c r="G198" s="74"/>
      <c r="H198" s="74"/>
      <c r="I198" s="74"/>
      <c r="J198" s="1445">
        <f>IF(E198=0,D198-K198,E198)</f>
        <v>0</v>
      </c>
      <c r="K198" s="1444">
        <f>IF('Система ГВС'!F15=2,0,IF(F198=0,(F218*(1+IF($C$107=списки!$Y$54,'Расчет базового уровня'!$D$176,0))*($D$107-'Расчет после реализации'!E173)+E218*$D$113)/1000,F198))</f>
        <v>0</v>
      </c>
      <c r="L198" s="18"/>
      <c r="M198" s="18"/>
      <c r="N198" s="18"/>
      <c r="O198" s="18"/>
      <c r="P198" s="18"/>
      <c r="Q198" s="18"/>
      <c r="R198" s="18"/>
      <c r="S198" s="18"/>
      <c r="T198" s="18"/>
      <c r="U198" s="18"/>
      <c r="V198" s="18"/>
      <c r="W198" s="18"/>
      <c r="X198" s="18"/>
      <c r="Y198" s="18"/>
      <c r="Z198" s="18"/>
    </row>
    <row r="199" spans="1:34" s="8" customFormat="1" x14ac:dyDescent="0.25">
      <c r="A199" s="1292"/>
      <c r="B199" s="1475"/>
      <c r="C199" s="10"/>
      <c r="D199" s="10"/>
      <c r="E199" s="10"/>
      <c r="F199" s="1284">
        <f>F218*55*1.3</f>
        <v>0</v>
      </c>
      <c r="G199" s="10"/>
      <c r="H199" s="10"/>
      <c r="I199" s="10"/>
      <c r="J199" s="10"/>
      <c r="K199" s="18"/>
      <c r="L199" s="18"/>
      <c r="M199" s="18"/>
      <c r="N199" s="18"/>
      <c r="O199" s="18"/>
      <c r="P199" s="18"/>
      <c r="Q199" s="18"/>
      <c r="R199" s="18"/>
      <c r="S199" s="18"/>
      <c r="T199" s="18"/>
      <c r="U199" s="18"/>
      <c r="V199" s="18"/>
      <c r="W199" s="18"/>
      <c r="X199" s="18"/>
      <c r="Y199" s="18"/>
      <c r="Z199" s="18"/>
    </row>
    <row r="200" spans="1:34" s="8" customFormat="1" x14ac:dyDescent="0.25">
      <c r="A200" s="1292"/>
      <c r="B200" s="1475"/>
      <c r="C200" s="10"/>
      <c r="D200" s="10"/>
      <c r="E200" s="10"/>
      <c r="F200" s="20" t="str">
        <f>IFERROR(IF(AVEDEV(F186:F197)/AVERAGE(F186:F197)&gt;=0.3,"Проверьте данные, слишком нестабильно",""),"")</f>
        <v/>
      </c>
      <c r="G200" s="10"/>
      <c r="H200" s="10"/>
      <c r="I200" s="10"/>
      <c r="J200" s="10"/>
      <c r="K200" s="18"/>
      <c r="L200" s="18"/>
      <c r="M200" s="18"/>
      <c r="N200" s="18"/>
      <c r="O200" s="18"/>
      <c r="P200" s="18"/>
      <c r="Q200" s="18"/>
      <c r="R200" s="18"/>
      <c r="S200" s="18"/>
      <c r="T200" s="18"/>
      <c r="U200" s="18"/>
      <c r="V200" s="18"/>
      <c r="W200" s="18"/>
      <c r="X200" s="18"/>
      <c r="Y200" s="18"/>
      <c r="Z200" s="18"/>
    </row>
    <row r="201" spans="1:34" s="8" customFormat="1" x14ac:dyDescent="0.25">
      <c r="A201" s="1292"/>
      <c r="B201" s="1475"/>
      <c r="C201" s="10"/>
      <c r="D201" s="10"/>
      <c r="E201" s="10"/>
      <c r="F201" s="10"/>
      <c r="G201" s="10"/>
      <c r="H201" s="10"/>
      <c r="I201" s="10"/>
      <c r="J201" s="10"/>
      <c r="K201" s="18"/>
      <c r="L201" s="18"/>
      <c r="M201" s="18"/>
      <c r="N201" s="18"/>
      <c r="O201" s="18"/>
      <c r="P201" s="18"/>
      <c r="Q201" s="18"/>
      <c r="R201" s="18"/>
      <c r="S201" s="18"/>
      <c r="T201" s="18"/>
      <c r="U201" s="18"/>
      <c r="V201" s="18"/>
      <c r="W201" s="18"/>
      <c r="X201" s="18"/>
      <c r="Y201" s="18"/>
      <c r="Z201" s="18"/>
    </row>
    <row r="202" spans="1:34" s="8" customFormat="1" ht="18.75" x14ac:dyDescent="0.3">
      <c r="A202" s="1292"/>
      <c r="B202" s="1475"/>
      <c r="C202" s="1540" t="str">
        <f>IF('Система ГВС'!F3=2,"Таблицу ниже можно не заполнять, т.к. в поле 59 выбрана децентрализованная система ГВС.","")</f>
        <v/>
      </c>
      <c r="D202" s="1540"/>
      <c r="E202" s="1540"/>
      <c r="F202" s="1540"/>
      <c r="G202" s="10"/>
      <c r="H202" s="10"/>
      <c r="I202" s="10"/>
      <c r="J202" s="10"/>
      <c r="K202" s="18"/>
      <c r="L202" s="18"/>
      <c r="M202" s="18"/>
      <c r="N202" s="18"/>
      <c r="O202" s="18"/>
      <c r="P202" s="18"/>
      <c r="Q202" s="18"/>
      <c r="R202" s="18"/>
      <c r="S202" s="18"/>
      <c r="T202" s="18"/>
      <c r="U202" s="18"/>
      <c r="V202" s="18"/>
      <c r="W202" s="18"/>
      <c r="X202" s="18"/>
      <c r="Y202" s="18"/>
      <c r="Z202" s="18"/>
    </row>
    <row r="203" spans="1:34" s="8" customFormat="1" ht="22.5" customHeight="1" x14ac:dyDescent="0.25">
      <c r="A203" s="1292"/>
      <c r="B203" s="1475"/>
      <c r="C203" s="1535" t="s">
        <v>1835</v>
      </c>
      <c r="D203" s="1535"/>
      <c r="E203" s="1535"/>
      <c r="F203" s="1535"/>
      <c r="G203" s="18"/>
      <c r="H203" s="18"/>
      <c r="I203" s="18"/>
      <c r="J203" s="18"/>
      <c r="K203" s="18"/>
      <c r="L203" s="18"/>
      <c r="M203" s="18"/>
      <c r="N203" s="18"/>
      <c r="O203" s="18"/>
      <c r="P203" s="18"/>
      <c r="Q203" s="18"/>
      <c r="R203" s="18"/>
      <c r="S203" s="18"/>
      <c r="T203" s="18"/>
      <c r="U203" s="18"/>
      <c r="V203" s="18"/>
      <c r="W203" s="18"/>
      <c r="X203" s="18"/>
      <c r="Y203" s="18"/>
      <c r="Z203" s="18"/>
      <c r="AA203" s="18"/>
      <c r="AB203" s="18"/>
    </row>
    <row r="204" spans="1:34" s="8" customFormat="1" ht="16.5" customHeight="1" x14ac:dyDescent="0.25">
      <c r="A204" s="1292"/>
      <c r="B204" s="1475"/>
      <c r="C204" s="1544" t="s">
        <v>995</v>
      </c>
      <c r="D204" s="1551" t="s">
        <v>1001</v>
      </c>
      <c r="E204" s="1552"/>
      <c r="F204" s="1553"/>
      <c r="G204" s="10"/>
      <c r="H204" s="18"/>
      <c r="I204" s="18"/>
      <c r="J204" s="10"/>
      <c r="K204" s="10"/>
      <c r="L204" s="10"/>
      <c r="M204" s="10"/>
      <c r="N204" s="10"/>
      <c r="O204" s="18"/>
      <c r="P204" s="18"/>
      <c r="Q204" s="18"/>
      <c r="R204" s="18"/>
      <c r="S204" s="18"/>
      <c r="T204" s="18"/>
      <c r="U204" s="18"/>
      <c r="V204" s="18"/>
      <c r="W204" s="18"/>
      <c r="X204" s="18"/>
      <c r="Y204" s="18"/>
      <c r="Z204" s="18"/>
      <c r="AA204" s="18"/>
      <c r="AB204" s="18"/>
      <c r="AC204" s="18"/>
      <c r="AD204" s="18"/>
      <c r="AE204" s="18"/>
      <c r="AF204" s="18"/>
      <c r="AG204" s="18"/>
      <c r="AH204" s="18"/>
    </row>
    <row r="205" spans="1:34" s="8" customFormat="1" ht="47.25" x14ac:dyDescent="0.25">
      <c r="A205" s="1292"/>
      <c r="B205" s="1475"/>
      <c r="C205" s="1544"/>
      <c r="D205" s="1345" t="s">
        <v>1831</v>
      </c>
      <c r="E205" s="1355" t="s">
        <v>1832</v>
      </c>
      <c r="F205" s="1349" t="s">
        <v>1833</v>
      </c>
      <c r="G205" s="1546" t="str">
        <f>IF(AND(SUM(F186:F197)=0,SUM(E186:E197)=0,OR(D192&gt;1.2*((F212*(1+IF(C107=INDEX(TempWat,1),'Расчет базового уровня'!D176,0))*(D107-D109)+E212*D113/1000)),D192&lt;0.8*((F212*(1+IF(C107=INDEX(TempWat,1),'Расчет базового уровня'!D176,0))*(D107-D109)+E212*D113/1000)))),"расход ТЭ в летние месяцы сильно отличается от теоретического на основе введенного водоразбора. Стоит обратиться в поддержку","")</f>
        <v/>
      </c>
      <c r="H205" s="1547"/>
      <c r="I205" s="1547"/>
      <c r="J205" s="1547"/>
      <c r="K205" s="1547"/>
      <c r="L205" s="10"/>
      <c r="M205" s="10"/>
      <c r="N205" s="18"/>
      <c r="O205" s="18"/>
      <c r="P205" s="18"/>
      <c r="Q205" s="18"/>
      <c r="R205" s="18"/>
      <c r="S205" s="18"/>
      <c r="T205" s="18"/>
      <c r="U205" s="18"/>
      <c r="V205" s="18"/>
      <c r="W205" s="18"/>
      <c r="X205" s="18"/>
      <c r="Y205" s="18"/>
      <c r="Z205" s="18"/>
      <c r="AA205" s="18"/>
      <c r="AB205" s="18"/>
      <c r="AC205" s="18"/>
      <c r="AD205" s="18"/>
      <c r="AE205" s="18"/>
      <c r="AF205" s="18"/>
      <c r="AG205" s="18"/>
      <c r="AH205" s="18"/>
    </row>
    <row r="206" spans="1:34" s="8" customFormat="1" ht="15" customHeight="1" x14ac:dyDescent="0.25">
      <c r="A206" s="1292"/>
      <c r="B206" s="1477">
        <f>B197+1</f>
        <v>113</v>
      </c>
      <c r="C206" s="1351" t="s">
        <v>488</v>
      </c>
      <c r="D206" s="1514"/>
      <c r="E206" s="1514"/>
      <c r="F206" s="1514"/>
      <c r="G206" s="1561" t="str">
        <f>IFERROR(IF($F$218/365/$D$22*1000&lt;0.85*SUMPRODUCT('Система ГВС'!$D$5:$D$9,'Система ГВС'!$E$5:$E$9)*(1-0.4*$D$21/$D$20),CONCATENATE("Средний на человека расход воды в сутки ниже норматива на ",ROUND(L206/L207,2)*100-100,"%. Проверьте, правильно ли введено количество жителей, объем водоразбора по месяцам и правильно ли выбраны параметры системы  ГВС. Если это не поможет, возможно, информация о числе жителей некорректна, либо часть из них регулярно отсутствует."),IF($F$218/365/$D$22*1000&gt;1.1*SUMPRODUCT('Система ГВС'!$D$5:$D$9,'Система ГВС'!$E$5:$E$9)*(1-0.4*$D$21/$D$20),CONCATENATE("Средний на человека расход воды в сутки выше норматива на ",ROUND(L206/L207,2)*100-100,"%. Проверьте, правильно ли введено количество жителей, объем водоразбора по месяцам и правильно ли выбраны параметры системы ГВС. Если это не поможет, возможно, информация о числе жителей некорректна."),"")),"")</f>
        <v/>
      </c>
      <c r="H206" s="1561"/>
      <c r="I206" s="1562" t="str">
        <f>IF(F198="","",IF(F218*55*('Расчет базового уровня'!D176+1)/1000+E218*D113/1000&lt;0.85*F198,"Вероятен перегрев горячей воды. Стоит обратить внимание на мероприятия:"&amp;CHAR(10)&amp;"1- установка регуляторов температуры горячей воды,"&amp;CHAR(10)&amp;"2-модернизация ИТП с установкой теплообменника ГВС,"&amp;CHAR(10)&amp;"3-установка АИТП",""))</f>
        <v/>
      </c>
      <c r="J206" s="1562"/>
      <c r="K206" s="1562"/>
      <c r="L206" s="1441" t="e">
        <f>$F$218/365/$D$22*1000</f>
        <v>#DIV/0!</v>
      </c>
      <c r="M206" s="10"/>
      <c r="N206" s="18"/>
      <c r="O206" s="18"/>
      <c r="P206" s="18"/>
      <c r="Q206" s="18"/>
      <c r="R206" s="18"/>
      <c r="S206" s="18"/>
      <c r="T206" s="18"/>
      <c r="U206" s="18"/>
      <c r="V206" s="18"/>
      <c r="W206" s="18"/>
      <c r="X206" s="18"/>
      <c r="Y206" s="18"/>
      <c r="Z206" s="18"/>
      <c r="AA206" s="18"/>
      <c r="AB206" s="18"/>
      <c r="AC206" s="18"/>
      <c r="AD206" s="18"/>
      <c r="AE206" s="18"/>
      <c r="AF206" s="18"/>
      <c r="AG206" s="18"/>
      <c r="AH206" s="18"/>
    </row>
    <row r="207" spans="1:34" s="8" customFormat="1" ht="15" customHeight="1" x14ac:dyDescent="0.25">
      <c r="A207" s="1292"/>
      <c r="B207" s="1477">
        <f>B206+1</f>
        <v>114</v>
      </c>
      <c r="C207" s="1352" t="s">
        <v>489</v>
      </c>
      <c r="D207" s="1515"/>
      <c r="E207" s="1515"/>
      <c r="F207" s="1515"/>
      <c r="G207" s="1561"/>
      <c r="H207" s="1561"/>
      <c r="I207" s="1562"/>
      <c r="J207" s="1562"/>
      <c r="K207" s="1562"/>
      <c r="L207" s="1441" t="e">
        <f>SUMPRODUCT('Система ГВС'!$D$5:$D$9,'Система ГВС'!$E$5:$E$9)*(1-0.4*$D$21/$D$20)</f>
        <v>#DIV/0!</v>
      </c>
      <c r="M207" s="10"/>
      <c r="N207" s="18"/>
      <c r="O207" s="18"/>
      <c r="P207" s="18"/>
      <c r="Q207" s="18"/>
      <c r="R207" s="18"/>
      <c r="S207" s="18"/>
      <c r="T207" s="18"/>
      <c r="U207" s="18"/>
      <c r="V207" s="18"/>
      <c r="W207" s="18"/>
      <c r="X207" s="18"/>
      <c r="Y207" s="18"/>
      <c r="Z207" s="18"/>
      <c r="AA207" s="18"/>
      <c r="AB207" s="18"/>
      <c r="AC207" s="18"/>
      <c r="AD207" s="18"/>
      <c r="AE207" s="18"/>
      <c r="AF207" s="18"/>
      <c r="AG207" s="18"/>
      <c r="AH207" s="18"/>
    </row>
    <row r="208" spans="1:34" s="8" customFormat="1" ht="15" customHeight="1" x14ac:dyDescent="0.25">
      <c r="A208" s="1292"/>
      <c r="B208" s="1477">
        <f t="shared" ref="B208:B217" si="13">B207+1</f>
        <v>115</v>
      </c>
      <c r="C208" s="1352" t="s">
        <v>490</v>
      </c>
      <c r="D208" s="1515"/>
      <c r="E208" s="1515"/>
      <c r="F208" s="1515"/>
      <c r="G208" s="1561"/>
      <c r="H208" s="1561"/>
      <c r="I208" s="1562"/>
      <c r="J208" s="1562"/>
      <c r="K208" s="1562"/>
      <c r="L208" s="10"/>
      <c r="M208" s="10"/>
      <c r="N208" s="18"/>
      <c r="O208" s="18"/>
      <c r="P208" s="18"/>
      <c r="Q208" s="18"/>
      <c r="R208" s="18"/>
      <c r="S208" s="18"/>
      <c r="T208" s="18"/>
      <c r="U208" s="18"/>
      <c r="V208" s="18"/>
      <c r="W208" s="18"/>
      <c r="X208" s="18"/>
      <c r="Y208" s="18"/>
      <c r="Z208" s="18"/>
      <c r="AA208" s="18"/>
      <c r="AB208" s="18"/>
      <c r="AC208" s="18"/>
      <c r="AD208" s="18"/>
      <c r="AE208" s="18"/>
      <c r="AF208" s="18"/>
      <c r="AG208" s="18"/>
      <c r="AH208" s="18"/>
    </row>
    <row r="209" spans="1:34" s="8" customFormat="1" ht="15" customHeight="1" x14ac:dyDescent="0.25">
      <c r="A209" s="1292"/>
      <c r="B209" s="1477">
        <f t="shared" si="13"/>
        <v>116</v>
      </c>
      <c r="C209" s="1352" t="s">
        <v>491</v>
      </c>
      <c r="D209" s="1515"/>
      <c r="E209" s="1515"/>
      <c r="F209" s="1515"/>
      <c r="G209" s="1561"/>
      <c r="H209" s="1561"/>
      <c r="I209" s="1562"/>
      <c r="J209" s="1562"/>
      <c r="K209" s="1562"/>
      <c r="L209" s="10"/>
      <c r="M209" s="10"/>
      <c r="N209" s="18"/>
      <c r="O209" s="18"/>
      <c r="P209" s="18"/>
      <c r="Q209" s="18"/>
      <c r="R209" s="18"/>
      <c r="S209" s="18"/>
      <c r="T209" s="18"/>
      <c r="U209" s="18"/>
      <c r="V209" s="18"/>
      <c r="W209" s="18"/>
      <c r="X209" s="18"/>
      <c r="Y209" s="18"/>
      <c r="Z209" s="18"/>
      <c r="AA209" s="18"/>
      <c r="AB209" s="18"/>
      <c r="AC209" s="18"/>
      <c r="AD209" s="18"/>
      <c r="AE209" s="18"/>
      <c r="AF209" s="18"/>
      <c r="AG209" s="18"/>
      <c r="AH209" s="18"/>
    </row>
    <row r="210" spans="1:34" s="8" customFormat="1" ht="15" customHeight="1" x14ac:dyDescent="0.25">
      <c r="A210" s="1292"/>
      <c r="B210" s="1477">
        <f t="shared" si="13"/>
        <v>117</v>
      </c>
      <c r="C210" s="1352" t="s">
        <v>805</v>
      </c>
      <c r="D210" s="1515"/>
      <c r="E210" s="1515"/>
      <c r="F210" s="1515"/>
      <c r="G210" s="1561"/>
      <c r="H210" s="1561"/>
      <c r="I210" s="1562"/>
      <c r="J210" s="1562"/>
      <c r="K210" s="1562"/>
      <c r="L210" s="10"/>
      <c r="M210" s="10"/>
      <c r="N210" s="18"/>
      <c r="O210" s="18"/>
      <c r="P210" s="18"/>
      <c r="Q210" s="18"/>
      <c r="R210" s="18"/>
      <c r="S210" s="18"/>
      <c r="T210" s="18"/>
      <c r="U210" s="18"/>
      <c r="V210" s="18"/>
      <c r="W210" s="18"/>
      <c r="X210" s="18"/>
      <c r="Y210" s="18"/>
      <c r="Z210" s="18"/>
      <c r="AA210" s="18"/>
      <c r="AB210" s="18"/>
      <c r="AC210" s="18"/>
      <c r="AD210" s="18"/>
      <c r="AE210" s="18"/>
      <c r="AF210" s="18"/>
      <c r="AG210" s="18"/>
      <c r="AH210" s="18"/>
    </row>
    <row r="211" spans="1:34" s="8" customFormat="1" ht="15" customHeight="1" x14ac:dyDescent="0.25">
      <c r="A211" s="1292"/>
      <c r="B211" s="1477">
        <f t="shared" si="13"/>
        <v>118</v>
      </c>
      <c r="C211" s="1352" t="s">
        <v>806</v>
      </c>
      <c r="D211" s="1515"/>
      <c r="E211" s="1515"/>
      <c r="F211" s="1515"/>
      <c r="G211" s="1561"/>
      <c r="H211" s="1561"/>
      <c r="I211" s="1562"/>
      <c r="J211" s="1562"/>
      <c r="K211" s="1562"/>
      <c r="L211" s="10"/>
      <c r="M211" s="10"/>
      <c r="N211" s="18"/>
      <c r="O211" s="18"/>
      <c r="P211" s="18"/>
      <c r="Q211" s="18"/>
      <c r="R211" s="18"/>
      <c r="S211" s="18"/>
      <c r="T211" s="18"/>
      <c r="U211" s="18"/>
      <c r="V211" s="18"/>
      <c r="W211" s="18"/>
      <c r="X211" s="18"/>
      <c r="Y211" s="18"/>
      <c r="Z211" s="18"/>
      <c r="AA211" s="18"/>
      <c r="AB211" s="18"/>
      <c r="AC211" s="18"/>
      <c r="AD211" s="18"/>
      <c r="AE211" s="18"/>
      <c r="AF211" s="18"/>
      <c r="AG211" s="18"/>
      <c r="AH211" s="18"/>
    </row>
    <row r="212" spans="1:34" s="8" customFormat="1" ht="15" customHeight="1" x14ac:dyDescent="0.25">
      <c r="A212" s="1292"/>
      <c r="B212" s="1477">
        <f t="shared" si="13"/>
        <v>119</v>
      </c>
      <c r="C212" s="1352" t="s">
        <v>807</v>
      </c>
      <c r="D212" s="1515"/>
      <c r="E212" s="1515"/>
      <c r="F212" s="1515"/>
      <c r="G212" s="1561"/>
      <c r="H212" s="1561"/>
      <c r="I212" s="1562"/>
      <c r="J212" s="1562"/>
      <c r="K212" s="1562"/>
      <c r="L212" s="10"/>
      <c r="M212" s="10"/>
      <c r="N212" s="18"/>
      <c r="O212" s="18"/>
      <c r="P212" s="18"/>
      <c r="Q212" s="18"/>
      <c r="R212" s="18"/>
      <c r="S212" s="18"/>
      <c r="T212" s="18"/>
      <c r="U212" s="18"/>
      <c r="V212" s="18"/>
      <c r="W212" s="18"/>
      <c r="X212" s="18"/>
      <c r="Y212" s="18"/>
      <c r="Z212" s="18"/>
      <c r="AA212" s="18"/>
      <c r="AB212" s="18"/>
      <c r="AC212" s="18"/>
      <c r="AD212" s="18"/>
      <c r="AE212" s="18"/>
      <c r="AF212" s="18"/>
      <c r="AG212" s="18"/>
      <c r="AH212" s="18"/>
    </row>
    <row r="213" spans="1:34" s="8" customFormat="1" ht="15" customHeight="1" x14ac:dyDescent="0.25">
      <c r="A213" s="1292"/>
      <c r="B213" s="1477">
        <f t="shared" si="13"/>
        <v>120</v>
      </c>
      <c r="C213" s="1352" t="s">
        <v>808</v>
      </c>
      <c r="D213" s="1515"/>
      <c r="E213" s="1515"/>
      <c r="F213" s="1515"/>
      <c r="G213" s="1561"/>
      <c r="H213" s="1561"/>
      <c r="I213" s="1562"/>
      <c r="J213" s="1562"/>
      <c r="K213" s="1562"/>
      <c r="L213" s="10"/>
      <c r="M213" s="10"/>
      <c r="N213" s="18"/>
      <c r="O213" s="18"/>
      <c r="P213" s="18"/>
      <c r="Q213" s="18"/>
      <c r="R213" s="18"/>
      <c r="S213" s="18"/>
      <c r="T213" s="18"/>
      <c r="U213" s="18"/>
      <c r="V213" s="18"/>
      <c r="W213" s="18"/>
      <c r="X213" s="18"/>
      <c r="Y213" s="18"/>
      <c r="Z213" s="18"/>
      <c r="AA213" s="18"/>
      <c r="AB213" s="18"/>
      <c r="AC213" s="18"/>
      <c r="AD213" s="18"/>
      <c r="AE213" s="18"/>
      <c r="AF213" s="18"/>
      <c r="AG213" s="18"/>
      <c r="AH213" s="18"/>
    </row>
    <row r="214" spans="1:34" s="8" customFormat="1" ht="15" customHeight="1" x14ac:dyDescent="0.25">
      <c r="A214" s="1292"/>
      <c r="B214" s="1477">
        <f t="shared" si="13"/>
        <v>121</v>
      </c>
      <c r="C214" s="1352" t="s">
        <v>809</v>
      </c>
      <c r="D214" s="1515"/>
      <c r="E214" s="1515"/>
      <c r="F214" s="1515"/>
      <c r="G214" s="1561"/>
      <c r="H214" s="1561"/>
      <c r="I214" s="1562"/>
      <c r="J214" s="1562"/>
      <c r="K214" s="1562"/>
      <c r="L214" s="10"/>
      <c r="M214" s="10"/>
      <c r="N214" s="18"/>
      <c r="O214" s="18"/>
      <c r="P214" s="18"/>
      <c r="Q214" s="18"/>
      <c r="R214" s="18"/>
      <c r="S214" s="18"/>
      <c r="T214" s="18"/>
      <c r="U214" s="18"/>
      <c r="V214" s="18"/>
      <c r="W214" s="18"/>
      <c r="X214" s="18"/>
      <c r="Y214" s="18"/>
      <c r="Z214" s="18"/>
      <c r="AA214" s="18"/>
      <c r="AB214" s="18"/>
      <c r="AC214" s="18"/>
      <c r="AD214" s="18"/>
      <c r="AE214" s="18"/>
      <c r="AF214" s="18"/>
      <c r="AG214" s="18"/>
      <c r="AH214" s="18"/>
    </row>
    <row r="215" spans="1:34" s="8" customFormat="1" ht="15" customHeight="1" x14ac:dyDescent="0.25">
      <c r="A215" s="1292"/>
      <c r="B215" s="1477">
        <f t="shared" si="13"/>
        <v>122</v>
      </c>
      <c r="C215" s="1352" t="s">
        <v>482</v>
      </c>
      <c r="D215" s="1515"/>
      <c r="E215" s="1515"/>
      <c r="F215" s="1515"/>
      <c r="G215" s="1561"/>
      <c r="H215" s="1561"/>
      <c r="I215" s="1562"/>
      <c r="J215" s="1562"/>
      <c r="K215" s="1562"/>
      <c r="L215" s="10"/>
      <c r="M215" s="10"/>
      <c r="N215" s="18"/>
      <c r="O215" s="18"/>
      <c r="P215" s="18"/>
      <c r="Q215" s="18"/>
      <c r="R215" s="18"/>
      <c r="S215" s="18"/>
      <c r="T215" s="18"/>
      <c r="U215" s="18"/>
      <c r="V215" s="18"/>
      <c r="W215" s="18"/>
      <c r="X215" s="18"/>
      <c r="Y215" s="18"/>
      <c r="Z215" s="18"/>
      <c r="AA215" s="18"/>
      <c r="AB215" s="18"/>
      <c r="AC215" s="18"/>
      <c r="AD215" s="18"/>
      <c r="AE215" s="18"/>
      <c r="AF215" s="18"/>
      <c r="AG215" s="18"/>
      <c r="AH215" s="18"/>
    </row>
    <row r="216" spans="1:34" s="8" customFormat="1" ht="15" customHeight="1" x14ac:dyDescent="0.25">
      <c r="A216" s="1292"/>
      <c r="B216" s="1477">
        <f t="shared" si="13"/>
        <v>123</v>
      </c>
      <c r="C216" s="1352" t="s">
        <v>486</v>
      </c>
      <c r="D216" s="1515"/>
      <c r="E216" s="1515"/>
      <c r="F216" s="1515"/>
      <c r="G216" s="1561"/>
      <c r="H216" s="1561"/>
      <c r="I216" s="1562"/>
      <c r="J216" s="1562"/>
      <c r="K216" s="1562"/>
      <c r="L216" s="10"/>
      <c r="M216" s="10"/>
      <c r="N216" s="18"/>
      <c r="O216" s="18"/>
      <c r="P216" s="18"/>
      <c r="Q216" s="18"/>
      <c r="R216" s="18"/>
      <c r="S216" s="18"/>
      <c r="T216" s="18"/>
      <c r="U216" s="18"/>
      <c r="V216" s="18"/>
      <c r="W216" s="18"/>
      <c r="X216" s="18"/>
      <c r="Y216" s="18"/>
      <c r="Z216" s="18"/>
      <c r="AA216" s="18"/>
      <c r="AB216" s="18"/>
      <c r="AC216" s="18"/>
      <c r="AD216" s="18"/>
      <c r="AE216" s="18"/>
      <c r="AF216" s="18"/>
      <c r="AG216" s="18"/>
      <c r="AH216" s="18"/>
    </row>
    <row r="217" spans="1:34" s="8" customFormat="1" ht="15" customHeight="1" x14ac:dyDescent="0.25">
      <c r="A217" s="1292"/>
      <c r="B217" s="1477">
        <f t="shared" si="13"/>
        <v>124</v>
      </c>
      <c r="C217" s="1353" t="s">
        <v>487</v>
      </c>
      <c r="D217" s="1516"/>
      <c r="E217" s="1516"/>
      <c r="F217" s="1516"/>
      <c r="G217" s="1561"/>
      <c r="H217" s="1561"/>
      <c r="I217" s="1562"/>
      <c r="J217" s="1562"/>
      <c r="K217" s="1562"/>
      <c r="L217" s="10"/>
      <c r="M217" s="10"/>
      <c r="N217" s="18"/>
      <c r="O217" s="18"/>
      <c r="P217" s="18"/>
      <c r="Q217" s="18"/>
      <c r="R217" s="18"/>
      <c r="S217" s="18"/>
      <c r="T217" s="18"/>
      <c r="U217" s="18"/>
      <c r="V217" s="18"/>
      <c r="W217" s="18"/>
      <c r="X217" s="18"/>
      <c r="Y217" s="18"/>
      <c r="Z217" s="18"/>
      <c r="AA217" s="18"/>
      <c r="AB217" s="18"/>
      <c r="AC217" s="18"/>
      <c r="AD217" s="18"/>
      <c r="AE217" s="18"/>
      <c r="AF217" s="18"/>
      <c r="AG217" s="18"/>
      <c r="AH217" s="18"/>
    </row>
    <row r="218" spans="1:34" s="8" customFormat="1" ht="15" customHeight="1" x14ac:dyDescent="0.25">
      <c r="A218" s="1292"/>
      <c r="B218" s="1475"/>
      <c r="C218" s="1350" t="s">
        <v>1000</v>
      </c>
      <c r="D218" s="1431">
        <f>SUM(D206:D217)</f>
        <v>0</v>
      </c>
      <c r="E218" s="1431">
        <f>SUM(E206:E217)</f>
        <v>0</v>
      </c>
      <c r="F218" s="1432">
        <f>SUM(F206:F217)</f>
        <v>0</v>
      </c>
      <c r="G218" s="1561"/>
      <c r="H218" s="1561"/>
      <c r="I218" s="1562"/>
      <c r="J218" s="1562"/>
      <c r="K218" s="1562"/>
      <c r="L218" s="18"/>
      <c r="M218" s="10"/>
      <c r="N218" s="18"/>
      <c r="O218" s="18"/>
      <c r="P218" s="18"/>
      <c r="Q218" s="18"/>
      <c r="R218" s="18"/>
      <c r="S218" s="18"/>
      <c r="T218" s="18"/>
      <c r="U218" s="18"/>
      <c r="V218" s="18"/>
      <c r="W218" s="18"/>
      <c r="X218" s="18"/>
      <c r="Y218" s="18"/>
      <c r="Z218" s="18"/>
      <c r="AA218" s="18"/>
      <c r="AB218" s="18"/>
      <c r="AC218" s="18"/>
      <c r="AD218" s="18"/>
      <c r="AE218" s="18"/>
      <c r="AF218" s="18"/>
      <c r="AG218" s="18"/>
      <c r="AH218" s="18"/>
    </row>
    <row r="219" spans="1:34" s="8" customFormat="1" x14ac:dyDescent="0.25">
      <c r="A219" s="1292"/>
      <c r="B219" s="1475"/>
      <c r="C219" s="10"/>
      <c r="D219" s="10"/>
      <c r="E219" s="20" t="str">
        <f>IFERROR(IF(AVEDEV(E206:E217)/AVERAGE(E206:E217)&gt;=0.3,"Проверьте данные, слишком нестабильно",""),"")</f>
        <v/>
      </c>
      <c r="F219" s="20" t="str">
        <f>IFERROR(IF(AVEDEV(F206:F217)/AVERAGE(F206:F217)&gt;=0.3,"Проверьте данные, слишком нестабильно",""),"")</f>
        <v/>
      </c>
      <c r="G219" s="10"/>
      <c r="H219" s="10"/>
      <c r="I219" s="10"/>
      <c r="J219" s="10"/>
      <c r="K219" s="10"/>
      <c r="L219" s="10"/>
      <c r="M219" s="10"/>
      <c r="N219" s="10"/>
      <c r="O219" s="18"/>
      <c r="P219" s="18"/>
      <c r="Q219" s="18"/>
      <c r="R219" s="18"/>
      <c r="S219" s="18"/>
      <c r="T219" s="18"/>
      <c r="U219" s="18"/>
      <c r="V219" s="18"/>
      <c r="W219" s="18"/>
      <c r="X219" s="18"/>
      <c r="Y219" s="18"/>
      <c r="Z219" s="18"/>
      <c r="AA219" s="18"/>
      <c r="AB219" s="18"/>
      <c r="AC219" s="18"/>
      <c r="AD219" s="18"/>
      <c r="AE219" s="18"/>
      <c r="AF219" s="18"/>
      <c r="AG219" s="18"/>
      <c r="AH219" s="18"/>
    </row>
    <row r="220" spans="1:34" s="8" customFormat="1" ht="22.5" customHeight="1" x14ac:dyDescent="0.25">
      <c r="A220" s="1292"/>
      <c r="B220" s="1475"/>
      <c r="C220" s="1535" t="s">
        <v>1834</v>
      </c>
      <c r="D220" s="1535"/>
      <c r="E220" s="1535"/>
      <c r="F220" s="1535"/>
      <c r="G220" s="1535"/>
      <c r="H220" s="1535"/>
      <c r="I220" s="1535"/>
      <c r="J220" s="1535"/>
      <c r="K220" s="10"/>
      <c r="L220" s="10"/>
      <c r="M220" s="10"/>
      <c r="N220" s="10"/>
      <c r="O220" s="18"/>
      <c r="P220" s="18"/>
      <c r="Q220" s="18"/>
      <c r="R220" s="18"/>
      <c r="S220" s="18"/>
      <c r="T220" s="18"/>
      <c r="U220" s="18"/>
      <c r="V220" s="18"/>
      <c r="W220" s="18"/>
      <c r="X220" s="18"/>
      <c r="Y220" s="18"/>
      <c r="Z220" s="18"/>
      <c r="AA220" s="18"/>
      <c r="AB220" s="18"/>
      <c r="AC220" s="18"/>
      <c r="AD220" s="18"/>
      <c r="AE220" s="18"/>
      <c r="AF220" s="18"/>
      <c r="AG220" s="18"/>
      <c r="AH220" s="18"/>
    </row>
    <row r="221" spans="1:34" s="8" customFormat="1" ht="21.6" customHeight="1" x14ac:dyDescent="0.25">
      <c r="A221" s="1292"/>
      <c r="B221" s="1475"/>
      <c r="C221" s="1554" t="s">
        <v>995</v>
      </c>
      <c r="D221" s="1555" t="s">
        <v>1604</v>
      </c>
      <c r="E221" s="1557" t="s">
        <v>1341</v>
      </c>
      <c r="F221" s="1558" t="s">
        <v>1344</v>
      </c>
      <c r="G221" s="1559"/>
      <c r="H221" s="1559"/>
      <c r="I221" s="1559"/>
      <c r="J221" s="1560"/>
      <c r="K221" s="74"/>
      <c r="L221" s="74"/>
      <c r="M221" s="74"/>
      <c r="N221" s="74"/>
      <c r="O221" s="74"/>
      <c r="P221" s="74"/>
      <c r="Q221" s="74"/>
      <c r="R221" s="74"/>
      <c r="S221" s="74"/>
      <c r="T221" s="74"/>
      <c r="U221" s="74"/>
      <c r="V221" s="74"/>
      <c r="W221" s="74"/>
      <c r="X221" s="74"/>
      <c r="Y221" s="74"/>
      <c r="Z221" s="74"/>
      <c r="AA221" s="74"/>
      <c r="AB221" s="74"/>
      <c r="AC221" s="74"/>
      <c r="AD221" s="74"/>
      <c r="AE221" s="74"/>
      <c r="AF221" s="74"/>
      <c r="AG221" s="18"/>
      <c r="AH221" s="18"/>
    </row>
    <row r="222" spans="1:34" s="8" customFormat="1" ht="117.75" customHeight="1" x14ac:dyDescent="0.25">
      <c r="A222" s="1292"/>
      <c r="B222" s="1475"/>
      <c r="C222" s="1554"/>
      <c r="D222" s="1556"/>
      <c r="E222" s="1555"/>
      <c r="F222" s="1356" t="s">
        <v>997</v>
      </c>
      <c r="G222" s="1357" t="s">
        <v>1497</v>
      </c>
      <c r="H222" s="1357" t="s">
        <v>1498</v>
      </c>
      <c r="I222" s="1357" t="s">
        <v>1499</v>
      </c>
      <c r="J222" s="1358" t="s">
        <v>1500</v>
      </c>
      <c r="K222" s="74"/>
      <c r="L222" s="74"/>
      <c r="M222" s="74"/>
      <c r="N222" s="74"/>
      <c r="O222" s="74"/>
      <c r="P222" s="1464" t="s">
        <v>997</v>
      </c>
      <c r="Q222" s="1464" t="s">
        <v>1003</v>
      </c>
      <c r="R222" s="1464" t="s">
        <v>1414</v>
      </c>
      <c r="S222" s="1464" t="s">
        <v>1413</v>
      </c>
      <c r="T222" s="1464" t="s">
        <v>998</v>
      </c>
      <c r="U222" s="1464" t="s">
        <v>541</v>
      </c>
      <c r="V222" s="1464" t="s">
        <v>1351</v>
      </c>
      <c r="W222" s="1465" t="s">
        <v>1415</v>
      </c>
      <c r="X222" s="1466"/>
      <c r="Y222" s="1464" t="s">
        <v>997</v>
      </c>
      <c r="Z222" s="1464" t="s">
        <v>1003</v>
      </c>
      <c r="AA222" s="1464" t="s">
        <v>1414</v>
      </c>
      <c r="AB222" s="1464" t="s">
        <v>1413</v>
      </c>
      <c r="AC222" s="1464" t="s">
        <v>998</v>
      </c>
      <c r="AD222" s="1464" t="s">
        <v>541</v>
      </c>
      <c r="AE222" s="1464" t="s">
        <v>1351</v>
      </c>
      <c r="AF222" s="1465" t="s">
        <v>1415</v>
      </c>
      <c r="AG222" s="18"/>
      <c r="AH222" s="18"/>
    </row>
    <row r="223" spans="1:34" s="8" customFormat="1" x14ac:dyDescent="0.25">
      <c r="A223" s="1292"/>
      <c r="B223" s="1477">
        <f>B217+1</f>
        <v>125</v>
      </c>
      <c r="C223" s="1352" t="s">
        <v>488</v>
      </c>
      <c r="D223" s="1514"/>
      <c r="E223" s="1514"/>
      <c r="F223" s="1514"/>
      <c r="G223" s="1505"/>
      <c r="H223" s="1505"/>
      <c r="I223" s="1505"/>
      <c r="J223" s="1502"/>
      <c r="K223" s="1539" t="s">
        <v>1605</v>
      </c>
      <c r="L223" s="1539"/>
      <c r="M223" s="74"/>
      <c r="N223" s="74"/>
      <c r="O223" s="74"/>
      <c r="P223" s="1467" t="e">
        <f>SUM(Q223:S223,W223)</f>
        <v>#N/A</v>
      </c>
      <c r="Q223" s="1468">
        <f>($G$131*$H$131*$D$131+$H$132*$G$132*$D$132+$H$133*$G$133*$D$133+$H$134*$G$134*$D$134+$H$135*$G$135*$D$135)/12/1000000</f>
        <v>0</v>
      </c>
      <c r="R223" s="1468">
        <f>$D$140*$D$141/1000/12</f>
        <v>0</v>
      </c>
      <c r="S223" s="1469" t="e">
        <f>SUM(T223:V223)</f>
        <v>#N/A</v>
      </c>
      <c r="T223" s="1469" t="e">
        <f>$D$146*'Расчет базового уровня'!$G$146*24/1000</f>
        <v>#N/A</v>
      </c>
      <c r="U223" s="1469">
        <f>$D$150*'Расчет базового уровня'!$G$170*24/1000</f>
        <v>0</v>
      </c>
      <c r="V223" s="1469">
        <f>$D$154*'Расчет базового уровня'!$G$165*24/1000</f>
        <v>0</v>
      </c>
      <c r="W223" s="1470">
        <f>$D$159*$D$160/12/1000</f>
        <v>0</v>
      </c>
      <c r="X223" s="1471"/>
      <c r="Y223" s="1467">
        <f>SUM(Z223:AB223,AF223)</f>
        <v>0</v>
      </c>
      <c r="Z223" s="1468">
        <f>IF(G223=0,IFERROR($F223*Q223/$P223,0),G223)</f>
        <v>0</v>
      </c>
      <c r="AA223" s="1468">
        <f>IF(H223=0,IFERROR($F223*R223/$P223,0),H223)</f>
        <v>0</v>
      </c>
      <c r="AB223" s="1468">
        <f>IF(I223=0,IFERROR($F223*S223/$P223,0),I223)</f>
        <v>0</v>
      </c>
      <c r="AC223" s="1469">
        <f>IFERROR(IF($I223=0,$F223*T223/$P223,$AB223*T223/$S223),0)</f>
        <v>0</v>
      </c>
      <c r="AD223" s="1469">
        <f>IFERROR(IF($I223=0,$F223*U223/$P223,$AB223*U223/$S223),0)</f>
        <v>0</v>
      </c>
      <c r="AE223" s="1469">
        <f>IFERROR(IF($I223=0,$F223*V223/$P223,$AB223*V223/$S223),0)</f>
        <v>0</v>
      </c>
      <c r="AF223" s="1468">
        <f>IFERROR(IF(J223=0,$F223*W223/$P223,P223),0)</f>
        <v>0</v>
      </c>
      <c r="AG223" s="18"/>
      <c r="AH223" s="18"/>
    </row>
    <row r="224" spans="1:34" s="8" customFormat="1" x14ac:dyDescent="0.25">
      <c r="A224" s="1292"/>
      <c r="B224" s="1477">
        <f>B223+1</f>
        <v>126</v>
      </c>
      <c r="C224" s="1352" t="s">
        <v>489</v>
      </c>
      <c r="D224" s="1515"/>
      <c r="E224" s="1515"/>
      <c r="F224" s="1515"/>
      <c r="G224" s="1506"/>
      <c r="H224" s="1506"/>
      <c r="I224" s="1506"/>
      <c r="J224" s="1503"/>
      <c r="K224" s="1539"/>
      <c r="L224" s="1539"/>
      <c r="M224" s="74"/>
      <c r="N224" s="74"/>
      <c r="O224" s="74"/>
      <c r="P224" s="1467" t="e">
        <f t="shared" ref="P224:P234" si="14">SUM(Q224:S224,W224)</f>
        <v>#N/A</v>
      </c>
      <c r="Q224" s="1468">
        <f t="shared" ref="Q224:Q234" si="15">($G$131*$H$131*$D$131+$H$132*$G$132*$D$132+$H$133*$G$133*$D$133+$H$134*$G$134*$D$134+$H$135*$G$135*$D$135)/12/1000000</f>
        <v>0</v>
      </c>
      <c r="R224" s="1468">
        <f>R223</f>
        <v>0</v>
      </c>
      <c r="S224" s="1469" t="e">
        <f t="shared" ref="S224:S234" si="16">SUM(T224:V224)</f>
        <v>#N/A</v>
      </c>
      <c r="T224" s="1469" t="e">
        <f>$D$146*'Расчет базового уровня'!$H$146*24/1000</f>
        <v>#N/A</v>
      </c>
      <c r="U224" s="1469">
        <f>$D$150*'Расчет базового уровня'!$H$170*24/1000</f>
        <v>0</v>
      </c>
      <c r="V224" s="1469">
        <f>$D$154*'Расчет базового уровня'!$H$165*24/1000</f>
        <v>0</v>
      </c>
      <c r="W224" s="1470">
        <f t="shared" ref="W224:W234" si="17">$D$159*$D$160/12/1000</f>
        <v>0</v>
      </c>
      <c r="X224" s="1471"/>
      <c r="Y224" s="1467">
        <f t="shared" ref="Y224:Y235" si="18">SUM(Z224:AB224,AF224)</f>
        <v>0</v>
      </c>
      <c r="Z224" s="1468">
        <f t="shared" ref="Z224:Z235" si="19">IF(G224=0,IFERROR($F224*Q224/$P224,0),G224)</f>
        <v>0</v>
      </c>
      <c r="AA224" s="1468">
        <f t="shared" ref="AA224:AA235" si="20">IF(H224=0,IFERROR($F224*R224/$P224,0),H224)</f>
        <v>0</v>
      </c>
      <c r="AB224" s="1468">
        <f t="shared" ref="AB224:AB235" si="21">IF(I224=0,IFERROR($F224*S224/$P224,0),I224)</f>
        <v>0</v>
      </c>
      <c r="AC224" s="1469">
        <f t="shared" ref="AC224:AC235" si="22">IFERROR(IF($I224=0,$F224*T224/$P224,$AB224*T224/$S224),0)</f>
        <v>0</v>
      </c>
      <c r="AD224" s="1469">
        <f t="shared" ref="AD224:AD235" si="23">IFERROR(IF($I224=0,$F224*U224/$P224,$AB224*U224/$S224),0)</f>
        <v>0</v>
      </c>
      <c r="AE224" s="1469">
        <f t="shared" ref="AE224:AE235" si="24">IFERROR(IF($I224=0,$F224*V224/$P224,$AB224*V224/$S224),0)</f>
        <v>0</v>
      </c>
      <c r="AF224" s="1468">
        <f t="shared" ref="AF224:AF235" si="25">IFERROR(IF(J224=0,$F224*W224/$P224,P224),0)</f>
        <v>0</v>
      </c>
      <c r="AG224" s="18"/>
      <c r="AH224" s="18"/>
    </row>
    <row r="225" spans="1:34" s="8" customFormat="1" x14ac:dyDescent="0.25">
      <c r="A225" s="1292"/>
      <c r="B225" s="1477">
        <f t="shared" ref="B225:B234" si="26">B224+1</f>
        <v>127</v>
      </c>
      <c r="C225" s="1352" t="s">
        <v>490</v>
      </c>
      <c r="D225" s="1515"/>
      <c r="E225" s="1515"/>
      <c r="F225" s="1515"/>
      <c r="G225" s="1506"/>
      <c r="H225" s="1506"/>
      <c r="I225" s="1506"/>
      <c r="J225" s="1503"/>
      <c r="K225" s="1539"/>
      <c r="L225" s="1539"/>
      <c r="M225" s="74"/>
      <c r="N225" s="74"/>
      <c r="O225" s="74"/>
      <c r="P225" s="1467" t="e">
        <f t="shared" si="14"/>
        <v>#N/A</v>
      </c>
      <c r="Q225" s="1468">
        <f t="shared" si="15"/>
        <v>0</v>
      </c>
      <c r="R225" s="1468">
        <f t="shared" ref="R225:R234" si="27">R224</f>
        <v>0</v>
      </c>
      <c r="S225" s="1469" t="e">
        <f t="shared" si="16"/>
        <v>#N/A</v>
      </c>
      <c r="T225" s="1469" t="e">
        <f>$D$146*'Расчет базового уровня'!$I$146*24/1000</f>
        <v>#N/A</v>
      </c>
      <c r="U225" s="1469">
        <f>$D$150*'Расчет базового уровня'!$I$170*24/1000</f>
        <v>0</v>
      </c>
      <c r="V225" s="1469">
        <f>$D$154*'Расчет базового уровня'!$I$165*24/1000</f>
        <v>0</v>
      </c>
      <c r="W225" s="1470">
        <f t="shared" si="17"/>
        <v>0</v>
      </c>
      <c r="X225" s="1471"/>
      <c r="Y225" s="1467">
        <f t="shared" si="18"/>
        <v>0</v>
      </c>
      <c r="Z225" s="1468">
        <f t="shared" si="19"/>
        <v>0</v>
      </c>
      <c r="AA225" s="1468">
        <f t="shared" si="20"/>
        <v>0</v>
      </c>
      <c r="AB225" s="1468">
        <f t="shared" si="21"/>
        <v>0</v>
      </c>
      <c r="AC225" s="1469">
        <f t="shared" si="22"/>
        <v>0</v>
      </c>
      <c r="AD225" s="1469">
        <f t="shared" si="23"/>
        <v>0</v>
      </c>
      <c r="AE225" s="1469">
        <f t="shared" si="24"/>
        <v>0</v>
      </c>
      <c r="AF225" s="1468">
        <f t="shared" si="25"/>
        <v>0</v>
      </c>
      <c r="AG225" s="18"/>
      <c r="AH225" s="18"/>
    </row>
    <row r="226" spans="1:34" s="8" customFormat="1" x14ac:dyDescent="0.25">
      <c r="A226" s="1292"/>
      <c r="B226" s="1477">
        <f t="shared" si="26"/>
        <v>128</v>
      </c>
      <c r="C226" s="1352" t="s">
        <v>491</v>
      </c>
      <c r="D226" s="1515"/>
      <c r="E226" s="1515"/>
      <c r="F226" s="1515"/>
      <c r="G226" s="1506"/>
      <c r="H226" s="1506"/>
      <c r="I226" s="1506"/>
      <c r="J226" s="1503"/>
      <c r="K226" s="1539"/>
      <c r="L226" s="1539"/>
      <c r="M226" s="74"/>
      <c r="N226" s="74"/>
      <c r="O226" s="74"/>
      <c r="P226" s="1467" t="e">
        <f t="shared" si="14"/>
        <v>#N/A</v>
      </c>
      <c r="Q226" s="1468">
        <f t="shared" si="15"/>
        <v>0</v>
      </c>
      <c r="R226" s="1468">
        <f t="shared" si="27"/>
        <v>0</v>
      </c>
      <c r="S226" s="1469" t="e">
        <f t="shared" si="16"/>
        <v>#N/A</v>
      </c>
      <c r="T226" s="1469" t="e">
        <f>$D$146*'Расчет базового уровня'!$J$146*24/1000</f>
        <v>#N/A</v>
      </c>
      <c r="U226" s="1469">
        <f>$D$150*'Расчет базового уровня'!$J$170*24/1000</f>
        <v>0</v>
      </c>
      <c r="V226" s="1469">
        <f>$D$154*'Расчет базового уровня'!$J$165*24/1000</f>
        <v>0</v>
      </c>
      <c r="W226" s="1470">
        <f t="shared" si="17"/>
        <v>0</v>
      </c>
      <c r="X226" s="1471"/>
      <c r="Y226" s="1467">
        <f t="shared" si="18"/>
        <v>0</v>
      </c>
      <c r="Z226" s="1468">
        <f t="shared" si="19"/>
        <v>0</v>
      </c>
      <c r="AA226" s="1468">
        <f t="shared" si="20"/>
        <v>0</v>
      </c>
      <c r="AB226" s="1468">
        <f t="shared" si="21"/>
        <v>0</v>
      </c>
      <c r="AC226" s="1469">
        <f t="shared" si="22"/>
        <v>0</v>
      </c>
      <c r="AD226" s="1469">
        <f t="shared" si="23"/>
        <v>0</v>
      </c>
      <c r="AE226" s="1469">
        <f t="shared" si="24"/>
        <v>0</v>
      </c>
      <c r="AF226" s="1468">
        <f t="shared" si="25"/>
        <v>0</v>
      </c>
      <c r="AG226" s="18"/>
      <c r="AH226" s="18"/>
    </row>
    <row r="227" spans="1:34" s="8" customFormat="1" x14ac:dyDescent="0.25">
      <c r="A227" s="1292"/>
      <c r="B227" s="1477">
        <f t="shared" si="26"/>
        <v>129</v>
      </c>
      <c r="C227" s="1352" t="s">
        <v>805</v>
      </c>
      <c r="D227" s="1515"/>
      <c r="E227" s="1515"/>
      <c r="F227" s="1515"/>
      <c r="G227" s="1506"/>
      <c r="H227" s="1506"/>
      <c r="I227" s="1506"/>
      <c r="J227" s="1503"/>
      <c r="K227" s="1539"/>
      <c r="L227" s="1539"/>
      <c r="M227" s="74"/>
      <c r="N227" s="74"/>
      <c r="O227" s="74"/>
      <c r="P227" s="1467" t="e">
        <f t="shared" si="14"/>
        <v>#N/A</v>
      </c>
      <c r="Q227" s="1468">
        <f t="shared" si="15"/>
        <v>0</v>
      </c>
      <c r="R227" s="1468">
        <f t="shared" si="27"/>
        <v>0</v>
      </c>
      <c r="S227" s="1469" t="e">
        <f t="shared" si="16"/>
        <v>#N/A</v>
      </c>
      <c r="T227" s="1469" t="e">
        <f>$D$146*'Расчет базового уровня'!$K$146*24/1000</f>
        <v>#N/A</v>
      </c>
      <c r="U227" s="1469">
        <f>$D$150*'Расчет базового уровня'!$K$170*24/1000</f>
        <v>0</v>
      </c>
      <c r="V227" s="1469">
        <f>$D$154*'Расчет базового уровня'!$K$165*24/1000</f>
        <v>0</v>
      </c>
      <c r="W227" s="1470">
        <f t="shared" si="17"/>
        <v>0</v>
      </c>
      <c r="X227" s="1471"/>
      <c r="Y227" s="1467">
        <f t="shared" si="18"/>
        <v>0</v>
      </c>
      <c r="Z227" s="1468">
        <f t="shared" si="19"/>
        <v>0</v>
      </c>
      <c r="AA227" s="1468">
        <f t="shared" si="20"/>
        <v>0</v>
      </c>
      <c r="AB227" s="1468">
        <f t="shared" si="21"/>
        <v>0</v>
      </c>
      <c r="AC227" s="1469">
        <f t="shared" si="22"/>
        <v>0</v>
      </c>
      <c r="AD227" s="1469">
        <f t="shared" si="23"/>
        <v>0</v>
      </c>
      <c r="AE227" s="1469">
        <f t="shared" si="24"/>
        <v>0</v>
      </c>
      <c r="AF227" s="1468">
        <f t="shared" si="25"/>
        <v>0</v>
      </c>
      <c r="AG227" s="18"/>
      <c r="AH227" s="18"/>
    </row>
    <row r="228" spans="1:34" s="8" customFormat="1" x14ac:dyDescent="0.25">
      <c r="A228" s="1292"/>
      <c r="B228" s="1477">
        <f t="shared" si="26"/>
        <v>130</v>
      </c>
      <c r="C228" s="1352" t="s">
        <v>806</v>
      </c>
      <c r="D228" s="1515"/>
      <c r="E228" s="1515"/>
      <c r="F228" s="1515"/>
      <c r="G228" s="1506"/>
      <c r="H228" s="1506"/>
      <c r="I228" s="1506"/>
      <c r="J228" s="1503"/>
      <c r="K228" s="1539"/>
      <c r="L228" s="1539"/>
      <c r="M228" s="74"/>
      <c r="N228" s="74"/>
      <c r="O228" s="74"/>
      <c r="P228" s="1467" t="e">
        <f t="shared" si="14"/>
        <v>#N/A</v>
      </c>
      <c r="Q228" s="1468">
        <f t="shared" si="15"/>
        <v>0</v>
      </c>
      <c r="R228" s="1468">
        <f t="shared" si="27"/>
        <v>0</v>
      </c>
      <c r="S228" s="1469" t="e">
        <f t="shared" si="16"/>
        <v>#N/A</v>
      </c>
      <c r="T228" s="1469" t="e">
        <f>$D$146*'Расчет базового уровня'!$L$146*24/1000</f>
        <v>#N/A</v>
      </c>
      <c r="U228" s="1469">
        <f>$D$150*'Расчет базового уровня'!$L$170*24/1000</f>
        <v>0</v>
      </c>
      <c r="V228" s="1469">
        <f>$D$154*'Расчет базового уровня'!$L$165*24/1000</f>
        <v>0</v>
      </c>
      <c r="W228" s="1470">
        <f t="shared" si="17"/>
        <v>0</v>
      </c>
      <c r="X228" s="1471"/>
      <c r="Y228" s="1467">
        <f t="shared" si="18"/>
        <v>0</v>
      </c>
      <c r="Z228" s="1468">
        <f t="shared" si="19"/>
        <v>0</v>
      </c>
      <c r="AA228" s="1468">
        <f t="shared" si="20"/>
        <v>0</v>
      </c>
      <c r="AB228" s="1468">
        <f t="shared" si="21"/>
        <v>0</v>
      </c>
      <c r="AC228" s="1469">
        <f t="shared" si="22"/>
        <v>0</v>
      </c>
      <c r="AD228" s="1469">
        <f t="shared" si="23"/>
        <v>0</v>
      </c>
      <c r="AE228" s="1469">
        <f t="shared" si="24"/>
        <v>0</v>
      </c>
      <c r="AF228" s="1468">
        <f t="shared" si="25"/>
        <v>0</v>
      </c>
      <c r="AG228" s="18"/>
      <c r="AH228" s="18"/>
    </row>
    <row r="229" spans="1:34" s="8" customFormat="1" x14ac:dyDescent="0.25">
      <c r="A229" s="1292"/>
      <c r="B229" s="1477">
        <f t="shared" si="26"/>
        <v>131</v>
      </c>
      <c r="C229" s="1352" t="s">
        <v>807</v>
      </c>
      <c r="D229" s="1515"/>
      <c r="E229" s="1515"/>
      <c r="F229" s="1515"/>
      <c r="G229" s="1506"/>
      <c r="H229" s="1506"/>
      <c r="I229" s="1506"/>
      <c r="J229" s="1503"/>
      <c r="K229" s="1539"/>
      <c r="L229" s="1539"/>
      <c r="M229" s="74"/>
      <c r="N229" s="74"/>
      <c r="O229" s="74"/>
      <c r="P229" s="1467" t="e">
        <f t="shared" si="14"/>
        <v>#N/A</v>
      </c>
      <c r="Q229" s="1468">
        <f t="shared" si="15"/>
        <v>0</v>
      </c>
      <c r="R229" s="1468">
        <f t="shared" si="27"/>
        <v>0</v>
      </c>
      <c r="S229" s="1469" t="e">
        <f t="shared" si="16"/>
        <v>#N/A</v>
      </c>
      <c r="T229" s="1469" t="e">
        <f>$D$146*'Расчет базового уровня'!$M$146*24/1000</f>
        <v>#N/A</v>
      </c>
      <c r="U229" s="1469">
        <f>$D$150*'Расчет базового уровня'!$M$170*24/1000</f>
        <v>0</v>
      </c>
      <c r="V229" s="1469">
        <f>$D$154*'Расчет базового уровня'!$M$165*24/1000</f>
        <v>0</v>
      </c>
      <c r="W229" s="1470">
        <f t="shared" si="17"/>
        <v>0</v>
      </c>
      <c r="X229" s="1471"/>
      <c r="Y229" s="1467">
        <f t="shared" si="18"/>
        <v>0</v>
      </c>
      <c r="Z229" s="1468">
        <f t="shared" si="19"/>
        <v>0</v>
      </c>
      <c r="AA229" s="1468">
        <f t="shared" si="20"/>
        <v>0</v>
      </c>
      <c r="AB229" s="1468">
        <f t="shared" si="21"/>
        <v>0</v>
      </c>
      <c r="AC229" s="1469">
        <f t="shared" si="22"/>
        <v>0</v>
      </c>
      <c r="AD229" s="1469">
        <f t="shared" si="23"/>
        <v>0</v>
      </c>
      <c r="AE229" s="1469">
        <f t="shared" si="24"/>
        <v>0</v>
      </c>
      <c r="AF229" s="1468">
        <f t="shared" si="25"/>
        <v>0</v>
      </c>
      <c r="AG229" s="18"/>
      <c r="AH229" s="18"/>
    </row>
    <row r="230" spans="1:34" s="8" customFormat="1" x14ac:dyDescent="0.25">
      <c r="A230" s="1292"/>
      <c r="B230" s="1477">
        <f t="shared" si="26"/>
        <v>132</v>
      </c>
      <c r="C230" s="1352" t="s">
        <v>808</v>
      </c>
      <c r="D230" s="1515"/>
      <c r="E230" s="1515"/>
      <c r="F230" s="1515"/>
      <c r="G230" s="1506"/>
      <c r="H230" s="1506"/>
      <c r="I230" s="1506"/>
      <c r="J230" s="1503"/>
      <c r="K230" s="1539"/>
      <c r="L230" s="1539"/>
      <c r="M230" s="74"/>
      <c r="N230" s="74"/>
      <c r="O230" s="74"/>
      <c r="P230" s="1467" t="e">
        <f t="shared" si="14"/>
        <v>#N/A</v>
      </c>
      <c r="Q230" s="1468">
        <f t="shared" si="15"/>
        <v>0</v>
      </c>
      <c r="R230" s="1468">
        <f t="shared" si="27"/>
        <v>0</v>
      </c>
      <c r="S230" s="1469" t="e">
        <f t="shared" si="16"/>
        <v>#N/A</v>
      </c>
      <c r="T230" s="1469" t="e">
        <f>$D$146*'Расчет базового уровня'!$N$146*24/1000</f>
        <v>#N/A</v>
      </c>
      <c r="U230" s="1469">
        <f>$D$150*'Расчет базового уровня'!$N$170*24/1000</f>
        <v>0</v>
      </c>
      <c r="V230" s="1469">
        <f>$D$154*'Расчет базового уровня'!$N$165*24/1000</f>
        <v>0</v>
      </c>
      <c r="W230" s="1470">
        <f t="shared" si="17"/>
        <v>0</v>
      </c>
      <c r="X230" s="1471"/>
      <c r="Y230" s="1467">
        <f t="shared" si="18"/>
        <v>0</v>
      </c>
      <c r="Z230" s="1468">
        <f t="shared" si="19"/>
        <v>0</v>
      </c>
      <c r="AA230" s="1468">
        <f t="shared" si="20"/>
        <v>0</v>
      </c>
      <c r="AB230" s="1468">
        <f t="shared" si="21"/>
        <v>0</v>
      </c>
      <c r="AC230" s="1469">
        <f t="shared" si="22"/>
        <v>0</v>
      </c>
      <c r="AD230" s="1469">
        <f t="shared" si="23"/>
        <v>0</v>
      </c>
      <c r="AE230" s="1469">
        <f t="shared" si="24"/>
        <v>0</v>
      </c>
      <c r="AF230" s="1468">
        <f t="shared" si="25"/>
        <v>0</v>
      </c>
      <c r="AG230" s="18"/>
      <c r="AH230" s="18"/>
    </row>
    <row r="231" spans="1:34" s="8" customFormat="1" x14ac:dyDescent="0.25">
      <c r="A231" s="1292"/>
      <c r="B231" s="1477">
        <f t="shared" si="26"/>
        <v>133</v>
      </c>
      <c r="C231" s="1352" t="s">
        <v>809</v>
      </c>
      <c r="D231" s="1515"/>
      <c r="E231" s="1515"/>
      <c r="F231" s="1515"/>
      <c r="G231" s="1506"/>
      <c r="H231" s="1506"/>
      <c r="I231" s="1506"/>
      <c r="J231" s="1503"/>
      <c r="K231" s="1539"/>
      <c r="L231" s="1539"/>
      <c r="M231" s="74"/>
      <c r="N231" s="74"/>
      <c r="O231" s="74"/>
      <c r="P231" s="1467" t="e">
        <f t="shared" si="14"/>
        <v>#N/A</v>
      </c>
      <c r="Q231" s="1468">
        <f t="shared" si="15"/>
        <v>0</v>
      </c>
      <c r="R231" s="1468">
        <f t="shared" si="27"/>
        <v>0</v>
      </c>
      <c r="S231" s="1469" t="e">
        <f t="shared" si="16"/>
        <v>#N/A</v>
      </c>
      <c r="T231" s="1469" t="e">
        <f>$D$146*'Расчет базового уровня'!$O$146*24/1000</f>
        <v>#N/A</v>
      </c>
      <c r="U231" s="1469">
        <f>$D$150*'Расчет базового уровня'!$O$170*24/1000</f>
        <v>0</v>
      </c>
      <c r="V231" s="1469">
        <f>$D$154*'Расчет базового уровня'!$O$165*24/1000</f>
        <v>0</v>
      </c>
      <c r="W231" s="1470">
        <f t="shared" si="17"/>
        <v>0</v>
      </c>
      <c r="X231" s="1471"/>
      <c r="Y231" s="1467">
        <f t="shared" si="18"/>
        <v>0</v>
      </c>
      <c r="Z231" s="1468">
        <f t="shared" si="19"/>
        <v>0</v>
      </c>
      <c r="AA231" s="1468">
        <f t="shared" si="20"/>
        <v>0</v>
      </c>
      <c r="AB231" s="1468">
        <f t="shared" si="21"/>
        <v>0</v>
      </c>
      <c r="AC231" s="1469">
        <f t="shared" si="22"/>
        <v>0</v>
      </c>
      <c r="AD231" s="1469">
        <f t="shared" si="23"/>
        <v>0</v>
      </c>
      <c r="AE231" s="1469">
        <f t="shared" si="24"/>
        <v>0</v>
      </c>
      <c r="AF231" s="1468">
        <f t="shared" si="25"/>
        <v>0</v>
      </c>
      <c r="AG231" s="18"/>
      <c r="AH231" s="18"/>
    </row>
    <row r="232" spans="1:34" s="8" customFormat="1" x14ac:dyDescent="0.25">
      <c r="A232" s="1292"/>
      <c r="B232" s="1477">
        <f t="shared" si="26"/>
        <v>134</v>
      </c>
      <c r="C232" s="1352" t="s">
        <v>482</v>
      </c>
      <c r="D232" s="1515"/>
      <c r="E232" s="1515"/>
      <c r="F232" s="1515"/>
      <c r="G232" s="1506"/>
      <c r="H232" s="1506"/>
      <c r="I232" s="1506"/>
      <c r="J232" s="1503"/>
      <c r="K232" s="1539"/>
      <c r="L232" s="1539"/>
      <c r="M232" s="74"/>
      <c r="N232" s="74"/>
      <c r="O232" s="74"/>
      <c r="P232" s="1467" t="e">
        <f t="shared" si="14"/>
        <v>#N/A</v>
      </c>
      <c r="Q232" s="1468">
        <f t="shared" si="15"/>
        <v>0</v>
      </c>
      <c r="R232" s="1468">
        <f t="shared" si="27"/>
        <v>0</v>
      </c>
      <c r="S232" s="1469" t="e">
        <f t="shared" si="16"/>
        <v>#N/A</v>
      </c>
      <c r="T232" s="1469" t="e">
        <f>$D$146*'Расчет базового уровня'!$P$146*24/1000</f>
        <v>#N/A</v>
      </c>
      <c r="U232" s="1469">
        <f>$D$150*'Расчет базового уровня'!$P$170*24/1000</f>
        <v>0</v>
      </c>
      <c r="V232" s="1469">
        <f>$D$154*'Расчет базового уровня'!$P$165*24/1000</f>
        <v>0</v>
      </c>
      <c r="W232" s="1470">
        <f t="shared" si="17"/>
        <v>0</v>
      </c>
      <c r="X232" s="1471"/>
      <c r="Y232" s="1467">
        <f t="shared" si="18"/>
        <v>0</v>
      </c>
      <c r="Z232" s="1468">
        <f t="shared" si="19"/>
        <v>0</v>
      </c>
      <c r="AA232" s="1468">
        <f t="shared" si="20"/>
        <v>0</v>
      </c>
      <c r="AB232" s="1468">
        <f t="shared" si="21"/>
        <v>0</v>
      </c>
      <c r="AC232" s="1469">
        <f t="shared" si="22"/>
        <v>0</v>
      </c>
      <c r="AD232" s="1469">
        <f t="shared" si="23"/>
        <v>0</v>
      </c>
      <c r="AE232" s="1469">
        <f t="shared" si="24"/>
        <v>0</v>
      </c>
      <c r="AF232" s="1468">
        <f t="shared" si="25"/>
        <v>0</v>
      </c>
      <c r="AG232" s="18"/>
      <c r="AH232" s="18"/>
    </row>
    <row r="233" spans="1:34" s="8" customFormat="1" x14ac:dyDescent="0.25">
      <c r="A233" s="1292"/>
      <c r="B233" s="1477">
        <f t="shared" si="26"/>
        <v>135</v>
      </c>
      <c r="C233" s="1352" t="s">
        <v>486</v>
      </c>
      <c r="D233" s="1515"/>
      <c r="E233" s="1515"/>
      <c r="F233" s="1515"/>
      <c r="G233" s="1506"/>
      <c r="H233" s="1506"/>
      <c r="I233" s="1506"/>
      <c r="J233" s="1503"/>
      <c r="K233" s="1539"/>
      <c r="L233" s="1539"/>
      <c r="M233" s="74"/>
      <c r="N233" s="74"/>
      <c r="O233" s="74"/>
      <c r="P233" s="1467" t="e">
        <f t="shared" si="14"/>
        <v>#N/A</v>
      </c>
      <c r="Q233" s="1468">
        <f t="shared" si="15"/>
        <v>0</v>
      </c>
      <c r="R233" s="1468">
        <f t="shared" si="27"/>
        <v>0</v>
      </c>
      <c r="S233" s="1469" t="e">
        <f t="shared" si="16"/>
        <v>#N/A</v>
      </c>
      <c r="T233" s="1469" t="e">
        <f>$D$146*'Расчет базового уровня'!$Q$146*24/1000</f>
        <v>#N/A</v>
      </c>
      <c r="U233" s="1469">
        <f>$D$150*'Расчет базового уровня'!$Q$170*24/1000</f>
        <v>0</v>
      </c>
      <c r="V233" s="1469">
        <f>$D$154*'Расчет базового уровня'!$Q$165*24/1000</f>
        <v>0</v>
      </c>
      <c r="W233" s="1470">
        <f t="shared" si="17"/>
        <v>0</v>
      </c>
      <c r="X233" s="1471"/>
      <c r="Y233" s="1467">
        <f t="shared" si="18"/>
        <v>0</v>
      </c>
      <c r="Z233" s="1468">
        <f t="shared" si="19"/>
        <v>0</v>
      </c>
      <c r="AA233" s="1468">
        <f t="shared" si="20"/>
        <v>0</v>
      </c>
      <c r="AB233" s="1468">
        <f t="shared" si="21"/>
        <v>0</v>
      </c>
      <c r="AC233" s="1469">
        <f t="shared" si="22"/>
        <v>0</v>
      </c>
      <c r="AD233" s="1469">
        <f t="shared" si="23"/>
        <v>0</v>
      </c>
      <c r="AE233" s="1469">
        <f t="shared" si="24"/>
        <v>0</v>
      </c>
      <c r="AF233" s="1468">
        <f t="shared" si="25"/>
        <v>0</v>
      </c>
      <c r="AG233" s="18"/>
      <c r="AH233" s="18"/>
    </row>
    <row r="234" spans="1:34" s="8" customFormat="1" x14ac:dyDescent="0.25">
      <c r="A234" s="1292"/>
      <c r="B234" s="1477">
        <f t="shared" si="26"/>
        <v>136</v>
      </c>
      <c r="C234" s="1354" t="s">
        <v>487</v>
      </c>
      <c r="D234" s="1516"/>
      <c r="E234" s="1516"/>
      <c r="F234" s="1516"/>
      <c r="G234" s="1507"/>
      <c r="H234" s="1507"/>
      <c r="I234" s="1507"/>
      <c r="J234" s="1504"/>
      <c r="K234" s="1539"/>
      <c r="L234" s="1539"/>
      <c r="M234" s="74"/>
      <c r="N234" s="74"/>
      <c r="O234" s="74"/>
      <c r="P234" s="1467" t="e">
        <f t="shared" si="14"/>
        <v>#N/A</v>
      </c>
      <c r="Q234" s="1468">
        <f t="shared" si="15"/>
        <v>0</v>
      </c>
      <c r="R234" s="1468">
        <f t="shared" si="27"/>
        <v>0</v>
      </c>
      <c r="S234" s="1469" t="e">
        <f t="shared" si="16"/>
        <v>#N/A</v>
      </c>
      <c r="T234" s="1469" t="e">
        <f>$D$146*'Расчет базового уровня'!$R$146*24/1000</f>
        <v>#N/A</v>
      </c>
      <c r="U234" s="1469">
        <f>$D$150*'Расчет базового уровня'!$R$170*24/1000</f>
        <v>0</v>
      </c>
      <c r="V234" s="1469">
        <f>$D$154*'Расчет базового уровня'!$R$165*24/1000</f>
        <v>0</v>
      </c>
      <c r="W234" s="1470">
        <f t="shared" si="17"/>
        <v>0</v>
      </c>
      <c r="X234" s="1471"/>
      <c r="Y234" s="1467">
        <f t="shared" si="18"/>
        <v>0</v>
      </c>
      <c r="Z234" s="1468">
        <f t="shared" si="19"/>
        <v>0</v>
      </c>
      <c r="AA234" s="1468">
        <f t="shared" si="20"/>
        <v>0</v>
      </c>
      <c r="AB234" s="1468">
        <f t="shared" si="21"/>
        <v>0</v>
      </c>
      <c r="AC234" s="1469">
        <f t="shared" si="22"/>
        <v>0</v>
      </c>
      <c r="AD234" s="1469">
        <f t="shared" si="23"/>
        <v>0</v>
      </c>
      <c r="AE234" s="1469">
        <f t="shared" si="24"/>
        <v>0</v>
      </c>
      <c r="AF234" s="1468">
        <f t="shared" si="25"/>
        <v>0</v>
      </c>
      <c r="AG234" s="18"/>
      <c r="AH234" s="18"/>
    </row>
    <row r="235" spans="1:34" s="8" customFormat="1" x14ac:dyDescent="0.25">
      <c r="A235" s="1292"/>
      <c r="B235" s="1475"/>
      <c r="C235" s="1350" t="s">
        <v>1000</v>
      </c>
      <c r="D235" s="1431">
        <f t="shared" ref="D235:J235" si="28">SUM(D223:D234)</f>
        <v>0</v>
      </c>
      <c r="E235" s="1431">
        <f t="shared" si="28"/>
        <v>0</v>
      </c>
      <c r="F235" s="1431">
        <f t="shared" si="28"/>
        <v>0</v>
      </c>
      <c r="G235" s="1431">
        <f t="shared" si="28"/>
        <v>0</v>
      </c>
      <c r="H235" s="1431">
        <f t="shared" si="28"/>
        <v>0</v>
      </c>
      <c r="I235" s="1431">
        <f t="shared" si="28"/>
        <v>0</v>
      </c>
      <c r="J235" s="1432">
        <f t="shared" si="28"/>
        <v>0</v>
      </c>
      <c r="K235" s="1539"/>
      <c r="L235" s="1539"/>
      <c r="M235" s="74"/>
      <c r="N235" s="74"/>
      <c r="O235" s="74"/>
      <c r="P235" s="1472" t="e">
        <f>SUM(P223:P234)</f>
        <v>#N/A</v>
      </c>
      <c r="Q235" s="1473">
        <f>SUM(Q223:Q234)</f>
        <v>0</v>
      </c>
      <c r="R235" s="1472">
        <f t="shared" ref="R235" si="29">SUM(R223:R234)</f>
        <v>0</v>
      </c>
      <c r="S235" s="1472" t="e">
        <f t="shared" ref="S235" si="30">SUM(S223:S234)</f>
        <v>#N/A</v>
      </c>
      <c r="T235" s="1472" t="e">
        <f t="shared" ref="T235" si="31">SUM(T223:T234)</f>
        <v>#N/A</v>
      </c>
      <c r="U235" s="1472">
        <f t="shared" ref="U235" si="32">SUM(U223:U234)</f>
        <v>0</v>
      </c>
      <c r="V235" s="1472">
        <f t="shared" ref="V235" si="33">SUM(V223:V234)</f>
        <v>0</v>
      </c>
      <c r="W235" s="1472">
        <f t="shared" ref="W235" si="34">SUM(W223:W234)</f>
        <v>0</v>
      </c>
      <c r="X235" s="1471"/>
      <c r="Y235" s="1467">
        <f t="shared" si="18"/>
        <v>0</v>
      </c>
      <c r="Z235" s="1468">
        <f t="shared" si="19"/>
        <v>0</v>
      </c>
      <c r="AA235" s="1468">
        <f t="shared" si="20"/>
        <v>0</v>
      </c>
      <c r="AB235" s="1468">
        <f t="shared" si="21"/>
        <v>0</v>
      </c>
      <c r="AC235" s="1469">
        <f t="shared" si="22"/>
        <v>0</v>
      </c>
      <c r="AD235" s="1469">
        <f t="shared" si="23"/>
        <v>0</v>
      </c>
      <c r="AE235" s="1469">
        <f t="shared" si="24"/>
        <v>0</v>
      </c>
      <c r="AF235" s="1468">
        <f t="shared" si="25"/>
        <v>0</v>
      </c>
      <c r="AG235" s="18"/>
      <c r="AH235" s="18"/>
    </row>
    <row r="236" spans="1:34" s="8" customFormat="1" ht="29.25" customHeight="1" x14ac:dyDescent="0.25">
      <c r="A236" s="1292"/>
      <c r="B236" s="1475"/>
      <c r="C236" s="10"/>
      <c r="D236" s="10"/>
      <c r="E236" s="1513" t="str">
        <f>IF(E235&gt;10000,"Вводите показания в ТЫС кВтч","")</f>
        <v/>
      </c>
      <c r="F236" s="1563" t="str">
        <f>IF(AND(D159&gt;0,D159*D160&gt;=0.9*F235),"Введенная мощность прочего энергетического оборудования не соответствует показаниям ПУ электроэнергии!"&amp;CHAR(10)&amp;" Проверьте мощность (возможно ошибка в единицах измерения).","")</f>
        <v/>
      </c>
      <c r="G236" s="1563"/>
      <c r="H236" s="1563"/>
      <c r="I236" s="1563"/>
      <c r="J236" s="1563"/>
      <c r="K236" s="10"/>
      <c r="L236" s="10"/>
      <c r="M236" s="10"/>
      <c r="N236" s="10"/>
      <c r="O236" s="18"/>
      <c r="P236" s="18"/>
      <c r="Q236" s="18"/>
      <c r="R236" s="18"/>
      <c r="S236" s="18"/>
      <c r="T236" s="18"/>
      <c r="U236" s="18"/>
      <c r="V236" s="18"/>
      <c r="W236" s="18"/>
      <c r="X236" s="18"/>
      <c r="Y236" s="18"/>
      <c r="Z236" s="18"/>
      <c r="AA236" s="18"/>
      <c r="AB236" s="18"/>
      <c r="AC236" s="18"/>
      <c r="AD236" s="18"/>
      <c r="AE236" s="18"/>
      <c r="AF236" s="18"/>
      <c r="AG236" s="18"/>
      <c r="AH236" s="18"/>
    </row>
    <row r="237" spans="1:34" x14ac:dyDescent="0.25">
      <c r="B237" s="1475"/>
      <c r="C237" s="10"/>
      <c r="D237" s="10"/>
      <c r="E237" s="10"/>
      <c r="F237" s="10"/>
      <c r="G237" s="10"/>
      <c r="H237" s="10"/>
      <c r="I237" s="10"/>
      <c r="J237" s="10"/>
      <c r="K237" s="10"/>
      <c r="L237" s="10"/>
      <c r="M237" s="10"/>
      <c r="N237" s="18"/>
      <c r="O237" s="18"/>
      <c r="P237" s="18"/>
      <c r="Q237" s="18"/>
      <c r="R237" s="18"/>
      <c r="S237" s="18"/>
      <c r="T237" s="18"/>
      <c r="U237" s="18"/>
      <c r="V237" s="18"/>
      <c r="W237" s="18"/>
      <c r="X237" s="18"/>
      <c r="Y237" s="18"/>
      <c r="Z237" s="18"/>
      <c r="AA237" s="18"/>
      <c r="AB237" s="18"/>
      <c r="AC237" s="18"/>
      <c r="AD237" s="18"/>
      <c r="AE237" s="18"/>
      <c r="AF237" s="18"/>
      <c r="AG237" s="18"/>
      <c r="AH237" s="18"/>
    </row>
    <row r="238" spans="1:34" ht="15.75" thickBot="1" x14ac:dyDescent="0.3">
      <c r="B238" s="1475"/>
      <c r="C238" s="10"/>
      <c r="D238" s="10"/>
      <c r="E238" s="10"/>
      <c r="F238" s="10"/>
      <c r="G238" s="10"/>
      <c r="H238" s="10"/>
      <c r="I238" s="10"/>
      <c r="J238" s="10"/>
      <c r="K238" s="10"/>
      <c r="L238" s="10"/>
      <c r="M238" s="10"/>
      <c r="N238" s="18"/>
      <c r="O238" s="18"/>
      <c r="P238" s="18"/>
      <c r="Q238" s="18"/>
      <c r="R238" s="18"/>
      <c r="S238" s="18"/>
      <c r="T238" s="18"/>
      <c r="U238" s="18"/>
      <c r="V238" s="18"/>
      <c r="W238" s="18"/>
      <c r="X238" s="18"/>
      <c r="Y238" s="18"/>
      <c r="Z238" s="18"/>
      <c r="AA238" s="18"/>
      <c r="AB238" s="18"/>
      <c r="AC238" s="18"/>
      <c r="AD238" s="18"/>
      <c r="AE238" s="18"/>
      <c r="AF238" s="18"/>
      <c r="AG238" s="18"/>
      <c r="AH238" s="18"/>
    </row>
    <row r="239" spans="1:34" ht="25.5" customHeight="1" thickBot="1" x14ac:dyDescent="0.3">
      <c r="B239" s="1476">
        <f>5/8</f>
        <v>0.625</v>
      </c>
      <c r="C239" s="1565" t="s">
        <v>1431</v>
      </c>
      <c r="D239" s="1565"/>
      <c r="E239" s="1565"/>
      <c r="F239" s="18"/>
      <c r="G239" s="18"/>
      <c r="H239" s="18"/>
      <c r="I239" s="18"/>
      <c r="J239" s="18"/>
      <c r="K239" s="18"/>
      <c r="L239" s="18"/>
      <c r="M239" s="18"/>
      <c r="N239" s="18"/>
      <c r="O239" s="18"/>
      <c r="P239" s="18"/>
      <c r="Q239" s="18"/>
      <c r="R239" s="18"/>
      <c r="S239" s="18"/>
      <c r="T239" s="18"/>
      <c r="U239" s="18"/>
      <c r="V239" s="18"/>
      <c r="W239" s="18"/>
      <c r="X239" s="18"/>
      <c r="Y239" s="18"/>
      <c r="Z239" s="18"/>
      <c r="AA239" s="18"/>
      <c r="AB239" s="18"/>
      <c r="AC239" s="18"/>
      <c r="AD239" s="18"/>
      <c r="AE239" s="18"/>
      <c r="AF239" s="18"/>
      <c r="AG239" s="18"/>
      <c r="AH239" s="18"/>
    </row>
    <row r="240" spans="1:34" s="17" customFormat="1" ht="22.5" customHeight="1" x14ac:dyDescent="0.25">
      <c r="A240" s="1292"/>
      <c r="B240" s="1477">
        <f>B234+1</f>
        <v>137</v>
      </c>
      <c r="C240" s="1408" t="s">
        <v>1865</v>
      </c>
      <c r="D240" s="1413" t="s">
        <v>724</v>
      </c>
      <c r="E240" s="1414">
        <v>2017</v>
      </c>
      <c r="F240" s="1415" t="str">
        <f ca="1">IF(OR(
        ISBLANK(D240),
        ISBLANK(E240),
        AND(
           MONTH(TODAY())&gt;2,
           E240&lt;&gt;YEAR(TODAY()))),
        "Неправильный год, или счета давно не выставляются",
        IF(TODAY()&lt;EDATE(DATEVALUE(D240&amp;" "&amp;E240),1),
                "Окончание периода оплаты позднее, чем сегодняшняя дата!",
                ""))</f>
        <v/>
      </c>
      <c r="G240" s="1416"/>
      <c r="H240" s="18"/>
      <c r="I240" s="18"/>
      <c r="J240" s="18"/>
      <c r="K240" s="18"/>
      <c r="L240" s="18"/>
      <c r="M240" s="18"/>
      <c r="N240" s="18"/>
      <c r="O240" s="18"/>
      <c r="P240" s="18"/>
      <c r="Q240" s="18"/>
      <c r="R240" s="18"/>
      <c r="S240" s="18"/>
      <c r="T240" s="18"/>
      <c r="U240" s="18"/>
      <c r="V240" s="18"/>
      <c r="W240" s="18"/>
      <c r="X240" s="18"/>
      <c r="Y240" s="18"/>
      <c r="Z240" s="18"/>
    </row>
    <row r="241" spans="1:34" s="17" customFormat="1" ht="25.5" customHeight="1" x14ac:dyDescent="0.25">
      <c r="A241" s="18"/>
      <c r="B241" s="74"/>
      <c r="C241" s="74"/>
      <c r="D241" s="74"/>
      <c r="E241" s="74"/>
      <c r="F241" s="18"/>
      <c r="G241" s="18"/>
      <c r="H241" s="18"/>
      <c r="I241" s="18"/>
      <c r="J241" s="18"/>
      <c r="K241" s="18"/>
      <c r="L241" s="18"/>
      <c r="M241" s="18"/>
      <c r="N241" s="18"/>
      <c r="O241" s="18"/>
      <c r="P241" s="18"/>
      <c r="Q241" s="18"/>
      <c r="R241" s="18"/>
      <c r="S241" s="18"/>
      <c r="T241" s="18"/>
      <c r="U241" s="18"/>
      <c r="V241" s="18"/>
      <c r="W241" s="18"/>
      <c r="X241" s="18"/>
      <c r="Y241" s="18"/>
      <c r="Z241" s="18"/>
      <c r="AA241" s="18"/>
      <c r="AB241" s="18"/>
      <c r="AC241" s="18"/>
      <c r="AD241" s="18"/>
      <c r="AE241" s="18"/>
      <c r="AF241" s="18"/>
      <c r="AG241" s="18"/>
      <c r="AH241" s="18"/>
    </row>
    <row r="242" spans="1:34" s="17" customFormat="1" ht="25.5" customHeight="1" x14ac:dyDescent="0.25">
      <c r="A242" s="18"/>
      <c r="B242" s="74"/>
      <c r="C242" s="1573" t="s">
        <v>1281</v>
      </c>
      <c r="D242" s="1573"/>
      <c r="E242" s="1573"/>
      <c r="F242" s="1416"/>
      <c r="G242" s="18"/>
      <c r="H242" s="18"/>
      <c r="I242" s="18"/>
      <c r="J242" s="18"/>
      <c r="K242" s="18"/>
      <c r="L242" s="18"/>
      <c r="M242" s="18"/>
      <c r="N242" s="18"/>
      <c r="O242" s="18"/>
      <c r="P242" s="18"/>
      <c r="Q242" s="18"/>
      <c r="R242" s="18"/>
      <c r="S242" s="18"/>
      <c r="T242" s="18"/>
      <c r="U242" s="18"/>
      <c r="V242" s="18"/>
      <c r="W242" s="18"/>
      <c r="X242" s="18"/>
      <c r="Y242" s="18"/>
      <c r="Z242" s="18"/>
      <c r="AA242" s="18"/>
      <c r="AB242" s="18"/>
      <c r="AC242" s="18"/>
      <c r="AD242" s="18"/>
      <c r="AE242" s="18"/>
      <c r="AF242" s="18"/>
      <c r="AG242" s="18"/>
      <c r="AH242" s="18"/>
    </row>
    <row r="243" spans="1:34" s="17" customFormat="1" ht="29.25" customHeight="1" x14ac:dyDescent="0.25">
      <c r="A243" s="1292"/>
      <c r="B243" s="1475"/>
      <c r="C243" s="1412" t="s">
        <v>1868</v>
      </c>
      <c r="D243" s="1492" t="str">
        <f>CONCATENATE(E240-2,"/",E240-1," гг.")</f>
        <v>2015/2016 гг.</v>
      </c>
      <c r="E243" s="1492" t="str">
        <f>CONCATENATE(E240-1,"/",E240," гг.")</f>
        <v>2016/2017 гг.</v>
      </c>
      <c r="F243" s="18"/>
      <c r="G243" s="18"/>
      <c r="H243" s="18"/>
      <c r="I243" s="18"/>
      <c r="J243" s="18"/>
      <c r="K243" s="18"/>
      <c r="L243" s="18"/>
      <c r="M243" s="18"/>
      <c r="N243" s="18"/>
      <c r="O243" s="18"/>
      <c r="P243" s="18"/>
      <c r="Q243" s="18"/>
      <c r="R243" s="18"/>
      <c r="S243" s="18"/>
      <c r="T243" s="18"/>
      <c r="U243" s="18"/>
      <c r="V243" s="18"/>
      <c r="W243" s="18"/>
      <c r="X243" s="18"/>
      <c r="Y243" s="18"/>
      <c r="Z243" s="18"/>
      <c r="AA243" s="18"/>
      <c r="AB243" s="18"/>
      <c r="AC243" s="18"/>
      <c r="AD243" s="18"/>
      <c r="AE243" s="18"/>
      <c r="AF243" s="18"/>
      <c r="AG243" s="18"/>
      <c r="AH243" s="18"/>
    </row>
    <row r="244" spans="1:34" s="17" customFormat="1" ht="28.5" customHeight="1" x14ac:dyDescent="0.25">
      <c r="A244" s="1292"/>
      <c r="B244" s="1477">
        <f>B240+1</f>
        <v>138</v>
      </c>
      <c r="C244" s="1417" t="s">
        <v>1869</v>
      </c>
      <c r="D244" s="1409" t="s">
        <v>1867</v>
      </c>
      <c r="E244" s="1371"/>
      <c r="F244" s="18"/>
      <c r="G244" s="18"/>
      <c r="H244" s="18"/>
      <c r="I244" s="18"/>
      <c r="J244" s="18"/>
      <c r="K244" s="18"/>
      <c r="L244" s="18"/>
      <c r="M244" s="18"/>
      <c r="N244" s="18"/>
      <c r="O244" s="18"/>
      <c r="P244" s="18"/>
      <c r="Q244" s="18"/>
      <c r="R244" s="18"/>
      <c r="S244" s="18"/>
      <c r="T244" s="18"/>
      <c r="U244" s="18"/>
      <c r="V244" s="18"/>
      <c r="W244" s="18"/>
      <c r="X244" s="18"/>
      <c r="Y244" s="18"/>
      <c r="Z244" s="18"/>
      <c r="AA244" s="18"/>
      <c r="AB244" s="18"/>
      <c r="AC244" s="18"/>
      <c r="AD244" s="18"/>
      <c r="AE244" s="18"/>
      <c r="AF244" s="18"/>
      <c r="AG244" s="18"/>
      <c r="AH244" s="18"/>
    </row>
    <row r="245" spans="1:34" s="17" customFormat="1" ht="27.75" customHeight="1" x14ac:dyDescent="0.25">
      <c r="A245" s="1292"/>
      <c r="B245" s="1477">
        <f>B244+1</f>
        <v>139</v>
      </c>
      <c r="C245" s="1417" t="s">
        <v>1870</v>
      </c>
      <c r="D245" s="1371"/>
      <c r="E245" s="1371"/>
      <c r="F245" s="1576" t="str">
        <f>IFERROR(IF(OR(
                MONTH(DATEVALUE(D240&amp;" "&amp;E240))&lt;4,
                E245&gt;EDATE(DATEVALUE(D240&amp;" "&amp;E240),1)-1),
                "Не вводите окончание отопительного сезона "&amp;CONCATENATE(E240-1,"/",E240," гг.")&amp;", если оно позже, чем месяц последнего счета!",
                ""),
        "")</f>
        <v/>
      </c>
      <c r="G245" s="1577"/>
      <c r="H245" s="18"/>
      <c r="I245" s="18"/>
      <c r="J245" s="18"/>
      <c r="K245" s="18"/>
      <c r="L245" s="18"/>
      <c r="M245" s="18"/>
      <c r="N245" s="18"/>
      <c r="O245" s="18"/>
      <c r="P245" s="18"/>
      <c r="Q245" s="18"/>
      <c r="R245" s="18"/>
      <c r="S245" s="18"/>
      <c r="T245" s="18"/>
      <c r="U245" s="18"/>
      <c r="V245" s="18"/>
      <c r="W245" s="18"/>
      <c r="X245" s="18"/>
      <c r="Y245" s="18"/>
      <c r="Z245" s="18"/>
      <c r="AA245" s="18"/>
      <c r="AB245" s="18"/>
      <c r="AC245" s="18"/>
      <c r="AD245" s="18"/>
      <c r="AE245" s="18"/>
      <c r="AF245" s="18"/>
      <c r="AG245" s="18"/>
      <c r="AH245" s="18"/>
    </row>
    <row r="246" spans="1:34" s="17" customFormat="1" ht="23.25" customHeight="1" x14ac:dyDescent="0.25">
      <c r="A246" s="1292"/>
      <c r="B246" s="1475"/>
      <c r="C246" s="1410" t="s">
        <v>1871</v>
      </c>
      <c r="D246" s="1574">
        <f>IF(OR(AND(ISBLANK(E245),ISBLANK(D245)),ISBLANK(E244)),0,IF(E245="",(DATE(E240-1,12,31)-E244+D245-DATE(E240-1,1,1)),E245-E244))</f>
        <v>0</v>
      </c>
      <c r="E246" s="1575"/>
      <c r="F246" s="1416"/>
      <c r="G246" s="18"/>
      <c r="H246" s="18"/>
      <c r="I246" s="18"/>
      <c r="J246" s="18"/>
      <c r="K246" s="18"/>
      <c r="L246" s="18"/>
      <c r="M246" s="18"/>
      <c r="N246" s="18"/>
      <c r="O246" s="18"/>
      <c r="P246" s="18"/>
      <c r="Q246" s="18"/>
      <c r="R246" s="18"/>
      <c r="S246" s="18"/>
      <c r="T246" s="18"/>
      <c r="U246" s="18"/>
      <c r="V246" s="18"/>
      <c r="W246" s="18"/>
      <c r="X246" s="18"/>
      <c r="Y246" s="18"/>
      <c r="Z246" s="18"/>
      <c r="AA246" s="18"/>
      <c r="AB246" s="18"/>
      <c r="AC246" s="18"/>
      <c r="AD246" s="18"/>
      <c r="AE246" s="18"/>
      <c r="AF246" s="18"/>
      <c r="AG246" s="18"/>
      <c r="AH246" s="18"/>
    </row>
    <row r="247" spans="1:34" ht="29.25" customHeight="1" x14ac:dyDescent="0.25">
      <c r="B247" s="1475"/>
      <c r="C247" s="1411"/>
      <c r="D247" s="1446" t="str">
        <f>IF(OR(AND(E245="",D245=""),E244="",D245&gt;E244,AND(ISBLANK(E245)=0,E244&gt;E245)),"Введите корректные даты ОП! ","")</f>
        <v xml:space="preserve">Введите корректные даты ОП! </v>
      </c>
      <c r="E247" s="1446" t="str">
        <f>IFERROR(
        IF(OR(
             D246&lt;0.8*'Расчет базового уровня'!D146,
             D246&gt;1.2*'Расчет базового уровня'!D146),
                "Продолжительность сильно отличается от норматива, проверьте даты",
                ""),
        IF(D246&gt;365,
                "Неверно указаны дата начала или завершения отопительного сезона!",
                ""))</f>
        <v/>
      </c>
      <c r="F247" s="18"/>
      <c r="G247" s="18"/>
      <c r="H247" s="18"/>
      <c r="I247" s="18"/>
      <c r="J247" s="18"/>
      <c r="K247" s="18"/>
      <c r="L247" s="18"/>
      <c r="M247" s="18"/>
      <c r="N247" s="18"/>
      <c r="O247" s="18"/>
      <c r="P247" s="18"/>
      <c r="Q247" s="18"/>
      <c r="R247" s="18"/>
      <c r="S247" s="18"/>
      <c r="T247" s="18"/>
      <c r="U247" s="18"/>
      <c r="V247" s="18"/>
      <c r="W247" s="18"/>
      <c r="X247" s="18"/>
      <c r="Y247" s="18"/>
      <c r="Z247" s="18"/>
      <c r="AA247" s="18"/>
      <c r="AB247" s="18"/>
      <c r="AC247" s="18"/>
      <c r="AD247" s="18"/>
      <c r="AE247" s="18"/>
      <c r="AF247" s="18"/>
      <c r="AG247" s="18"/>
      <c r="AH247" s="18"/>
    </row>
    <row r="248" spans="1:34" s="17" customFormat="1" ht="29.25" customHeight="1" x14ac:dyDescent="0.25">
      <c r="A248" s="1292"/>
      <c r="B248" s="1475"/>
      <c r="C248" s="18"/>
      <c r="D248" s="1359"/>
      <c r="E248" s="1359"/>
      <c r="F248" s="18"/>
      <c r="G248" s="18"/>
      <c r="H248" s="18"/>
      <c r="I248" s="18"/>
      <c r="J248" s="18"/>
      <c r="K248" s="18"/>
      <c r="L248" s="18"/>
      <c r="M248" s="18"/>
      <c r="N248" s="18"/>
      <c r="O248" s="18"/>
      <c r="P248" s="18"/>
      <c r="Q248" s="18"/>
      <c r="R248" s="18"/>
      <c r="S248" s="18"/>
      <c r="T248" s="18"/>
      <c r="U248" s="18"/>
      <c r="V248" s="18"/>
      <c r="W248" s="18"/>
      <c r="X248" s="18"/>
      <c r="Y248" s="18"/>
      <c r="Z248" s="18"/>
      <c r="AA248" s="18"/>
      <c r="AB248" s="18"/>
      <c r="AC248" s="18"/>
      <c r="AD248" s="18"/>
      <c r="AE248" s="18"/>
      <c r="AF248" s="18"/>
      <c r="AG248" s="18"/>
      <c r="AH248" s="18"/>
    </row>
    <row r="249" spans="1:34" s="17" customFormat="1" ht="15" customHeight="1" x14ac:dyDescent="0.25">
      <c r="A249" s="1292"/>
      <c r="B249" s="1477"/>
      <c r="C249" s="1434" t="s">
        <v>1422</v>
      </c>
      <c r="D249" s="1526">
        <f>IF(E245="",D245,E245)</f>
        <v>0</v>
      </c>
      <c r="E249" s="18"/>
      <c r="F249" s="18"/>
      <c r="G249" s="18"/>
      <c r="H249" s="18"/>
      <c r="I249" s="18"/>
      <c r="J249" s="18"/>
      <c r="K249" s="18"/>
      <c r="L249" s="18"/>
      <c r="M249" s="18"/>
      <c r="N249" s="18"/>
      <c r="O249" s="18"/>
      <c r="P249" s="18"/>
      <c r="Q249" s="18"/>
      <c r="R249" s="18"/>
      <c r="S249" s="18"/>
      <c r="T249" s="18"/>
      <c r="U249" s="18"/>
      <c r="V249" s="18"/>
      <c r="W249" s="18"/>
      <c r="X249" s="18"/>
      <c r="Y249" s="18"/>
      <c r="Z249" s="18"/>
      <c r="AA249" s="18"/>
      <c r="AB249" s="18"/>
      <c r="AC249" s="18"/>
      <c r="AD249" s="18"/>
      <c r="AE249" s="18"/>
      <c r="AF249" s="18"/>
      <c r="AG249" s="18"/>
      <c r="AH249" s="18"/>
    </row>
    <row r="250" spans="1:34" x14ac:dyDescent="0.25">
      <c r="B250" s="1475"/>
      <c r="C250" s="1568" t="s">
        <v>995</v>
      </c>
      <c r="D250" s="1569" t="s">
        <v>1836</v>
      </c>
      <c r="E250" s="1570"/>
      <c r="F250" s="1568" t="s">
        <v>1837</v>
      </c>
      <c r="G250" s="1568"/>
      <c r="H250" s="1571" t="s">
        <v>1282</v>
      </c>
      <c r="I250" s="1572" t="s">
        <v>1287</v>
      </c>
      <c r="J250" s="1572" t="s">
        <v>1288</v>
      </c>
      <c r="K250" s="1566" t="s">
        <v>1290</v>
      </c>
      <c r="L250" s="18"/>
      <c r="M250" s="18"/>
      <c r="N250" s="18"/>
      <c r="O250" s="18"/>
      <c r="P250" s="18"/>
      <c r="Q250" s="18"/>
      <c r="R250" s="18"/>
      <c r="S250" s="18"/>
      <c r="T250" s="18"/>
      <c r="U250" s="18"/>
      <c r="V250" s="18"/>
      <c r="W250" s="18"/>
      <c r="X250" s="18"/>
      <c r="Y250" s="18"/>
      <c r="Z250" s="18"/>
      <c r="AA250" s="18"/>
      <c r="AB250" s="18"/>
      <c r="AC250" s="18"/>
      <c r="AD250" s="18"/>
      <c r="AE250" s="18"/>
      <c r="AF250" s="18"/>
      <c r="AG250" s="18"/>
      <c r="AH250" s="18"/>
    </row>
    <row r="251" spans="1:34" ht="39.6" customHeight="1" x14ac:dyDescent="0.25">
      <c r="B251" s="1475"/>
      <c r="C251" s="1568"/>
      <c r="D251" s="1361" t="s">
        <v>1002</v>
      </c>
      <c r="E251" s="1361" t="s">
        <v>1283</v>
      </c>
      <c r="F251" s="1361" t="s">
        <v>1284</v>
      </c>
      <c r="G251" s="1361" t="s">
        <v>1285</v>
      </c>
      <c r="H251" s="1571"/>
      <c r="I251" s="1572"/>
      <c r="J251" s="1572"/>
      <c r="K251" s="1567"/>
      <c r="L251" s="18"/>
      <c r="M251" s="18"/>
      <c r="N251" s="18"/>
      <c r="O251" s="18"/>
      <c r="P251" s="18"/>
      <c r="Q251" s="18"/>
      <c r="R251" s="18"/>
      <c r="S251" s="18"/>
      <c r="T251" s="18"/>
      <c r="U251" s="18"/>
      <c r="V251" s="18"/>
      <c r="W251" s="18"/>
      <c r="X251" s="18"/>
      <c r="Y251" s="18"/>
      <c r="Z251" s="18"/>
      <c r="AA251" s="18"/>
      <c r="AB251" s="18"/>
      <c r="AC251" s="18"/>
      <c r="AD251" s="18"/>
      <c r="AE251" s="18"/>
      <c r="AF251" s="18"/>
      <c r="AG251" s="18"/>
      <c r="AH251" s="18"/>
    </row>
    <row r="252" spans="1:34" x14ac:dyDescent="0.25">
      <c r="B252" s="1477">
        <f>B245+1</f>
        <v>140</v>
      </c>
      <c r="C252" s="1362" t="s">
        <v>488</v>
      </c>
      <c r="D252" s="1447" t="e">
        <f>Климатология!AI2</f>
        <v>#N/A</v>
      </c>
      <c r="E252" s="1518"/>
      <c r="F252" s="1447" t="e">
        <f>Климатология!AL2</f>
        <v>#N/A</v>
      </c>
      <c r="G252" s="1447">
        <f>($D$83-IF(I252&lt;0.5*J252,8,E252))*I252</f>
        <v>620</v>
      </c>
      <c r="H252" s="1451" t="e">
        <f>IF(G252=0,0,F252/G252)</f>
        <v>#N/A</v>
      </c>
      <c r="I252" s="1447">
        <v>31</v>
      </c>
      <c r="J252" s="1447">
        <v>31</v>
      </c>
      <c r="K252" s="1452">
        <f>IF(I252&lt;0.5*J252,8,E252)*I252</f>
        <v>0</v>
      </c>
      <c r="L252" s="1360">
        <f>IF(AND(I252&gt;0,E252=0),1,0)</f>
        <v>1</v>
      </c>
      <c r="M252" s="18"/>
      <c r="N252" s="18"/>
      <c r="O252" s="18"/>
      <c r="P252" s="18"/>
      <c r="Q252" s="18"/>
      <c r="R252" s="18"/>
      <c r="S252" s="18"/>
      <c r="T252" s="18"/>
      <c r="U252" s="18"/>
      <c r="V252" s="18"/>
      <c r="W252" s="18"/>
      <c r="X252" s="18"/>
      <c r="Y252" s="18"/>
      <c r="Z252" s="18"/>
      <c r="AA252" s="18"/>
      <c r="AB252" s="18"/>
      <c r="AC252" s="18"/>
      <c r="AD252" s="18"/>
      <c r="AE252" s="18"/>
      <c r="AF252" s="18"/>
      <c r="AG252" s="18"/>
      <c r="AH252" s="18"/>
    </row>
    <row r="253" spans="1:34" x14ac:dyDescent="0.25">
      <c r="B253" s="1477">
        <f>B252+1</f>
        <v>141</v>
      </c>
      <c r="C253" s="1363" t="s">
        <v>489</v>
      </c>
      <c r="D253" s="1448" t="e">
        <f>Климатология!AM2</f>
        <v>#N/A</v>
      </c>
      <c r="E253" s="1519"/>
      <c r="F253" s="1448" t="e">
        <f>Климатология!AP2</f>
        <v>#N/A</v>
      </c>
      <c r="G253" s="1448">
        <f t="shared" ref="G253:G255" si="35">($D$83-IF(I253&lt;0.5*J253,8,E253))*I253</f>
        <v>0</v>
      </c>
      <c r="H253" s="1453">
        <f t="shared" ref="H253:H264" si="36">IF(G253=0,0,F253/G253)</f>
        <v>0</v>
      </c>
      <c r="I253" s="1448">
        <f>IF(MONTH($D$249)=2,DAY($D$249),IF(MONTH($D$249)&lt;2,0,J253))</f>
        <v>0</v>
      </c>
      <c r="J253" s="1448">
        <v>28</v>
      </c>
      <c r="K253" s="1454">
        <f t="shared" ref="K253:K263" si="37">IF(I253&lt;0.5*J253,8,E253)*I253</f>
        <v>0</v>
      </c>
      <c r="L253" s="1360">
        <f t="shared" ref="L253:L264" si="38">IF(AND(I253&gt;0,E253=0),1,0)</f>
        <v>0</v>
      </c>
      <c r="M253" s="18"/>
      <c r="N253" s="18"/>
      <c r="O253" s="18"/>
      <c r="P253" s="18"/>
      <c r="Q253" s="18"/>
      <c r="R253" s="18"/>
      <c r="S253" s="18"/>
      <c r="T253" s="18"/>
      <c r="U253" s="18"/>
      <c r="V253" s="18"/>
      <c r="W253" s="18"/>
      <c r="X253" s="18"/>
      <c r="Y253" s="18"/>
      <c r="Z253" s="18"/>
      <c r="AA253" s="18"/>
      <c r="AB253" s="18"/>
      <c r="AC253" s="18"/>
      <c r="AD253" s="18"/>
      <c r="AE253" s="18"/>
      <c r="AF253" s="18"/>
      <c r="AG253" s="18"/>
      <c r="AH253" s="18"/>
    </row>
    <row r="254" spans="1:34" x14ac:dyDescent="0.25">
      <c r="B254" s="1477">
        <f t="shared" ref="B254:B263" si="39">B253+1</f>
        <v>142</v>
      </c>
      <c r="C254" s="1363" t="s">
        <v>490</v>
      </c>
      <c r="D254" s="1448" t="e">
        <f>Климатология!AQ2</f>
        <v>#N/A</v>
      </c>
      <c r="E254" s="1519"/>
      <c r="F254" s="1448" t="e">
        <f>Климатология!AT2</f>
        <v>#N/A</v>
      </c>
      <c r="G254" s="1448">
        <f t="shared" si="35"/>
        <v>0</v>
      </c>
      <c r="H254" s="1453">
        <f t="shared" si="36"/>
        <v>0</v>
      </c>
      <c r="I254" s="1448">
        <f>IF(MONTH($D$249)=3,DAY($D$249),IF(MONTH($D$249)&lt;3,0,J254))</f>
        <v>0</v>
      </c>
      <c r="J254" s="1448">
        <v>31</v>
      </c>
      <c r="K254" s="1454">
        <f t="shared" si="37"/>
        <v>0</v>
      </c>
      <c r="L254" s="1360">
        <f t="shared" si="38"/>
        <v>0</v>
      </c>
      <c r="M254" s="18"/>
      <c r="N254" s="18"/>
      <c r="O254" s="18"/>
      <c r="P254" s="18"/>
      <c r="Q254" s="18"/>
      <c r="R254" s="18"/>
      <c r="S254" s="18"/>
      <c r="T254" s="18"/>
      <c r="U254" s="18"/>
      <c r="V254" s="18"/>
      <c r="W254" s="18"/>
      <c r="X254" s="18"/>
      <c r="Y254" s="18"/>
      <c r="Z254" s="18"/>
      <c r="AA254" s="18"/>
      <c r="AB254" s="18"/>
      <c r="AC254" s="18"/>
      <c r="AD254" s="18"/>
      <c r="AE254" s="18"/>
      <c r="AF254" s="18"/>
      <c r="AG254" s="18"/>
      <c r="AH254" s="18"/>
    </row>
    <row r="255" spans="1:34" x14ac:dyDescent="0.25">
      <c r="B255" s="1477">
        <f t="shared" si="39"/>
        <v>143</v>
      </c>
      <c r="C255" s="1363" t="s">
        <v>491</v>
      </c>
      <c r="D255" s="1448" t="e">
        <f>Климатология!AU2</f>
        <v>#N/A</v>
      </c>
      <c r="E255" s="1519"/>
      <c r="F255" s="1448" t="e">
        <f>Климатология!AX2</f>
        <v>#N/A</v>
      </c>
      <c r="G255" s="1448">
        <f t="shared" si="35"/>
        <v>0</v>
      </c>
      <c r="H255" s="1453">
        <f t="shared" si="36"/>
        <v>0</v>
      </c>
      <c r="I255" s="1448">
        <f>IF(MONTH($D$249)=4,DAY($D$249),IF(MONTH($D$249)&lt;4,0,J255))</f>
        <v>0</v>
      </c>
      <c r="J255" s="1448">
        <v>30</v>
      </c>
      <c r="K255" s="1454">
        <f t="shared" si="37"/>
        <v>0</v>
      </c>
      <c r="L255" s="1360">
        <f t="shared" si="38"/>
        <v>0</v>
      </c>
      <c r="M255" s="18"/>
      <c r="N255" s="18"/>
      <c r="O255" s="18"/>
      <c r="P255" s="18"/>
      <c r="Q255" s="18"/>
      <c r="R255" s="18"/>
      <c r="S255" s="18"/>
      <c r="T255" s="18"/>
      <c r="U255" s="18"/>
      <c r="V255" s="18"/>
      <c r="W255" s="18"/>
      <c r="X255" s="18"/>
      <c r="Y255" s="18"/>
      <c r="Z255" s="18"/>
      <c r="AA255" s="18"/>
      <c r="AB255" s="18"/>
      <c r="AC255" s="18"/>
      <c r="AD255" s="18"/>
      <c r="AE255" s="18"/>
      <c r="AF255" s="18"/>
      <c r="AG255" s="18"/>
      <c r="AH255" s="18"/>
    </row>
    <row r="256" spans="1:34" x14ac:dyDescent="0.25">
      <c r="B256" s="1477">
        <f t="shared" si="39"/>
        <v>144</v>
      </c>
      <c r="C256" s="1363" t="s">
        <v>805</v>
      </c>
      <c r="D256" s="1448" t="e">
        <f>Климатология!AY2</f>
        <v>#N/A</v>
      </c>
      <c r="E256" s="1519"/>
      <c r="F256" s="1448" t="e">
        <f>Климатология!BB2</f>
        <v>#N/A</v>
      </c>
      <c r="G256" s="1448">
        <f t="shared" ref="G256:G261" si="40">($D$83-IF(I256&lt;0.5*J256,8,E256))*I256</f>
        <v>0</v>
      </c>
      <c r="H256" s="1453">
        <f t="shared" si="36"/>
        <v>0</v>
      </c>
      <c r="I256" s="1448">
        <f>IF(MONTH($D$249)=5,DAY($D$249),IF(MONTH($D$249)&lt;5,0,J256))</f>
        <v>0</v>
      </c>
      <c r="J256" s="1448">
        <v>31</v>
      </c>
      <c r="K256" s="1454">
        <f t="shared" si="37"/>
        <v>0</v>
      </c>
      <c r="L256" s="1360">
        <f t="shared" si="38"/>
        <v>0</v>
      </c>
      <c r="M256" s="18"/>
      <c r="N256" s="18"/>
      <c r="O256" s="18"/>
      <c r="P256" s="18"/>
      <c r="Q256" s="18"/>
      <c r="R256" s="18"/>
      <c r="S256" s="18"/>
      <c r="T256" s="18"/>
      <c r="U256" s="18"/>
      <c r="V256" s="18"/>
      <c r="W256" s="18"/>
      <c r="X256" s="18"/>
      <c r="Y256" s="18"/>
      <c r="Z256" s="18"/>
      <c r="AA256" s="18"/>
      <c r="AB256" s="18"/>
      <c r="AC256" s="18"/>
      <c r="AD256" s="18"/>
      <c r="AE256" s="18"/>
      <c r="AF256" s="18"/>
      <c r="AG256" s="18"/>
      <c r="AH256" s="18"/>
    </row>
    <row r="257" spans="1:34" x14ac:dyDescent="0.25">
      <c r="B257" s="1477">
        <f t="shared" si="39"/>
        <v>145</v>
      </c>
      <c r="C257" s="1363" t="s">
        <v>806</v>
      </c>
      <c r="D257" s="1448" t="e">
        <f>Климатология!BC2</f>
        <v>#N/A</v>
      </c>
      <c r="E257" s="1519"/>
      <c r="F257" s="1448" t="e">
        <f>Климатология!BF2</f>
        <v>#N/A</v>
      </c>
      <c r="G257" s="1448">
        <f t="shared" si="40"/>
        <v>0</v>
      </c>
      <c r="H257" s="1453">
        <f t="shared" si="36"/>
        <v>0</v>
      </c>
      <c r="I257" s="1448">
        <f>IF(MONTH($D$249)=6,DAY($D$249),IF(MONTH($D$249)&lt;6,0,J257))</f>
        <v>0</v>
      </c>
      <c r="J257" s="1448">
        <v>30</v>
      </c>
      <c r="K257" s="1454">
        <f t="shared" si="37"/>
        <v>0</v>
      </c>
      <c r="L257" s="1360">
        <f t="shared" si="38"/>
        <v>0</v>
      </c>
      <c r="M257" s="18"/>
      <c r="N257" s="18"/>
      <c r="O257" s="18"/>
      <c r="P257" s="18"/>
      <c r="Q257" s="18"/>
      <c r="R257" s="18"/>
      <c r="S257" s="18"/>
      <c r="T257" s="18"/>
      <c r="U257" s="18"/>
      <c r="V257" s="18"/>
      <c r="W257" s="18"/>
      <c r="X257" s="18"/>
      <c r="Y257" s="18"/>
      <c r="Z257" s="18"/>
      <c r="AA257" s="18"/>
      <c r="AB257" s="18"/>
      <c r="AC257" s="18"/>
      <c r="AD257" s="18"/>
      <c r="AE257" s="18"/>
      <c r="AF257" s="18"/>
      <c r="AG257" s="18"/>
      <c r="AH257" s="18"/>
    </row>
    <row r="258" spans="1:34" x14ac:dyDescent="0.25">
      <c r="B258" s="1477">
        <f t="shared" si="39"/>
        <v>146</v>
      </c>
      <c r="C258" s="1363" t="s">
        <v>807</v>
      </c>
      <c r="D258" s="1448" t="e">
        <f>Климатология!K2</f>
        <v>#N/A</v>
      </c>
      <c r="E258" s="1519"/>
      <c r="F258" s="1448" t="e">
        <f>Климатология!N2</f>
        <v>#N/A</v>
      </c>
      <c r="G258" s="1448">
        <f t="shared" si="40"/>
        <v>0</v>
      </c>
      <c r="H258" s="1453">
        <f t="shared" si="36"/>
        <v>0</v>
      </c>
      <c r="I258" s="1448">
        <f>IF(MONTH($D$249)=7,DAY($D$249),IF(MONTH($D$249)&lt;7,0,J258))</f>
        <v>0</v>
      </c>
      <c r="J258" s="1448">
        <v>31</v>
      </c>
      <c r="K258" s="1454">
        <f t="shared" si="37"/>
        <v>0</v>
      </c>
      <c r="L258" s="1360">
        <f t="shared" si="38"/>
        <v>0</v>
      </c>
      <c r="M258" s="18"/>
      <c r="N258" s="18"/>
      <c r="O258" s="18"/>
      <c r="P258" s="18"/>
      <c r="Q258" s="18"/>
      <c r="R258" s="18"/>
      <c r="S258" s="18"/>
      <c r="T258" s="18"/>
      <c r="U258" s="18"/>
      <c r="V258" s="18"/>
      <c r="W258" s="18"/>
      <c r="X258" s="18"/>
      <c r="Y258" s="18"/>
      <c r="Z258" s="18"/>
      <c r="AA258" s="18"/>
      <c r="AB258" s="18"/>
      <c r="AC258" s="18"/>
      <c r="AD258" s="18"/>
      <c r="AE258" s="18"/>
      <c r="AF258" s="18"/>
      <c r="AG258" s="18"/>
      <c r="AH258" s="18"/>
    </row>
    <row r="259" spans="1:34" x14ac:dyDescent="0.25">
      <c r="B259" s="1477">
        <f t="shared" si="39"/>
        <v>147</v>
      </c>
      <c r="C259" s="1363" t="s">
        <v>808</v>
      </c>
      <c r="D259" s="1448" t="e">
        <f>Климатология!O2</f>
        <v>#N/A</v>
      </c>
      <c r="E259" s="1519"/>
      <c r="F259" s="1448" t="e">
        <f>Климатология!R2</f>
        <v>#N/A</v>
      </c>
      <c r="G259" s="1448">
        <f t="shared" si="40"/>
        <v>620</v>
      </c>
      <c r="H259" s="1453" t="e">
        <f t="shared" si="36"/>
        <v>#N/A</v>
      </c>
      <c r="I259" s="1448">
        <f>IF(MONTH($E$244)=8,J259-DAY($E$244),IF(MONTH($E$244)&lt;8,J259,0))</f>
        <v>31</v>
      </c>
      <c r="J259" s="1448">
        <v>31</v>
      </c>
      <c r="K259" s="1454">
        <f t="shared" si="37"/>
        <v>0</v>
      </c>
      <c r="L259" s="1360">
        <f t="shared" si="38"/>
        <v>1</v>
      </c>
      <c r="M259" s="18"/>
      <c r="N259" s="18"/>
      <c r="O259" s="18"/>
      <c r="P259" s="18"/>
      <c r="Q259" s="18"/>
      <c r="R259" s="18"/>
      <c r="S259" s="18"/>
      <c r="T259" s="18"/>
      <c r="U259" s="18"/>
      <c r="V259" s="18"/>
      <c r="W259" s="18"/>
      <c r="X259" s="18"/>
      <c r="Y259" s="18"/>
      <c r="Z259" s="18"/>
      <c r="AA259" s="18"/>
      <c r="AB259" s="18"/>
      <c r="AC259" s="18"/>
      <c r="AD259" s="18"/>
      <c r="AE259" s="18"/>
      <c r="AF259" s="18"/>
      <c r="AG259" s="18"/>
      <c r="AH259" s="18"/>
    </row>
    <row r="260" spans="1:34" x14ac:dyDescent="0.25">
      <c r="B260" s="1477">
        <f t="shared" si="39"/>
        <v>148</v>
      </c>
      <c r="C260" s="1363" t="s">
        <v>809</v>
      </c>
      <c r="D260" s="1448" t="e">
        <f>Климатология!S2</f>
        <v>#N/A</v>
      </c>
      <c r="E260" s="1519"/>
      <c r="F260" s="1448" t="e">
        <f>Климатология!V2</f>
        <v>#N/A</v>
      </c>
      <c r="G260" s="1448">
        <f t="shared" si="40"/>
        <v>600</v>
      </c>
      <c r="H260" s="1453" t="e">
        <f t="shared" si="36"/>
        <v>#N/A</v>
      </c>
      <c r="I260" s="1448">
        <f>IF(MONTH($E$244)=9,J260-DAY($E$244),IF(MONTH($E$244)&lt;9,J260,0))</f>
        <v>30</v>
      </c>
      <c r="J260" s="1448">
        <v>30</v>
      </c>
      <c r="K260" s="1454">
        <f t="shared" si="37"/>
        <v>0</v>
      </c>
      <c r="L260" s="1360">
        <f t="shared" si="38"/>
        <v>1</v>
      </c>
      <c r="M260" s="18"/>
      <c r="N260" s="18"/>
      <c r="O260" s="18"/>
      <c r="P260" s="18"/>
      <c r="Q260" s="18"/>
      <c r="R260" s="18"/>
      <c r="S260" s="18"/>
      <c r="T260" s="18"/>
      <c r="U260" s="18"/>
      <c r="V260" s="18"/>
      <c r="W260" s="18"/>
      <c r="X260" s="18"/>
      <c r="Y260" s="18"/>
      <c r="Z260" s="18"/>
      <c r="AA260" s="18"/>
      <c r="AB260" s="18"/>
      <c r="AC260" s="18"/>
      <c r="AD260" s="18"/>
      <c r="AE260" s="18"/>
      <c r="AF260" s="18"/>
      <c r="AG260" s="18"/>
      <c r="AH260" s="18"/>
    </row>
    <row r="261" spans="1:34" x14ac:dyDescent="0.25">
      <c r="B261" s="1477">
        <f t="shared" si="39"/>
        <v>149</v>
      </c>
      <c r="C261" s="1363" t="s">
        <v>482</v>
      </c>
      <c r="D261" s="1448" t="e">
        <f>Климатология!W2</f>
        <v>#N/A</v>
      </c>
      <c r="E261" s="1519"/>
      <c r="F261" s="1448" t="e">
        <f>Климатология!Z2</f>
        <v>#N/A</v>
      </c>
      <c r="G261" s="1448">
        <f t="shared" si="40"/>
        <v>620</v>
      </c>
      <c r="H261" s="1453" t="e">
        <f t="shared" si="36"/>
        <v>#N/A</v>
      </c>
      <c r="I261" s="1448">
        <f>IF(MONTH(E244)=10,J261-DAY(E244),IF(MONTH(E244)&lt;10,J261,0))</f>
        <v>31</v>
      </c>
      <c r="J261" s="1448">
        <v>31</v>
      </c>
      <c r="K261" s="1454">
        <f t="shared" si="37"/>
        <v>0</v>
      </c>
      <c r="L261" s="1360">
        <f t="shared" si="38"/>
        <v>1</v>
      </c>
      <c r="M261" s="18"/>
      <c r="N261" s="18"/>
      <c r="O261" s="18"/>
      <c r="P261" s="18"/>
      <c r="Q261" s="18"/>
      <c r="R261" s="18"/>
      <c r="S261" s="18"/>
      <c r="T261" s="18"/>
      <c r="U261" s="18"/>
      <c r="V261" s="18"/>
      <c r="W261" s="18"/>
      <c r="X261" s="18"/>
      <c r="Y261" s="18"/>
      <c r="Z261" s="18"/>
      <c r="AA261" s="18"/>
      <c r="AB261" s="18"/>
      <c r="AC261" s="18"/>
      <c r="AD261" s="18"/>
      <c r="AE261" s="18"/>
      <c r="AF261" s="18"/>
      <c r="AG261" s="18"/>
      <c r="AH261" s="18"/>
    </row>
    <row r="262" spans="1:34" x14ac:dyDescent="0.25">
      <c r="B262" s="1477">
        <f t="shared" si="39"/>
        <v>150</v>
      </c>
      <c r="C262" s="1363" t="s">
        <v>486</v>
      </c>
      <c r="D262" s="1448" t="e">
        <f>Климатология!AA2</f>
        <v>#N/A</v>
      </c>
      <c r="E262" s="1519"/>
      <c r="F262" s="1454" t="e">
        <f>Климатология!AD2</f>
        <v>#N/A</v>
      </c>
      <c r="G262" s="1448">
        <f t="shared" ref="G262:G263" si="41">($D$83-IF(I262&lt;0.5*J262,8,E262))*I262</f>
        <v>600</v>
      </c>
      <c r="H262" s="1453" t="e">
        <f t="shared" si="36"/>
        <v>#N/A</v>
      </c>
      <c r="I262" s="1448">
        <f>IF(MONTH(D249)=11,J262-DAY(D249),IF(MONTH(D249)&lt;11,J262,0))</f>
        <v>30</v>
      </c>
      <c r="J262" s="1448">
        <v>30</v>
      </c>
      <c r="K262" s="1454">
        <f>IF(I262&lt;0.5*J262,8,E262)*I262</f>
        <v>0</v>
      </c>
      <c r="L262" s="1360">
        <f t="shared" si="38"/>
        <v>1</v>
      </c>
      <c r="M262" s="18"/>
      <c r="N262" s="18"/>
      <c r="O262" s="18"/>
      <c r="P262" s="18"/>
      <c r="Q262" s="18"/>
      <c r="R262" s="18"/>
      <c r="S262" s="18"/>
      <c r="T262" s="18"/>
      <c r="U262" s="18"/>
      <c r="V262" s="18"/>
      <c r="W262" s="18"/>
      <c r="X262" s="18"/>
      <c r="Y262" s="18"/>
      <c r="Z262" s="18"/>
      <c r="AA262" s="18"/>
      <c r="AB262" s="18"/>
      <c r="AC262" s="18"/>
      <c r="AD262" s="18"/>
      <c r="AE262" s="18"/>
      <c r="AF262" s="18"/>
      <c r="AG262" s="18"/>
      <c r="AH262" s="18"/>
    </row>
    <row r="263" spans="1:34" x14ac:dyDescent="0.25">
      <c r="B263" s="1477">
        <f t="shared" si="39"/>
        <v>151</v>
      </c>
      <c r="C263" s="1364" t="s">
        <v>487</v>
      </c>
      <c r="D263" s="1449" t="e">
        <f>Климатология!AE2</f>
        <v>#N/A</v>
      </c>
      <c r="E263" s="1520"/>
      <c r="F263" s="1449" t="e">
        <f>Климатология!AH2</f>
        <v>#N/A</v>
      </c>
      <c r="G263" s="1449">
        <f t="shared" si="41"/>
        <v>620</v>
      </c>
      <c r="H263" s="1455" t="e">
        <f t="shared" si="36"/>
        <v>#N/A</v>
      </c>
      <c r="I263" s="1449">
        <f>IF(MONTH(D249)=12,J263-DAY(D249),IF(MONTH(D249)&lt;12,J263,0))</f>
        <v>31</v>
      </c>
      <c r="J263" s="1449">
        <v>31</v>
      </c>
      <c r="K263" s="1456">
        <f t="shared" si="37"/>
        <v>0</v>
      </c>
      <c r="L263" s="1360">
        <f t="shared" si="38"/>
        <v>1</v>
      </c>
      <c r="M263" s="18"/>
      <c r="N263" s="18"/>
      <c r="O263" s="18"/>
      <c r="P263" s="18"/>
      <c r="Q263" s="18"/>
      <c r="R263" s="18"/>
      <c r="S263" s="18"/>
      <c r="T263" s="18"/>
      <c r="U263" s="18"/>
      <c r="V263" s="18"/>
      <c r="W263" s="18"/>
      <c r="X263" s="18"/>
      <c r="Y263" s="18"/>
      <c r="Z263" s="18"/>
      <c r="AA263" s="18"/>
      <c r="AB263" s="18"/>
      <c r="AC263" s="18"/>
      <c r="AD263" s="18"/>
      <c r="AE263" s="18"/>
      <c r="AF263" s="18"/>
      <c r="AG263" s="18"/>
      <c r="AH263" s="18"/>
    </row>
    <row r="264" spans="1:34" x14ac:dyDescent="0.25">
      <c r="B264" s="1475"/>
      <c r="C264" s="1365" t="s">
        <v>1286</v>
      </c>
      <c r="D264" s="1450" t="e">
        <f>Климатология!F2</f>
        <v>#N/A</v>
      </c>
      <c r="E264" s="1433" t="str">
        <f>K264</f>
        <v/>
      </c>
      <c r="F264" s="1450" t="e">
        <f>Климатология!I2</f>
        <v>#N/A</v>
      </c>
      <c r="G264" s="1457" t="e">
        <f>($D$83-E264)*D246</f>
        <v>#VALUE!</v>
      </c>
      <c r="H264" s="1458" t="e">
        <f t="shared" si="36"/>
        <v>#VALUE!</v>
      </c>
      <c r="I264" s="1457"/>
      <c r="J264" s="1457"/>
      <c r="K264" s="1459" t="str">
        <f>IF(D246&lt;&gt;0,SUM(K252:K263)/D246,"")</f>
        <v/>
      </c>
      <c r="L264" s="1360">
        <f t="shared" si="38"/>
        <v>0</v>
      </c>
      <c r="M264" s="18"/>
      <c r="N264" s="18"/>
      <c r="O264" s="18"/>
      <c r="P264" s="18"/>
      <c r="Q264" s="18"/>
      <c r="R264" s="18"/>
      <c r="S264" s="18"/>
      <c r="T264" s="18"/>
      <c r="U264" s="18"/>
      <c r="V264" s="18"/>
      <c r="W264" s="18"/>
      <c r="X264" s="18"/>
      <c r="Y264" s="18"/>
      <c r="Z264" s="18"/>
      <c r="AA264" s="18"/>
      <c r="AB264" s="18"/>
      <c r="AC264" s="18"/>
      <c r="AD264" s="18"/>
      <c r="AE264" s="18"/>
      <c r="AF264" s="18"/>
      <c r="AG264" s="18"/>
      <c r="AH264" s="18"/>
    </row>
    <row r="265" spans="1:34" ht="15.75" thickBot="1" x14ac:dyDescent="0.3">
      <c r="B265" s="1475"/>
      <c r="C265" s="18"/>
      <c r="D265" s="18"/>
      <c r="E265" s="18"/>
      <c r="F265" s="18"/>
      <c r="G265" s="18"/>
      <c r="H265" s="18"/>
      <c r="I265" s="18"/>
      <c r="J265" s="18"/>
      <c r="K265" s="18"/>
      <c r="L265" s="18"/>
      <c r="M265" s="18"/>
      <c r="N265" s="18"/>
      <c r="O265" s="18"/>
      <c r="P265" s="18"/>
      <c r="Q265" s="18"/>
      <c r="R265" s="18"/>
      <c r="S265" s="18"/>
      <c r="T265" s="18"/>
      <c r="U265" s="18"/>
      <c r="V265" s="18"/>
      <c r="W265" s="18"/>
      <c r="X265" s="18"/>
      <c r="Y265" s="18"/>
      <c r="Z265" s="18"/>
      <c r="AA265" s="18"/>
      <c r="AB265" s="18"/>
      <c r="AC265" s="18"/>
      <c r="AD265" s="18"/>
      <c r="AE265" s="18"/>
      <c r="AF265" s="18"/>
      <c r="AG265" s="18"/>
      <c r="AH265" s="18"/>
    </row>
    <row r="266" spans="1:34" s="17" customFormat="1" ht="25.5" customHeight="1" thickBot="1" x14ac:dyDescent="0.3">
      <c r="A266" s="1292"/>
      <c r="B266" s="1476">
        <f>6/8</f>
        <v>0.75</v>
      </c>
      <c r="C266" s="1549" t="s">
        <v>1317</v>
      </c>
      <c r="D266" s="1550"/>
      <c r="E266" s="18"/>
      <c r="F266" s="18"/>
      <c r="G266" s="18"/>
      <c r="H266" s="18"/>
      <c r="I266" s="18"/>
      <c r="J266" s="18"/>
      <c r="K266" s="18"/>
      <c r="L266" s="18"/>
      <c r="M266" s="18"/>
      <c r="N266" s="18"/>
      <c r="O266" s="18"/>
      <c r="P266" s="18"/>
      <c r="Q266" s="18"/>
      <c r="R266" s="18"/>
      <c r="S266" s="18"/>
      <c r="T266" s="18"/>
      <c r="U266" s="18"/>
      <c r="V266" s="18"/>
      <c r="W266" s="18"/>
      <c r="X266" s="18"/>
      <c r="Y266" s="18"/>
      <c r="Z266" s="18"/>
      <c r="AA266" s="18"/>
      <c r="AB266" s="18"/>
      <c r="AC266" s="18"/>
      <c r="AD266" s="18"/>
      <c r="AE266" s="18"/>
      <c r="AF266" s="18"/>
      <c r="AG266" s="18"/>
      <c r="AH266" s="18"/>
    </row>
    <row r="267" spans="1:34" s="17" customFormat="1" x14ac:dyDescent="0.25">
      <c r="A267" s="1292"/>
      <c r="B267" s="1475"/>
      <c r="C267" s="18"/>
      <c r="D267" s="18"/>
      <c r="E267" s="18"/>
      <c r="F267" s="18"/>
      <c r="G267" s="18"/>
      <c r="H267" s="18"/>
      <c r="I267" s="18"/>
      <c r="J267" s="18"/>
      <c r="K267" s="18"/>
      <c r="L267" s="18"/>
      <c r="M267" s="18"/>
      <c r="N267" s="18"/>
      <c r="O267" s="18"/>
      <c r="P267" s="18"/>
      <c r="Q267" s="18"/>
      <c r="R267" s="18"/>
      <c r="S267" s="18"/>
      <c r="T267" s="18"/>
      <c r="U267" s="18"/>
      <c r="V267" s="18"/>
      <c r="W267" s="18"/>
      <c r="X267" s="18"/>
      <c r="Y267" s="18"/>
      <c r="Z267" s="18"/>
      <c r="AA267" s="18"/>
      <c r="AB267" s="18"/>
      <c r="AC267" s="18"/>
      <c r="AD267" s="18"/>
      <c r="AE267" s="18"/>
      <c r="AF267" s="18"/>
      <c r="AG267" s="18"/>
      <c r="AH267" s="18"/>
    </row>
    <row r="268" spans="1:34" ht="19.5" customHeight="1" x14ac:dyDescent="0.25">
      <c r="B268" s="1475"/>
      <c r="C268" s="1366" t="s">
        <v>1838</v>
      </c>
      <c r="D268" s="1366" t="s">
        <v>1839</v>
      </c>
      <c r="E268" s="18"/>
      <c r="F268" s="18"/>
      <c r="G268" s="18"/>
      <c r="H268" s="18"/>
      <c r="I268" s="18"/>
      <c r="J268" s="18"/>
      <c r="K268" s="18"/>
      <c r="L268" s="18"/>
      <c r="M268" s="18"/>
      <c r="N268" s="18"/>
      <c r="O268" s="18"/>
      <c r="P268" s="18"/>
      <c r="Q268" s="18"/>
      <c r="R268" s="18"/>
      <c r="S268" s="18"/>
      <c r="T268" s="18"/>
      <c r="U268" s="18"/>
      <c r="V268" s="18"/>
      <c r="W268" s="18"/>
      <c r="X268" s="18"/>
      <c r="Y268" s="18"/>
      <c r="Z268" s="18"/>
      <c r="AA268" s="18"/>
      <c r="AB268" s="18"/>
      <c r="AC268" s="18"/>
      <c r="AD268" s="18"/>
      <c r="AE268" s="18"/>
      <c r="AF268" s="18"/>
      <c r="AG268" s="18"/>
      <c r="AH268" s="18"/>
    </row>
    <row r="269" spans="1:34" x14ac:dyDescent="0.25">
      <c r="B269" s="1475"/>
      <c r="C269" s="1367" t="s">
        <v>1314</v>
      </c>
      <c r="D269" s="1367" t="s">
        <v>1316</v>
      </c>
      <c r="E269" s="18"/>
      <c r="F269" s="18"/>
      <c r="G269" s="18"/>
      <c r="H269" s="18"/>
      <c r="I269" s="18"/>
      <c r="J269" s="18"/>
      <c r="K269" s="18"/>
      <c r="L269" s="18"/>
      <c r="M269" s="18"/>
      <c r="N269" s="18"/>
      <c r="O269" s="18"/>
      <c r="P269" s="18"/>
      <c r="Q269" s="18"/>
      <c r="R269" s="18"/>
      <c r="S269" s="18"/>
      <c r="T269" s="18"/>
      <c r="U269" s="18"/>
      <c r="V269" s="18"/>
      <c r="W269" s="18"/>
      <c r="X269" s="18"/>
      <c r="Y269" s="18"/>
      <c r="Z269" s="18"/>
      <c r="AA269" s="18"/>
      <c r="AB269" s="18"/>
      <c r="AC269" s="18"/>
      <c r="AD269" s="18"/>
      <c r="AE269" s="18"/>
      <c r="AF269" s="18"/>
      <c r="AG269" s="18"/>
      <c r="AH269" s="18"/>
    </row>
    <row r="270" spans="1:34" x14ac:dyDescent="0.25">
      <c r="B270" s="1477">
        <f>B263+1</f>
        <v>152</v>
      </c>
      <c r="C270" s="1368"/>
      <c r="D270" s="1368"/>
      <c r="E270" s="716" t="str">
        <f>IF(OR(C270="",D270=""),"Введите тарифы!","")</f>
        <v>Введите тарифы!</v>
      </c>
      <c r="F270" s="18"/>
      <c r="G270" s="18"/>
      <c r="H270" s="18"/>
      <c r="I270" s="18"/>
      <c r="J270" s="18"/>
      <c r="K270" s="18"/>
      <c r="L270" s="18"/>
      <c r="M270" s="18"/>
      <c r="N270" s="18"/>
      <c r="O270" s="18"/>
      <c r="P270" s="18"/>
      <c r="Q270" s="18"/>
      <c r="R270" s="18"/>
      <c r="S270" s="18"/>
      <c r="T270" s="18"/>
      <c r="U270" s="18"/>
      <c r="V270" s="18"/>
      <c r="W270" s="18"/>
      <c r="X270" s="18"/>
      <c r="Y270" s="18"/>
      <c r="Z270" s="18"/>
      <c r="AA270" s="18"/>
      <c r="AB270" s="18"/>
      <c r="AC270" s="18"/>
      <c r="AD270" s="18"/>
      <c r="AE270" s="18"/>
      <c r="AF270" s="18"/>
      <c r="AG270" s="18"/>
      <c r="AH270" s="18"/>
    </row>
    <row r="271" spans="1:34" ht="63" customHeight="1" x14ac:dyDescent="0.25">
      <c r="B271" s="1475"/>
      <c r="C271" s="18"/>
      <c r="D271" s="1460" t="s">
        <v>1529</v>
      </c>
      <c r="E271" s="18"/>
      <c r="F271" s="18"/>
      <c r="G271" s="18"/>
      <c r="H271" s="18"/>
      <c r="I271" s="18"/>
      <c r="J271" s="18"/>
      <c r="K271" s="18"/>
      <c r="L271" s="18"/>
      <c r="M271" s="18"/>
      <c r="N271" s="18"/>
      <c r="O271" s="18"/>
      <c r="P271" s="18"/>
      <c r="Q271" s="18"/>
      <c r="R271" s="18"/>
      <c r="S271" s="18"/>
      <c r="T271" s="18"/>
      <c r="U271" s="18"/>
      <c r="V271" s="18"/>
      <c r="W271" s="18"/>
      <c r="X271" s="18"/>
      <c r="Y271" s="18"/>
      <c r="Z271" s="18"/>
      <c r="AA271" s="18"/>
      <c r="AB271" s="18"/>
      <c r="AC271" s="18"/>
      <c r="AD271" s="18"/>
      <c r="AE271" s="18"/>
      <c r="AF271" s="18"/>
      <c r="AG271" s="18"/>
      <c r="AH271" s="18"/>
    </row>
    <row r="272" spans="1:34" ht="7.5" customHeight="1" x14ac:dyDescent="0.25">
      <c r="B272" s="1475"/>
      <c r="C272" s="26"/>
      <c r="D272" s="26"/>
      <c r="E272" s="26"/>
      <c r="F272" s="18"/>
      <c r="G272" s="18"/>
      <c r="H272" s="18"/>
      <c r="I272" s="18"/>
      <c r="J272" s="18"/>
      <c r="K272" s="18"/>
      <c r="L272" s="18"/>
      <c r="M272" s="18"/>
      <c r="N272" s="18"/>
      <c r="O272" s="18"/>
      <c r="P272" s="18"/>
      <c r="Q272" s="18"/>
      <c r="R272" s="18"/>
      <c r="S272" s="18"/>
      <c r="T272" s="18"/>
      <c r="U272" s="18"/>
      <c r="V272" s="18"/>
      <c r="W272" s="18"/>
      <c r="X272" s="18"/>
      <c r="Y272" s="18"/>
      <c r="Z272" s="18"/>
      <c r="AA272" s="18"/>
      <c r="AB272" s="18"/>
      <c r="AC272" s="18"/>
      <c r="AD272" s="18"/>
      <c r="AE272" s="18"/>
      <c r="AF272" s="18"/>
      <c r="AG272" s="18"/>
      <c r="AH272" s="18"/>
    </row>
    <row r="273" spans="1:34" ht="7.5" customHeight="1" thickBot="1" x14ac:dyDescent="0.3">
      <c r="B273" s="1475"/>
      <c r="C273" s="18"/>
      <c r="D273" s="18"/>
      <c r="E273" s="18"/>
      <c r="F273" s="18"/>
      <c r="G273" s="18"/>
      <c r="H273" s="18"/>
      <c r="I273" s="18"/>
      <c r="J273" s="18"/>
      <c r="K273" s="18"/>
      <c r="L273" s="18"/>
      <c r="M273" s="18"/>
      <c r="N273" s="18"/>
      <c r="O273" s="18"/>
      <c r="P273" s="18"/>
      <c r="Q273" s="18"/>
      <c r="R273" s="18"/>
      <c r="S273" s="18"/>
      <c r="T273" s="18"/>
      <c r="U273" s="18"/>
      <c r="V273" s="18"/>
      <c r="W273" s="18"/>
      <c r="X273" s="18"/>
      <c r="Y273" s="18"/>
      <c r="Z273" s="18"/>
      <c r="AA273" s="18"/>
      <c r="AB273" s="18"/>
      <c r="AC273" s="18"/>
      <c r="AD273" s="18"/>
      <c r="AE273" s="18"/>
      <c r="AF273" s="18"/>
      <c r="AG273" s="18"/>
      <c r="AH273" s="18"/>
    </row>
    <row r="274" spans="1:34" ht="25.5" customHeight="1" thickBot="1" x14ac:dyDescent="0.35">
      <c r="B274" s="1476">
        <f>7/8</f>
        <v>0.875</v>
      </c>
      <c r="C274" s="1564" t="s">
        <v>1643</v>
      </c>
      <c r="D274" s="1564"/>
      <c r="E274" s="1564"/>
      <c r="F274" s="1564"/>
      <c r="G274" s="18"/>
      <c r="H274" s="18"/>
      <c r="I274" s="18"/>
      <c r="J274" s="18"/>
      <c r="K274" s="18"/>
      <c r="L274" s="18"/>
      <c r="M274" s="18"/>
      <c r="N274" s="18"/>
      <c r="O274" s="18"/>
      <c r="P274" s="18"/>
      <c r="Q274" s="18"/>
      <c r="R274" s="18"/>
      <c r="S274" s="18"/>
      <c r="T274" s="18"/>
      <c r="U274" s="18"/>
      <c r="V274" s="18"/>
      <c r="W274" s="18"/>
      <c r="X274" s="18"/>
      <c r="Y274" s="18"/>
      <c r="Z274" s="18"/>
      <c r="AA274" s="18"/>
      <c r="AB274" s="18"/>
      <c r="AC274" s="18"/>
      <c r="AD274" s="18"/>
      <c r="AE274" s="18"/>
      <c r="AF274" s="18"/>
      <c r="AG274" s="18"/>
      <c r="AH274" s="18"/>
    </row>
    <row r="275" spans="1:34" x14ac:dyDescent="0.25">
      <c r="B275" s="1475"/>
      <c r="C275" s="19"/>
      <c r="D275" s="19"/>
      <c r="E275" s="15"/>
      <c r="F275" s="19"/>
      <c r="G275" s="18"/>
      <c r="H275" s="18"/>
      <c r="I275" s="18"/>
      <c r="J275" s="18"/>
      <c r="K275" s="18"/>
      <c r="L275" s="18"/>
      <c r="M275" s="18"/>
      <c r="N275" s="18"/>
      <c r="O275" s="18"/>
      <c r="P275" s="18"/>
      <c r="Q275" s="18"/>
      <c r="R275" s="18"/>
      <c r="S275" s="18"/>
      <c r="T275" s="18"/>
      <c r="U275" s="18"/>
      <c r="V275" s="18"/>
      <c r="W275" s="18"/>
      <c r="X275" s="18"/>
      <c r="Y275" s="18"/>
      <c r="Z275" s="18"/>
      <c r="AA275" s="18"/>
      <c r="AB275" s="18"/>
      <c r="AC275" s="18"/>
      <c r="AD275" s="18"/>
      <c r="AE275" s="18"/>
      <c r="AF275" s="18"/>
      <c r="AG275" s="18"/>
      <c r="AH275" s="18"/>
    </row>
    <row r="276" spans="1:34" s="2" customFormat="1" ht="25.5" customHeight="1" x14ac:dyDescent="0.25">
      <c r="A276" s="1292"/>
      <c r="B276" s="1475"/>
      <c r="C276" s="1370">
        <v>1</v>
      </c>
      <c r="D276" s="14" t="s">
        <v>1642</v>
      </c>
      <c r="E276" s="1461" t="str">
        <f>IF(D14="Пожалуйста, выберите","Выберите серию или вариант - нет в списке","")</f>
        <v/>
      </c>
      <c r="F276" s="1462" t="str">
        <f>IF(E276="","Введено верно","")</f>
        <v>Введено верно</v>
      </c>
      <c r="G276" s="18"/>
      <c r="H276" s="18"/>
      <c r="I276" s="18"/>
      <c r="J276" s="18"/>
      <c r="K276" s="18"/>
      <c r="L276" s="18"/>
      <c r="M276" s="18"/>
      <c r="N276" s="18"/>
      <c r="O276" s="18"/>
      <c r="P276" s="18"/>
      <c r="Q276" s="18"/>
      <c r="R276" s="18"/>
      <c r="S276" s="18"/>
      <c r="T276" s="18"/>
      <c r="U276" s="18"/>
      <c r="V276" s="18"/>
      <c r="W276" s="18"/>
      <c r="X276" s="18"/>
      <c r="Y276" s="18"/>
      <c r="Z276" s="18"/>
      <c r="AA276" s="18"/>
      <c r="AB276" s="18"/>
      <c r="AC276" s="18"/>
      <c r="AD276" s="18"/>
      <c r="AE276" s="18"/>
      <c r="AF276" s="18"/>
      <c r="AG276" s="18"/>
      <c r="AH276" s="18"/>
    </row>
    <row r="277" spans="1:34" s="2" customFormat="1" ht="25.5" customHeight="1" x14ac:dyDescent="0.25">
      <c r="A277" s="1292"/>
      <c r="B277" s="1475"/>
      <c r="C277" s="1370">
        <v>2</v>
      </c>
      <c r="D277" s="14" t="s">
        <v>1645</v>
      </c>
      <c r="E277" s="1461" t="str">
        <f>IF(OR(D17="",D19="",D20="",D22="",D12="",D10="",D11="",F16&lt;&gt;""),"Неполный ввод общей информации","")</f>
        <v>Неполный ввод общей информации</v>
      </c>
      <c r="F277" s="1462" t="str">
        <f>IF(E277="","Введено верно","")</f>
        <v/>
      </c>
      <c r="G277" s="18"/>
      <c r="H277" s="18"/>
      <c r="I277" s="18"/>
      <c r="J277" s="18"/>
      <c r="K277" s="18"/>
      <c r="L277" s="18"/>
      <c r="M277" s="18"/>
      <c r="N277" s="18"/>
      <c r="O277" s="18"/>
      <c r="P277" s="18"/>
      <c r="Q277" s="18"/>
      <c r="R277" s="18"/>
      <c r="S277" s="18"/>
      <c r="T277" s="18"/>
      <c r="U277" s="18"/>
      <c r="V277" s="18"/>
      <c r="W277" s="18"/>
      <c r="X277" s="18"/>
      <c r="Y277" s="18"/>
      <c r="Z277" s="18"/>
      <c r="AA277" s="18"/>
      <c r="AB277" s="18"/>
      <c r="AC277" s="18"/>
      <c r="AD277" s="18"/>
      <c r="AE277" s="18"/>
      <c r="AF277" s="18"/>
      <c r="AG277" s="18"/>
      <c r="AH277" s="18"/>
    </row>
    <row r="278" spans="1:34" s="2" customFormat="1" ht="25.5" customHeight="1" x14ac:dyDescent="0.25">
      <c r="A278" s="1292"/>
      <c r="B278" s="1475"/>
      <c r="C278" s="1370">
        <v>3</v>
      </c>
      <c r="D278" s="14" t="s">
        <v>1639</v>
      </c>
      <c r="E278" s="1461" t="str">
        <f>IF(AND(E67="Введено верно"),"","Ошибки во вводе объемно-планировочных характеристик")</f>
        <v>Ошибки во вводе объемно-планировочных характеристик</v>
      </c>
      <c r="F278" s="1462" t="str">
        <f t="shared" ref="F278:F288" si="42">IF(E278="","Введено верно","")</f>
        <v/>
      </c>
      <c r="G278" s="18"/>
      <c r="H278" s="18"/>
      <c r="I278" s="18"/>
      <c r="J278" s="18"/>
      <c r="K278" s="18"/>
      <c r="L278" s="18"/>
      <c r="M278" s="18"/>
      <c r="N278" s="18"/>
      <c r="O278" s="18"/>
      <c r="P278" s="18"/>
      <c r="Q278" s="18"/>
      <c r="R278" s="18"/>
      <c r="S278" s="18"/>
      <c r="T278" s="18"/>
      <c r="U278" s="18"/>
      <c r="V278" s="18"/>
      <c r="W278" s="18"/>
      <c r="X278" s="18"/>
      <c r="Y278" s="18"/>
      <c r="Z278" s="18"/>
      <c r="AA278" s="18"/>
      <c r="AB278" s="18"/>
      <c r="AC278" s="18"/>
      <c r="AD278" s="18"/>
      <c r="AE278" s="18"/>
      <c r="AF278" s="18"/>
      <c r="AG278" s="18"/>
      <c r="AH278" s="18"/>
    </row>
    <row r="279" spans="1:34" s="2" customFormat="1" ht="25.5" customHeight="1" x14ac:dyDescent="0.25">
      <c r="A279" s="1292"/>
      <c r="B279" s="1475"/>
      <c r="C279" s="1370">
        <v>4</v>
      </c>
      <c r="D279" s="14" t="s">
        <v>1647</v>
      </c>
      <c r="E279" s="1461" t="str">
        <f>IF(D179="","","Введите температурный график (поля 99-100)")</f>
        <v>Введите температурный график (поля 99-100)</v>
      </c>
      <c r="F279" s="1462" t="str">
        <f t="shared" si="42"/>
        <v/>
      </c>
      <c r="G279" s="18"/>
      <c r="H279" s="18"/>
      <c r="I279" s="18"/>
      <c r="J279" s="18"/>
      <c r="K279" s="18"/>
      <c r="L279" s="18"/>
      <c r="M279" s="18"/>
      <c r="N279" s="18"/>
      <c r="O279" s="18"/>
      <c r="P279" s="18"/>
      <c r="Q279" s="18"/>
      <c r="R279" s="18"/>
      <c r="S279" s="18"/>
      <c r="T279" s="18"/>
      <c r="U279" s="18"/>
      <c r="V279" s="18"/>
      <c r="W279" s="18"/>
      <c r="X279" s="18"/>
      <c r="Y279" s="18"/>
      <c r="Z279" s="18"/>
      <c r="AA279" s="18"/>
      <c r="AB279" s="18"/>
      <c r="AC279" s="18"/>
      <c r="AD279" s="18"/>
      <c r="AE279" s="18"/>
      <c r="AF279" s="18"/>
      <c r="AG279" s="18"/>
      <c r="AH279" s="18"/>
    </row>
    <row r="280" spans="1:34" s="2" customFormat="1" ht="25.5" customHeight="1" x14ac:dyDescent="0.25">
      <c r="A280" s="1292"/>
      <c r="B280" s="1475"/>
      <c r="C280" s="1370">
        <v>5</v>
      </c>
      <c r="D280" s="14" t="s">
        <v>1638</v>
      </c>
      <c r="E280" s="1461" t="str">
        <f>IF(AND(CGVS=1,OR(F206=0,F207=0,F208=0,F209=0,F210=0,F211=0,F212=0,F213=0,F214=0,F215=0,F216=0,F217=0)),"Неполный ввод водоразбора по месяцам!","")</f>
        <v>Неполный ввод водоразбора по месяцам!</v>
      </c>
      <c r="F280" s="1462" t="str">
        <f>IF(E280="","Введено верно","")</f>
        <v/>
      </c>
      <c r="G280" s="18"/>
      <c r="H280" s="18"/>
      <c r="I280" s="18"/>
      <c r="J280" s="18"/>
      <c r="K280" s="18"/>
      <c r="L280" s="18"/>
      <c r="M280" s="18"/>
      <c r="N280" s="18"/>
      <c r="O280" s="18"/>
      <c r="P280" s="18"/>
      <c r="Q280" s="18"/>
      <c r="R280" s="18"/>
      <c r="S280" s="18"/>
      <c r="T280" s="18"/>
      <c r="U280" s="18"/>
      <c r="V280" s="18"/>
      <c r="W280" s="18"/>
      <c r="X280" s="18"/>
      <c r="Y280" s="18"/>
      <c r="Z280" s="18"/>
      <c r="AA280" s="18"/>
      <c r="AB280" s="18"/>
      <c r="AC280" s="18"/>
      <c r="AD280" s="18"/>
      <c r="AE280" s="18"/>
      <c r="AF280" s="18"/>
      <c r="AG280" s="18"/>
      <c r="AH280" s="18"/>
    </row>
    <row r="281" spans="1:34" s="2" customFormat="1" ht="25.5" customHeight="1" x14ac:dyDescent="0.25">
      <c r="A281" s="1292"/>
      <c r="B281" s="1475"/>
      <c r="C281" s="1370">
        <v>6</v>
      </c>
      <c r="D281" s="14" t="s">
        <v>1841</v>
      </c>
      <c r="E281" s="1461" t="str">
        <f>IF(AND('Система ГВС'!F17=1,OR('Ввод исходных данных'!E218=0,'Ввод исходных данных'!E218="")),"Вы отметили наличие циркуляционного трубопровода ГВС, но не ввели циркуляционный расход по месяцам","")</f>
        <v/>
      </c>
      <c r="F281" s="1462" t="str">
        <f>IF(E281="","Ошибок нет","")</f>
        <v>Ошибок нет</v>
      </c>
      <c r="G281" s="18"/>
      <c r="H281" s="18"/>
      <c r="I281" s="18"/>
      <c r="J281" s="18"/>
      <c r="K281" s="18"/>
      <c r="L281" s="18"/>
      <c r="M281" s="18"/>
      <c r="N281" s="18"/>
      <c r="O281" s="18"/>
      <c r="P281" s="18"/>
      <c r="Q281" s="18"/>
      <c r="R281" s="18"/>
      <c r="S281" s="18"/>
      <c r="T281" s="18"/>
      <c r="U281" s="18"/>
      <c r="V281" s="18"/>
      <c r="W281" s="18"/>
      <c r="X281" s="18"/>
      <c r="Y281" s="18"/>
      <c r="Z281" s="18"/>
      <c r="AA281" s="18"/>
      <c r="AB281" s="18"/>
      <c r="AC281" s="18"/>
      <c r="AD281" s="18"/>
      <c r="AE281" s="18"/>
      <c r="AF281" s="18"/>
      <c r="AG281" s="18"/>
      <c r="AH281" s="18"/>
    </row>
    <row r="282" spans="1:34" s="2" customFormat="1" ht="25.5" customHeight="1" x14ac:dyDescent="0.25">
      <c r="A282" s="1292"/>
      <c r="B282" s="1475"/>
      <c r="C282" s="1370">
        <v>7</v>
      </c>
      <c r="D282" s="14" t="s">
        <v>1640</v>
      </c>
      <c r="E282" s="1461" t="str">
        <f>IF(OR(AND(I252&gt;0,D186=0),AND(I253&gt;0,D187=0),AND(I254&gt;0,D188=0),AND(I255&gt;0,D189=0),AND(I256&gt;0,D190=0),AND(I257&gt;0,D191=0),AND(I258&gt;0,D192=0),AND(I259&gt;0,D193=0),AND(I260&gt;0,D194=0),AND(I261&gt;0,D195=0),AND(I262&gt;0,D196=0),AND(I263&gt;0,D197=0)),"Неполный ввод потребления теплоэнергии по месяцам!","")</f>
        <v>Неполный ввод потребления теплоэнергии по месяцам!</v>
      </c>
      <c r="F282" s="1462" t="str">
        <f t="shared" si="42"/>
        <v/>
      </c>
      <c r="G282" s="18"/>
      <c r="H282" s="18"/>
      <c r="I282" s="18"/>
      <c r="J282" s="18"/>
      <c r="K282" s="18"/>
      <c r="L282" s="18"/>
      <c r="M282" s="18"/>
      <c r="N282" s="18"/>
      <c r="O282" s="18"/>
      <c r="P282" s="18"/>
      <c r="Q282" s="18"/>
      <c r="R282" s="18"/>
      <c r="S282" s="18"/>
      <c r="T282" s="18"/>
      <c r="U282" s="18"/>
      <c r="V282" s="18"/>
      <c r="W282" s="18"/>
      <c r="X282" s="18"/>
      <c r="Y282" s="18"/>
      <c r="Z282" s="18"/>
      <c r="AA282" s="18"/>
      <c r="AB282" s="18"/>
      <c r="AC282" s="18"/>
      <c r="AD282" s="18"/>
      <c r="AE282" s="18"/>
      <c r="AF282" s="18"/>
      <c r="AG282" s="18"/>
      <c r="AH282" s="18"/>
    </row>
    <row r="283" spans="1:34" s="2" customFormat="1" ht="25.5" customHeight="1" x14ac:dyDescent="0.25">
      <c r="A283" s="1292"/>
      <c r="B283" s="1475"/>
      <c r="C283" s="1370">
        <v>8</v>
      </c>
      <c r="D283" s="14" t="s">
        <v>1652</v>
      </c>
      <c r="E283" s="1461" t="str">
        <f>IF(OR(F223=0,F224=0,F225=0,F226=0,F227=0,F228=0,F229=0,F230=0,F231=0,F232=0,F233=0,F234=0,F235=0),"Неполный ввод потребления электроэнергии на ОДН!","")</f>
        <v>Неполный ввод потребления электроэнергии на ОДН!</v>
      </c>
      <c r="F283" s="1462" t="str">
        <f t="shared" si="42"/>
        <v/>
      </c>
      <c r="G283" s="18"/>
      <c r="H283" s="18"/>
      <c r="I283" s="18"/>
      <c r="J283" s="18"/>
      <c r="K283" s="18"/>
      <c r="L283" s="18"/>
      <c r="M283" s="18"/>
      <c r="N283" s="18"/>
      <c r="O283" s="18"/>
      <c r="P283" s="18"/>
      <c r="Q283" s="18"/>
      <c r="R283" s="18"/>
      <c r="S283" s="18"/>
      <c r="T283" s="18"/>
      <c r="U283" s="18"/>
      <c r="V283" s="18"/>
      <c r="W283" s="18"/>
      <c r="X283" s="18"/>
      <c r="Y283" s="18"/>
      <c r="Z283" s="18"/>
      <c r="AA283" s="18"/>
      <c r="AB283" s="18"/>
      <c r="AC283" s="18"/>
      <c r="AD283" s="18"/>
      <c r="AE283" s="18"/>
      <c r="AF283" s="18"/>
      <c r="AG283" s="18"/>
      <c r="AH283" s="18"/>
    </row>
    <row r="284" spans="1:34" s="2" customFormat="1" ht="25.5" customHeight="1" x14ac:dyDescent="0.25">
      <c r="A284" s="1292"/>
      <c r="B284" s="1475"/>
      <c r="C284" s="1528">
        <v>9</v>
      </c>
      <c r="D284" s="14" t="s">
        <v>1943</v>
      </c>
      <c r="E284" s="1461" t="str">
        <f>IF(SUM(D159,D154,D150,D146,D140,H131:H135)=0,"Введите мощность приборов освещения и/или насосов, лифтов","")</f>
        <v>Введите мощность приборов освещения и/или насосов, лифтов</v>
      </c>
      <c r="F284" s="1462" t="str">
        <f>IF(E284="","Ошибок нет","")</f>
        <v/>
      </c>
      <c r="G284" s="18"/>
      <c r="H284" s="18"/>
      <c r="I284" s="18"/>
      <c r="J284" s="18"/>
      <c r="K284" s="18"/>
      <c r="L284" s="18"/>
      <c r="M284" s="18"/>
      <c r="N284" s="18"/>
      <c r="O284" s="18"/>
      <c r="P284" s="18"/>
      <c r="Q284" s="18"/>
      <c r="R284" s="18"/>
      <c r="S284" s="18"/>
      <c r="T284" s="18"/>
      <c r="U284" s="18"/>
      <c r="V284" s="18"/>
      <c r="W284" s="18"/>
      <c r="X284" s="18"/>
      <c r="Y284" s="18"/>
      <c r="Z284" s="18"/>
      <c r="AA284" s="18"/>
      <c r="AB284" s="18"/>
      <c r="AC284" s="18"/>
      <c r="AD284" s="18"/>
      <c r="AE284" s="18"/>
      <c r="AF284" s="18"/>
      <c r="AG284" s="18"/>
      <c r="AH284" s="18"/>
    </row>
    <row r="285" spans="1:34" s="2" customFormat="1" ht="25.5" customHeight="1" x14ac:dyDescent="0.25">
      <c r="A285" s="1292"/>
      <c r="B285" s="1475"/>
      <c r="C285" s="1528">
        <v>10</v>
      </c>
      <c r="D285" s="14" t="s">
        <v>1641</v>
      </c>
      <c r="E285" s="1461" t="str">
        <f>IF(AND(D67="",F23="",F24=""),"","МКД не подходит для программы из-за доли нежилых помещений или отсутствия в них ИПУ электроэнергии")</f>
        <v/>
      </c>
      <c r="F285" s="1462" t="str">
        <f>IF(E285="","Ошибок нет","")</f>
        <v>Ошибок нет</v>
      </c>
      <c r="G285" s="18"/>
      <c r="H285" s="18"/>
      <c r="I285" s="18"/>
      <c r="J285" s="18"/>
      <c r="K285" s="18"/>
      <c r="L285" s="18"/>
      <c r="M285" s="18"/>
      <c r="N285" s="18"/>
      <c r="O285" s="18"/>
      <c r="P285" s="18"/>
      <c r="Q285" s="18"/>
      <c r="R285" s="18"/>
      <c r="S285" s="18"/>
      <c r="T285" s="18"/>
      <c r="U285" s="18"/>
      <c r="V285" s="18"/>
      <c r="W285" s="18"/>
      <c r="X285" s="18"/>
      <c r="Y285" s="18"/>
      <c r="Z285" s="18"/>
      <c r="AA285" s="18"/>
      <c r="AB285" s="18"/>
      <c r="AC285" s="18"/>
      <c r="AD285" s="18"/>
      <c r="AE285" s="18"/>
      <c r="AF285" s="18"/>
      <c r="AG285" s="18"/>
      <c r="AH285" s="18"/>
    </row>
    <row r="286" spans="1:34" s="2" customFormat="1" ht="25.5" customHeight="1" x14ac:dyDescent="0.25">
      <c r="A286" s="1292"/>
      <c r="B286" s="1475"/>
      <c r="C286" s="1528">
        <v>11</v>
      </c>
      <c r="D286" s="14" t="s">
        <v>1648</v>
      </c>
      <c r="E286" s="1461" t="str">
        <f>CONCATENATE(D247,E247)</f>
        <v xml:space="preserve">Введите корректные даты ОП! </v>
      </c>
      <c r="F286" s="1462" t="str">
        <f t="shared" si="42"/>
        <v/>
      </c>
      <c r="G286" s="18"/>
      <c r="H286" s="18"/>
      <c r="I286" s="18"/>
      <c r="J286" s="18"/>
      <c r="K286" s="18"/>
      <c r="L286" s="18"/>
      <c r="M286" s="18"/>
      <c r="N286" s="18"/>
      <c r="O286" s="18"/>
      <c r="P286" s="18"/>
      <c r="Q286" s="18"/>
      <c r="R286" s="18"/>
      <c r="S286" s="18"/>
      <c r="T286" s="18"/>
      <c r="U286" s="18"/>
      <c r="V286" s="18"/>
      <c r="W286" s="18"/>
      <c r="X286" s="18"/>
      <c r="Y286" s="18"/>
      <c r="Z286" s="18"/>
      <c r="AA286" s="18"/>
      <c r="AB286" s="18"/>
      <c r="AC286" s="18"/>
      <c r="AD286" s="18"/>
      <c r="AE286" s="18"/>
      <c r="AF286" s="18"/>
      <c r="AG286" s="18"/>
      <c r="AH286" s="18"/>
    </row>
    <row r="287" spans="1:34" s="2" customFormat="1" ht="25.5" customHeight="1" x14ac:dyDescent="0.25">
      <c r="A287" s="1292"/>
      <c r="B287" s="1475"/>
      <c r="C287" s="1528">
        <v>12</v>
      </c>
      <c r="D287" s="14" t="s">
        <v>1646</v>
      </c>
      <c r="E287" s="1461" t="str">
        <f>IF(OR(AND(I252&gt;0,E252=""),AND(I253&gt;0,E253=""),AND(I254&gt;0,E254=""),AND(I255&gt;0,E255=""),AND(I256&gt;0,E256=""),AND(I257&gt;0,E257=""),AND(I258&gt;0,E258=""),AND(I259&gt;0,E259=""),AND(I260&gt;0,E260=""),AND(I261&gt;0,E261=""),AND(I262&gt;0,E262=""),AND(I263&gt;0,E263=""),E264=""),"Неполный ввод температуры по месяцам!","")</f>
        <v>Неполный ввод температуры по месяцам!</v>
      </c>
      <c r="F287" s="1462" t="str">
        <f t="shared" si="42"/>
        <v/>
      </c>
      <c r="G287" s="18"/>
      <c r="H287" s="18"/>
      <c r="I287" s="18"/>
      <c r="J287" s="18"/>
      <c r="K287" s="18"/>
      <c r="L287" s="18"/>
      <c r="M287" s="18"/>
      <c r="N287" s="18"/>
      <c r="O287" s="18"/>
      <c r="P287" s="18"/>
      <c r="Q287" s="18"/>
      <c r="R287" s="18"/>
      <c r="S287" s="18"/>
      <c r="T287" s="18"/>
      <c r="U287" s="18"/>
      <c r="V287" s="18"/>
      <c r="W287" s="18"/>
      <c r="X287" s="18"/>
      <c r="Y287" s="18"/>
      <c r="Z287" s="18"/>
      <c r="AA287" s="18"/>
      <c r="AB287" s="18"/>
      <c r="AC287" s="18"/>
      <c r="AD287" s="18"/>
      <c r="AE287" s="18"/>
      <c r="AF287" s="18"/>
      <c r="AG287" s="18"/>
      <c r="AH287" s="18"/>
    </row>
    <row r="288" spans="1:34" s="2" customFormat="1" ht="25.5" customHeight="1" x14ac:dyDescent="0.25">
      <c r="A288" s="1292"/>
      <c r="B288" s="1475"/>
      <c r="C288" s="1528">
        <v>13</v>
      </c>
      <c r="D288" s="14" t="s">
        <v>1644</v>
      </c>
      <c r="E288" s="1461" t="str">
        <f>IF(E270="","","Введите тарифы")</f>
        <v>Введите тарифы</v>
      </c>
      <c r="F288" s="1462" t="str">
        <f t="shared" si="42"/>
        <v/>
      </c>
      <c r="G288" s="18"/>
      <c r="H288" s="18"/>
      <c r="I288" s="18"/>
      <c r="J288" s="18"/>
      <c r="K288" s="18"/>
      <c r="L288" s="18"/>
      <c r="M288" s="18"/>
      <c r="N288" s="18"/>
      <c r="O288" s="18"/>
      <c r="P288" s="18"/>
      <c r="Q288" s="18"/>
      <c r="R288" s="18"/>
      <c r="S288" s="18"/>
      <c r="T288" s="18"/>
      <c r="U288" s="18"/>
      <c r="V288" s="18"/>
      <c r="W288" s="18"/>
      <c r="X288" s="18"/>
      <c r="Y288" s="18"/>
      <c r="Z288" s="18"/>
      <c r="AA288" s="18"/>
      <c r="AB288" s="18"/>
      <c r="AC288" s="18"/>
      <c r="AD288" s="18"/>
      <c r="AE288" s="18"/>
      <c r="AF288" s="18"/>
      <c r="AG288" s="18"/>
      <c r="AH288" s="18"/>
    </row>
    <row r="289" spans="1:34" ht="18.75" x14ac:dyDescent="0.3">
      <c r="B289" s="1475"/>
      <c r="C289" s="19"/>
      <c r="D289" s="1369" t="s">
        <v>1840</v>
      </c>
      <c r="E289" s="1463" t="str">
        <f>IF(AND(E288="",E277="",E276="",E285="",E282="",E280="",E278="",E284="",E287="",E281="",E279="",E286="",E283=""),"Ошибок нет","Исправьте ошибки ввода")</f>
        <v>Исправьте ошибки ввода</v>
      </c>
      <c r="F289" s="490"/>
      <c r="G289" s="18"/>
      <c r="H289" s="18"/>
      <c r="I289" s="18"/>
      <c r="J289" s="18"/>
      <c r="K289" s="18"/>
      <c r="L289" s="18"/>
      <c r="M289" s="18"/>
      <c r="N289" s="18"/>
      <c r="O289" s="18"/>
      <c r="P289" s="18"/>
      <c r="Q289" s="18"/>
      <c r="R289" s="18"/>
      <c r="S289" s="18"/>
      <c r="T289" s="18"/>
      <c r="U289" s="18"/>
      <c r="V289" s="18"/>
      <c r="W289" s="18"/>
      <c r="X289" s="18"/>
      <c r="Y289" s="18"/>
      <c r="Z289" s="18"/>
      <c r="AA289" s="18"/>
      <c r="AB289" s="18"/>
      <c r="AC289" s="18"/>
      <c r="AD289" s="18"/>
      <c r="AE289" s="18"/>
      <c r="AF289" s="18"/>
      <c r="AG289" s="18"/>
      <c r="AH289" s="18"/>
    </row>
    <row r="290" spans="1:34" s="17" customFormat="1" x14ac:dyDescent="0.25">
      <c r="A290" s="1292"/>
      <c r="B290" s="1479">
        <f>IF(E289="Ошибок нет",1,0)</f>
        <v>0</v>
      </c>
      <c r="C290" s="18"/>
      <c r="D290" s="18"/>
      <c r="E290" s="18"/>
      <c r="F290" s="18"/>
      <c r="G290" s="18"/>
      <c r="H290" s="18"/>
      <c r="I290" s="18"/>
      <c r="J290" s="18"/>
      <c r="K290" s="18"/>
      <c r="L290" s="18"/>
      <c r="M290" s="18"/>
      <c r="N290" s="18"/>
      <c r="O290" s="18"/>
      <c r="P290" s="18"/>
      <c r="Q290" s="18"/>
      <c r="R290" s="18"/>
      <c r="S290" s="18"/>
      <c r="T290" s="18"/>
      <c r="U290" s="18"/>
      <c r="V290" s="18"/>
      <c r="W290" s="18"/>
      <c r="X290" s="18"/>
      <c r="Y290" s="18"/>
      <c r="Z290" s="18"/>
      <c r="AA290" s="18"/>
      <c r="AB290" s="18"/>
      <c r="AC290" s="18"/>
      <c r="AD290" s="18"/>
      <c r="AE290" s="18"/>
      <c r="AF290" s="18"/>
      <c r="AG290" s="18"/>
      <c r="AH290" s="18"/>
    </row>
    <row r="291" spans="1:34" ht="57.75" customHeight="1" thickBot="1" x14ac:dyDescent="0.4">
      <c r="B291" s="1475"/>
      <c r="C291" s="1593" t="str">
        <f>IFERROR(IF(OR('Расчет базового уровня'!F15&gt;0.4,'Расчет базового уровня'!F15&lt;-0.25),"Фактический расход теплоэнергии на отопление значительно отличается от нормативного. Проверьте ввод данных и, если ошибка сохранится, обратитесь за поддержкой",""),"")</f>
        <v/>
      </c>
      <c r="D291" s="1593"/>
      <c r="E291" s="1593"/>
      <c r="F291" s="74"/>
      <c r="G291" s="18"/>
      <c r="H291" s="18"/>
      <c r="I291" s="18"/>
      <c r="J291" s="18"/>
      <c r="K291" s="18"/>
      <c r="L291" s="18"/>
      <c r="M291" s="18"/>
      <c r="N291" s="18"/>
      <c r="O291" s="18"/>
      <c r="P291" s="18"/>
      <c r="Q291" s="18"/>
      <c r="R291" s="18"/>
      <c r="S291" s="18"/>
      <c r="T291" s="18"/>
      <c r="U291" s="18"/>
      <c r="V291" s="18"/>
      <c r="W291" s="18"/>
      <c r="X291" s="18"/>
      <c r="Y291" s="18"/>
      <c r="Z291" s="18"/>
      <c r="AA291" s="18"/>
      <c r="AB291" s="18"/>
      <c r="AC291" s="18"/>
      <c r="AD291" s="18"/>
      <c r="AE291" s="18"/>
      <c r="AF291" s="18"/>
      <c r="AG291" s="18"/>
      <c r="AH291" s="18"/>
    </row>
    <row r="292" spans="1:34" ht="24" thickBot="1" x14ac:dyDescent="0.4">
      <c r="B292" s="1476" t="str">
        <f>IF(E289="Ошибок нет","8/8","?/?")</f>
        <v>?/?</v>
      </c>
      <c r="C292" s="1548" t="str">
        <f>IF(AND(E289="Ошибок нет",C291=""),"ГОТОВО!   Переходите на лист "&amp;CHAR(34)&amp;"Список мероприятий"&amp;CHAR(34),"")</f>
        <v/>
      </c>
      <c r="D292" s="1548"/>
      <c r="E292" s="1548"/>
      <c r="F292" s="74"/>
      <c r="G292" s="18"/>
      <c r="H292" s="18"/>
      <c r="I292" s="18"/>
      <c r="J292" s="18"/>
      <c r="K292" s="18"/>
      <c r="L292" s="18"/>
      <c r="M292" s="18"/>
      <c r="N292" s="18"/>
      <c r="O292" s="18"/>
      <c r="P292" s="18"/>
      <c r="Q292" s="18"/>
      <c r="R292" s="18"/>
      <c r="S292" s="18"/>
      <c r="T292" s="18"/>
      <c r="U292" s="18"/>
      <c r="V292" s="18"/>
      <c r="W292" s="18"/>
      <c r="X292" s="18"/>
      <c r="Y292" s="18"/>
      <c r="Z292" s="18"/>
      <c r="AA292" s="18"/>
      <c r="AB292" s="18"/>
      <c r="AC292" s="18"/>
      <c r="AD292" s="18"/>
      <c r="AE292" s="18"/>
      <c r="AF292" s="18"/>
      <c r="AG292" s="18"/>
      <c r="AH292" s="18"/>
    </row>
    <row r="293" spans="1:34" x14ac:dyDescent="0.25">
      <c r="B293" s="1475"/>
      <c r="C293" s="74"/>
      <c r="D293" s="74"/>
      <c r="E293" s="74"/>
      <c r="F293" s="74"/>
      <c r="G293" s="18"/>
      <c r="H293" s="18"/>
      <c r="I293" s="18"/>
      <c r="J293" s="18"/>
      <c r="K293" s="18"/>
      <c r="L293" s="18"/>
      <c r="M293" s="18"/>
      <c r="N293" s="18"/>
      <c r="O293" s="18"/>
      <c r="P293" s="18"/>
      <c r="Q293" s="18"/>
      <c r="R293" s="18"/>
      <c r="S293" s="18"/>
      <c r="T293" s="18"/>
      <c r="U293" s="18"/>
      <c r="V293" s="18"/>
      <c r="W293" s="18"/>
      <c r="X293" s="18"/>
      <c r="Y293" s="18"/>
      <c r="Z293" s="18"/>
      <c r="AA293" s="18"/>
      <c r="AB293" s="18"/>
      <c r="AC293" s="18"/>
      <c r="AD293" s="18"/>
      <c r="AE293" s="18"/>
      <c r="AF293" s="18"/>
      <c r="AG293" s="18"/>
      <c r="AH293" s="18"/>
    </row>
    <row r="294" spans="1:34" x14ac:dyDescent="0.25">
      <c r="B294" s="1475"/>
      <c r="C294" s="74"/>
      <c r="D294" s="74"/>
      <c r="E294" s="74"/>
      <c r="F294" s="74"/>
      <c r="G294" s="18"/>
      <c r="H294" s="18"/>
      <c r="I294" s="18"/>
      <c r="J294" s="18"/>
      <c r="K294" s="18"/>
      <c r="L294" s="18"/>
      <c r="M294" s="18"/>
      <c r="N294" s="18"/>
      <c r="O294" s="18"/>
      <c r="P294" s="18"/>
      <c r="Q294" s="18"/>
      <c r="R294" s="18"/>
      <c r="S294" s="18"/>
      <c r="T294" s="18"/>
      <c r="U294" s="18"/>
      <c r="V294" s="18"/>
      <c r="W294" s="18"/>
      <c r="X294" s="18"/>
      <c r="Y294" s="18"/>
      <c r="Z294" s="18"/>
      <c r="AA294" s="18"/>
      <c r="AB294" s="18"/>
      <c r="AC294" s="18"/>
      <c r="AD294" s="18"/>
      <c r="AE294" s="18"/>
      <c r="AF294" s="18"/>
      <c r="AG294" s="18"/>
      <c r="AH294" s="18"/>
    </row>
    <row r="295" spans="1:34" x14ac:dyDescent="0.25">
      <c r="B295" s="1475"/>
      <c r="C295" s="74"/>
      <c r="D295" s="74"/>
      <c r="E295" s="74"/>
      <c r="F295" s="74"/>
      <c r="G295" s="18"/>
      <c r="H295" s="18"/>
      <c r="I295" s="18"/>
      <c r="J295" s="18"/>
      <c r="K295" s="18"/>
      <c r="L295" s="18"/>
      <c r="M295" s="18"/>
      <c r="N295" s="18"/>
      <c r="O295" s="18"/>
      <c r="P295" s="18"/>
      <c r="Q295" s="18"/>
      <c r="R295" s="18"/>
      <c r="S295" s="18"/>
      <c r="T295" s="18"/>
      <c r="U295" s="18"/>
      <c r="V295" s="18"/>
      <c r="W295" s="18"/>
      <c r="X295" s="18"/>
      <c r="Y295" s="18"/>
      <c r="Z295" s="18"/>
      <c r="AA295" s="18"/>
      <c r="AB295" s="18"/>
      <c r="AC295" s="18"/>
      <c r="AD295" s="18"/>
      <c r="AE295" s="18"/>
      <c r="AF295" s="18"/>
      <c r="AG295" s="18"/>
      <c r="AH295" s="18"/>
    </row>
    <row r="296" spans="1:34" x14ac:dyDescent="0.25">
      <c r="B296" s="1475"/>
      <c r="C296" s="74"/>
      <c r="D296" s="74"/>
      <c r="E296" s="74"/>
      <c r="F296" s="74"/>
      <c r="G296" s="18"/>
      <c r="H296" s="18"/>
      <c r="I296" s="18"/>
      <c r="J296" s="18"/>
      <c r="K296" s="18"/>
      <c r="L296" s="18"/>
      <c r="M296" s="18"/>
      <c r="N296" s="18"/>
      <c r="O296" s="18"/>
      <c r="P296" s="18"/>
      <c r="Q296" s="18"/>
      <c r="R296" s="18"/>
      <c r="S296" s="18"/>
      <c r="T296" s="18"/>
      <c r="U296" s="18"/>
      <c r="V296" s="18"/>
      <c r="W296" s="18"/>
      <c r="X296" s="18"/>
      <c r="Y296" s="18"/>
      <c r="Z296" s="18"/>
      <c r="AA296" s="18"/>
      <c r="AB296" s="18"/>
      <c r="AC296" s="18"/>
      <c r="AD296" s="18"/>
      <c r="AE296" s="18"/>
      <c r="AF296" s="18"/>
      <c r="AG296" s="18"/>
      <c r="AH296" s="18"/>
    </row>
    <row r="297" spans="1:34" x14ac:dyDescent="0.25">
      <c r="B297" s="1475"/>
      <c r="C297" s="74"/>
      <c r="D297" s="74"/>
      <c r="E297" s="74"/>
      <c r="F297" s="74"/>
      <c r="G297" s="18"/>
      <c r="H297" s="18"/>
      <c r="I297" s="18"/>
      <c r="J297" s="18"/>
      <c r="K297" s="18"/>
      <c r="L297" s="18"/>
      <c r="M297" s="18"/>
      <c r="N297" s="18"/>
      <c r="O297" s="18"/>
      <c r="P297" s="18"/>
      <c r="Q297" s="18"/>
      <c r="R297" s="18"/>
      <c r="S297" s="18"/>
      <c r="T297" s="18"/>
      <c r="U297" s="18"/>
      <c r="V297" s="18"/>
      <c r="W297" s="18"/>
      <c r="X297" s="18"/>
      <c r="Y297" s="18"/>
      <c r="Z297" s="18"/>
      <c r="AA297" s="18"/>
      <c r="AB297" s="18"/>
      <c r="AC297" s="18"/>
      <c r="AD297" s="18"/>
      <c r="AE297" s="18"/>
      <c r="AF297" s="18"/>
      <c r="AG297" s="18"/>
      <c r="AH297" s="18"/>
    </row>
    <row r="298" spans="1:34" x14ac:dyDescent="0.25">
      <c r="B298" s="1475"/>
      <c r="C298" s="74"/>
      <c r="D298" s="74"/>
      <c r="E298" s="74"/>
      <c r="F298" s="74"/>
      <c r="G298" s="18"/>
      <c r="H298" s="18"/>
      <c r="I298" s="18"/>
      <c r="J298" s="18"/>
      <c r="K298" s="18"/>
      <c r="L298" s="18"/>
      <c r="M298" s="18"/>
      <c r="N298" s="18"/>
      <c r="O298" s="18"/>
      <c r="P298" s="18"/>
      <c r="Q298" s="18"/>
      <c r="R298" s="18"/>
      <c r="S298" s="18"/>
      <c r="T298" s="18"/>
      <c r="U298" s="18"/>
      <c r="V298" s="18"/>
      <c r="W298" s="18"/>
      <c r="X298" s="18"/>
      <c r="Y298" s="18"/>
      <c r="Z298" s="18"/>
      <c r="AA298" s="18"/>
      <c r="AB298" s="18"/>
      <c r="AC298" s="18"/>
      <c r="AD298" s="18"/>
      <c r="AE298" s="18"/>
      <c r="AF298" s="18"/>
      <c r="AG298" s="18"/>
      <c r="AH298" s="18"/>
    </row>
    <row r="299" spans="1:34" x14ac:dyDescent="0.25">
      <c r="B299" s="1475"/>
      <c r="C299" s="74"/>
      <c r="D299" s="74"/>
      <c r="E299" s="74"/>
      <c r="F299" s="74"/>
      <c r="G299" s="18"/>
      <c r="H299" s="18"/>
      <c r="I299" s="18"/>
      <c r="J299" s="18"/>
      <c r="K299" s="18"/>
      <c r="L299" s="18"/>
      <c r="M299" s="18"/>
      <c r="N299" s="18"/>
      <c r="O299" s="18"/>
      <c r="P299" s="18"/>
      <c r="Q299" s="18"/>
      <c r="R299" s="18"/>
      <c r="S299" s="18"/>
      <c r="T299" s="18"/>
      <c r="U299" s="18"/>
      <c r="V299" s="18"/>
      <c r="W299" s="18"/>
      <c r="X299" s="18"/>
      <c r="Y299" s="18"/>
      <c r="Z299" s="18"/>
      <c r="AA299" s="18"/>
      <c r="AB299" s="18"/>
      <c r="AC299" s="18"/>
      <c r="AD299" s="18"/>
      <c r="AE299" s="18"/>
      <c r="AF299" s="18"/>
      <c r="AG299" s="18"/>
      <c r="AH299" s="18"/>
    </row>
    <row r="300" spans="1:34" x14ac:dyDescent="0.25">
      <c r="B300" s="1475"/>
      <c r="C300" s="74"/>
      <c r="D300" s="74"/>
      <c r="E300" s="74"/>
      <c r="F300" s="74"/>
      <c r="G300" s="18"/>
      <c r="H300" s="18"/>
      <c r="I300" s="18"/>
      <c r="J300" s="18"/>
      <c r="K300" s="18"/>
      <c r="L300" s="18"/>
      <c r="M300" s="18"/>
      <c r="N300" s="18"/>
      <c r="O300" s="18"/>
      <c r="P300" s="18"/>
      <c r="Q300" s="18"/>
      <c r="R300" s="18"/>
      <c r="S300" s="18"/>
      <c r="T300" s="18"/>
      <c r="U300" s="18"/>
      <c r="V300" s="18"/>
      <c r="W300" s="18"/>
      <c r="X300" s="18"/>
      <c r="Y300" s="18"/>
      <c r="Z300" s="18"/>
      <c r="AA300" s="18"/>
      <c r="AB300" s="18"/>
      <c r="AC300" s="18"/>
      <c r="AD300" s="18"/>
      <c r="AE300" s="18"/>
      <c r="AF300" s="18"/>
      <c r="AG300" s="18"/>
      <c r="AH300" s="18"/>
    </row>
    <row r="301" spans="1:34" x14ac:dyDescent="0.25">
      <c r="B301" s="1475"/>
      <c r="C301" s="74"/>
      <c r="D301" s="74"/>
      <c r="E301" s="74"/>
      <c r="F301" s="74"/>
      <c r="G301" s="18"/>
      <c r="H301" s="18"/>
      <c r="I301" s="18"/>
      <c r="J301" s="18"/>
      <c r="K301" s="18"/>
      <c r="L301" s="18"/>
      <c r="M301" s="18"/>
      <c r="N301" s="18"/>
      <c r="O301" s="18"/>
      <c r="P301" s="18"/>
      <c r="Q301" s="18"/>
      <c r="R301" s="18"/>
      <c r="S301" s="18"/>
      <c r="T301" s="18"/>
      <c r="U301" s="18"/>
      <c r="V301" s="18"/>
      <c r="W301" s="18"/>
      <c r="X301" s="18"/>
      <c r="Y301" s="18"/>
      <c r="Z301" s="18"/>
      <c r="AA301" s="18"/>
      <c r="AB301" s="18"/>
      <c r="AC301" s="18"/>
      <c r="AD301" s="18"/>
      <c r="AE301" s="18"/>
      <c r="AF301" s="18"/>
      <c r="AG301" s="18"/>
      <c r="AH301" s="18"/>
    </row>
    <row r="302" spans="1:34" x14ac:dyDescent="0.25">
      <c r="B302" s="1475"/>
      <c r="C302" s="74"/>
      <c r="D302" s="74"/>
      <c r="E302" s="74"/>
      <c r="F302" s="74"/>
      <c r="G302" s="18"/>
      <c r="H302" s="18"/>
      <c r="I302" s="18"/>
      <c r="J302" s="18"/>
      <c r="K302" s="18"/>
      <c r="L302" s="18"/>
      <c r="M302" s="18"/>
      <c r="N302" s="18"/>
      <c r="O302" s="18"/>
      <c r="P302" s="18"/>
      <c r="Q302" s="18"/>
      <c r="R302" s="18"/>
      <c r="S302" s="18"/>
      <c r="T302" s="18"/>
      <c r="U302" s="18"/>
      <c r="V302" s="18"/>
      <c r="W302" s="18"/>
      <c r="X302" s="18"/>
      <c r="Y302" s="18"/>
      <c r="Z302" s="18"/>
      <c r="AA302" s="18"/>
      <c r="AB302" s="18"/>
      <c r="AC302" s="18"/>
      <c r="AD302" s="18"/>
      <c r="AE302" s="18"/>
      <c r="AF302" s="18"/>
      <c r="AG302" s="18"/>
      <c r="AH302" s="18"/>
    </row>
    <row r="303" spans="1:34" x14ac:dyDescent="0.25">
      <c r="B303" s="1475"/>
      <c r="C303" s="18"/>
      <c r="D303" s="18"/>
      <c r="E303" s="18"/>
      <c r="F303" s="18"/>
      <c r="G303" s="18"/>
      <c r="H303" s="18"/>
      <c r="I303" s="18"/>
      <c r="J303" s="18"/>
      <c r="K303" s="18"/>
      <c r="L303" s="18"/>
      <c r="M303" s="18"/>
      <c r="N303" s="18"/>
      <c r="O303" s="18"/>
      <c r="P303" s="18"/>
      <c r="Q303" s="18"/>
      <c r="R303" s="18"/>
      <c r="S303" s="18"/>
      <c r="T303" s="18"/>
      <c r="U303" s="18"/>
      <c r="V303" s="18"/>
      <c r="W303" s="18"/>
      <c r="X303" s="18"/>
      <c r="Y303" s="18"/>
      <c r="Z303" s="18"/>
      <c r="AA303" s="18"/>
      <c r="AB303" s="18"/>
      <c r="AC303" s="18"/>
      <c r="AD303" s="18"/>
      <c r="AE303" s="18"/>
      <c r="AF303" s="18"/>
      <c r="AG303" s="18"/>
      <c r="AH303" s="18"/>
    </row>
    <row r="304" spans="1:34" x14ac:dyDescent="0.25">
      <c r="B304" s="1475"/>
      <c r="C304" s="18"/>
      <c r="D304" s="18"/>
      <c r="E304" s="18"/>
      <c r="F304" s="18"/>
      <c r="G304" s="18"/>
      <c r="H304" s="18"/>
      <c r="I304" s="18"/>
      <c r="J304" s="18"/>
      <c r="K304" s="18"/>
      <c r="L304" s="18"/>
      <c r="M304" s="18"/>
      <c r="N304" s="18"/>
      <c r="O304" s="18"/>
      <c r="P304" s="18"/>
      <c r="Q304" s="18"/>
      <c r="R304" s="18"/>
      <c r="S304" s="18"/>
      <c r="T304" s="18"/>
      <c r="U304" s="18"/>
      <c r="V304" s="18"/>
      <c r="W304" s="18"/>
      <c r="X304" s="18"/>
      <c r="Y304" s="18"/>
      <c r="Z304" s="18"/>
      <c r="AA304" s="18"/>
      <c r="AB304" s="18"/>
      <c r="AC304" s="18"/>
      <c r="AD304" s="18"/>
      <c r="AE304" s="18"/>
      <c r="AF304" s="18"/>
      <c r="AG304" s="18"/>
      <c r="AH304" s="18"/>
    </row>
    <row r="305" spans="2:34" x14ac:dyDescent="0.25">
      <c r="B305" s="1475"/>
      <c r="C305" s="18"/>
      <c r="D305" s="18"/>
      <c r="E305" s="18"/>
      <c r="F305" s="18"/>
      <c r="G305" s="18"/>
      <c r="H305" s="18"/>
      <c r="I305" s="18"/>
      <c r="J305" s="18"/>
      <c r="K305" s="18"/>
      <c r="L305" s="18"/>
      <c r="M305" s="18"/>
      <c r="N305" s="18"/>
      <c r="O305" s="18"/>
      <c r="P305" s="18"/>
      <c r="Q305" s="18"/>
      <c r="R305" s="18"/>
      <c r="S305" s="18"/>
      <c r="T305" s="18"/>
      <c r="U305" s="18"/>
      <c r="V305" s="18"/>
      <c r="W305" s="18"/>
      <c r="X305" s="18"/>
      <c r="Y305" s="18"/>
      <c r="Z305" s="18"/>
      <c r="AA305" s="18"/>
      <c r="AB305" s="18"/>
      <c r="AC305" s="18"/>
      <c r="AD305" s="18"/>
      <c r="AE305" s="18"/>
      <c r="AF305" s="18"/>
      <c r="AG305" s="18"/>
      <c r="AH305" s="18"/>
    </row>
    <row r="306" spans="2:34" x14ac:dyDescent="0.25">
      <c r="B306" s="1475"/>
      <c r="C306" s="18"/>
      <c r="D306" s="18"/>
      <c r="E306" s="18"/>
      <c r="F306" s="18"/>
      <c r="G306" s="18"/>
      <c r="H306" s="18"/>
      <c r="I306" s="18"/>
      <c r="J306" s="18"/>
      <c r="K306" s="18"/>
      <c r="L306" s="18"/>
      <c r="M306" s="18"/>
      <c r="N306" s="18"/>
      <c r="O306" s="18"/>
      <c r="P306" s="18"/>
      <c r="Q306" s="18"/>
      <c r="R306" s="18"/>
      <c r="S306" s="18"/>
      <c r="T306" s="18"/>
      <c r="U306" s="18"/>
      <c r="V306" s="18"/>
      <c r="W306" s="18"/>
      <c r="X306" s="18"/>
      <c r="Y306" s="18"/>
      <c r="Z306" s="18"/>
      <c r="AA306" s="18"/>
      <c r="AB306" s="18"/>
      <c r="AC306" s="18"/>
      <c r="AD306" s="18"/>
      <c r="AE306" s="18"/>
      <c r="AF306" s="18"/>
      <c r="AG306" s="18"/>
      <c r="AH306" s="18"/>
    </row>
    <row r="307" spans="2:34" x14ac:dyDescent="0.25">
      <c r="B307" s="1475"/>
      <c r="C307" s="18"/>
      <c r="D307" s="18"/>
      <c r="E307" s="18"/>
      <c r="F307" s="18"/>
      <c r="G307" s="18"/>
      <c r="H307" s="18"/>
      <c r="I307" s="18"/>
      <c r="J307" s="18"/>
      <c r="K307" s="18"/>
      <c r="L307" s="18"/>
      <c r="M307" s="18"/>
      <c r="N307" s="18"/>
      <c r="O307" s="18"/>
      <c r="P307" s="18"/>
      <c r="Q307" s="18"/>
      <c r="R307" s="18"/>
      <c r="S307" s="18"/>
      <c r="T307" s="18"/>
      <c r="U307" s="18"/>
      <c r="V307" s="18"/>
      <c r="W307" s="18"/>
      <c r="X307" s="18"/>
      <c r="Y307" s="18"/>
      <c r="Z307" s="18"/>
      <c r="AA307" s="18"/>
      <c r="AB307" s="18"/>
      <c r="AC307" s="18"/>
      <c r="AD307" s="18"/>
      <c r="AE307" s="18"/>
      <c r="AF307" s="18"/>
      <c r="AG307" s="18"/>
      <c r="AH307" s="18"/>
    </row>
    <row r="308" spans="2:34" x14ac:dyDescent="0.25">
      <c r="B308" s="1475"/>
      <c r="C308" s="18"/>
      <c r="D308" s="18"/>
      <c r="E308" s="18"/>
      <c r="F308" s="18"/>
      <c r="G308" s="18"/>
      <c r="H308" s="18"/>
      <c r="I308" s="18"/>
      <c r="J308" s="18"/>
      <c r="K308" s="18"/>
      <c r="L308" s="18"/>
      <c r="M308" s="18"/>
      <c r="N308" s="18"/>
      <c r="O308" s="18"/>
      <c r="P308" s="18"/>
      <c r="Q308" s="18"/>
      <c r="R308" s="18"/>
      <c r="S308" s="18"/>
      <c r="T308" s="18"/>
      <c r="U308" s="18"/>
      <c r="V308" s="18"/>
      <c r="W308" s="18"/>
      <c r="X308" s="18"/>
      <c r="Y308" s="18"/>
      <c r="Z308" s="18"/>
      <c r="AA308" s="18"/>
      <c r="AB308" s="18"/>
      <c r="AC308" s="18"/>
      <c r="AD308" s="18"/>
      <c r="AE308" s="18"/>
      <c r="AF308" s="18"/>
      <c r="AG308" s="18"/>
      <c r="AH308" s="18"/>
    </row>
    <row r="309" spans="2:34" x14ac:dyDescent="0.25">
      <c r="B309" s="1475"/>
      <c r="C309" s="18"/>
      <c r="D309" s="18"/>
      <c r="E309" s="18"/>
      <c r="F309" s="18"/>
      <c r="G309" s="18"/>
      <c r="H309" s="18"/>
      <c r="I309" s="18"/>
      <c r="J309" s="18"/>
      <c r="K309" s="18"/>
      <c r="L309" s="18"/>
      <c r="M309" s="18"/>
      <c r="N309" s="18"/>
      <c r="O309" s="18"/>
      <c r="P309" s="18"/>
      <c r="Q309" s="18"/>
      <c r="R309" s="18"/>
      <c r="S309" s="18"/>
      <c r="T309" s="18"/>
      <c r="U309" s="18"/>
      <c r="V309" s="18"/>
      <c r="W309" s="18"/>
      <c r="X309" s="18"/>
      <c r="Y309" s="18"/>
      <c r="Z309" s="18"/>
      <c r="AA309" s="18"/>
      <c r="AB309" s="18"/>
      <c r="AC309" s="18"/>
      <c r="AD309" s="18"/>
      <c r="AE309" s="18"/>
      <c r="AF309" s="18"/>
      <c r="AG309" s="18"/>
      <c r="AH309" s="18"/>
    </row>
    <row r="310" spans="2:34" x14ac:dyDescent="0.25">
      <c r="B310" s="1475"/>
      <c r="C310" s="18"/>
      <c r="D310" s="18"/>
      <c r="E310" s="18"/>
      <c r="F310" s="18"/>
      <c r="G310" s="18"/>
      <c r="H310" s="18"/>
      <c r="I310" s="18"/>
      <c r="J310" s="18"/>
      <c r="K310" s="18"/>
      <c r="L310" s="18"/>
      <c r="M310" s="18"/>
      <c r="N310" s="18"/>
      <c r="O310" s="18"/>
      <c r="P310" s="18"/>
      <c r="Q310" s="18"/>
      <c r="R310" s="18"/>
      <c r="S310" s="18"/>
      <c r="T310" s="18"/>
      <c r="U310" s="18"/>
      <c r="V310" s="18"/>
      <c r="W310" s="18"/>
      <c r="X310" s="18"/>
      <c r="Y310" s="18"/>
      <c r="Z310" s="18"/>
      <c r="AA310" s="18"/>
      <c r="AB310" s="18"/>
      <c r="AC310" s="18"/>
      <c r="AD310" s="18"/>
      <c r="AE310" s="18"/>
      <c r="AF310" s="18"/>
      <c r="AG310" s="18"/>
      <c r="AH310" s="18"/>
    </row>
    <row r="311" spans="2:34" x14ac:dyDescent="0.25">
      <c r="B311" s="1475"/>
      <c r="C311" s="18"/>
      <c r="D311" s="18"/>
      <c r="E311" s="18"/>
      <c r="F311" s="18"/>
      <c r="G311" s="18"/>
      <c r="H311" s="18"/>
      <c r="I311" s="18"/>
      <c r="J311" s="18"/>
      <c r="K311" s="18"/>
      <c r="L311" s="18"/>
      <c r="M311" s="18"/>
      <c r="N311" s="18"/>
      <c r="O311" s="18"/>
      <c r="P311" s="18"/>
      <c r="Q311" s="18"/>
      <c r="R311" s="18"/>
      <c r="S311" s="18"/>
      <c r="T311" s="18"/>
      <c r="U311" s="18"/>
      <c r="V311" s="18"/>
      <c r="W311" s="18"/>
      <c r="X311" s="18"/>
      <c r="Y311" s="18"/>
      <c r="Z311" s="18"/>
      <c r="AA311" s="18"/>
      <c r="AB311" s="18"/>
      <c r="AC311" s="18"/>
      <c r="AD311" s="18"/>
      <c r="AE311" s="18"/>
      <c r="AF311" s="18"/>
      <c r="AG311" s="18"/>
      <c r="AH311" s="18"/>
    </row>
    <row r="312" spans="2:34" x14ac:dyDescent="0.25">
      <c r="B312" s="1475"/>
      <c r="C312" s="18"/>
      <c r="D312" s="18"/>
      <c r="E312" s="18"/>
      <c r="F312" s="18"/>
      <c r="G312" s="18"/>
      <c r="H312" s="18"/>
      <c r="I312" s="18"/>
      <c r="J312" s="18"/>
      <c r="K312" s="18"/>
      <c r="L312" s="18"/>
      <c r="M312" s="18"/>
      <c r="N312" s="18"/>
      <c r="O312" s="18"/>
      <c r="P312" s="18"/>
      <c r="Q312" s="18"/>
      <c r="R312" s="18"/>
      <c r="S312" s="18"/>
      <c r="T312" s="18"/>
      <c r="U312" s="18"/>
      <c r="V312" s="18"/>
      <c r="W312" s="18"/>
      <c r="X312" s="18"/>
      <c r="Y312" s="18"/>
      <c r="Z312" s="18"/>
      <c r="AA312" s="18"/>
      <c r="AB312" s="18"/>
      <c r="AC312" s="18"/>
      <c r="AD312" s="18"/>
      <c r="AE312" s="18"/>
      <c r="AF312" s="18"/>
      <c r="AG312" s="18"/>
      <c r="AH312" s="18"/>
    </row>
    <row r="313" spans="2:34" x14ac:dyDescent="0.25">
      <c r="B313" s="1475"/>
      <c r="C313" s="18"/>
      <c r="D313" s="18"/>
      <c r="E313" s="18"/>
      <c r="F313" s="18"/>
      <c r="G313" s="18"/>
      <c r="H313" s="18"/>
      <c r="I313" s="18"/>
      <c r="J313" s="18"/>
      <c r="K313" s="18"/>
      <c r="L313" s="18"/>
      <c r="M313" s="18"/>
      <c r="N313" s="18"/>
      <c r="O313" s="18"/>
      <c r="P313" s="18"/>
      <c r="Q313" s="18"/>
      <c r="R313" s="18"/>
      <c r="S313" s="18"/>
      <c r="T313" s="18"/>
      <c r="U313" s="18"/>
      <c r="V313" s="18"/>
      <c r="W313" s="18"/>
      <c r="X313" s="18"/>
      <c r="Y313" s="18"/>
      <c r="Z313" s="18"/>
      <c r="AA313" s="18"/>
      <c r="AB313" s="18"/>
      <c r="AC313" s="18"/>
      <c r="AD313" s="18"/>
      <c r="AE313" s="18"/>
      <c r="AF313" s="18"/>
      <c r="AG313" s="18"/>
      <c r="AH313" s="18"/>
    </row>
    <row r="314" spans="2:34" x14ac:dyDescent="0.25">
      <c r="B314" s="1475"/>
      <c r="C314" s="18"/>
      <c r="D314" s="18"/>
      <c r="E314" s="18"/>
      <c r="F314" s="18"/>
      <c r="G314" s="18"/>
      <c r="H314" s="18"/>
      <c r="I314" s="18"/>
      <c r="J314" s="18"/>
      <c r="K314" s="18"/>
      <c r="L314" s="18"/>
      <c r="M314" s="18"/>
      <c r="N314" s="18"/>
      <c r="O314" s="18"/>
      <c r="P314" s="18"/>
      <c r="Q314" s="18"/>
      <c r="R314" s="18"/>
      <c r="S314" s="18"/>
      <c r="T314" s="18"/>
      <c r="U314" s="18"/>
      <c r="V314" s="18"/>
      <c r="W314" s="18"/>
      <c r="X314" s="18"/>
      <c r="Y314" s="18"/>
      <c r="Z314" s="18"/>
      <c r="AA314" s="18"/>
      <c r="AB314" s="18"/>
      <c r="AC314" s="18"/>
      <c r="AD314" s="18"/>
      <c r="AE314" s="18"/>
      <c r="AF314" s="18"/>
      <c r="AG314" s="18"/>
      <c r="AH314" s="18"/>
    </row>
    <row r="315" spans="2:34" x14ac:dyDescent="0.25">
      <c r="B315" s="1475"/>
      <c r="C315" s="18"/>
      <c r="D315" s="18"/>
      <c r="E315" s="18"/>
      <c r="F315" s="18"/>
      <c r="G315" s="18"/>
      <c r="H315" s="18"/>
      <c r="I315" s="18"/>
      <c r="J315" s="18"/>
      <c r="K315" s="18"/>
      <c r="L315" s="18"/>
      <c r="M315" s="18"/>
      <c r="N315" s="18"/>
      <c r="O315" s="18"/>
      <c r="P315" s="18"/>
      <c r="Q315" s="18"/>
      <c r="R315" s="18"/>
      <c r="S315" s="18"/>
      <c r="T315" s="18"/>
      <c r="U315" s="18"/>
      <c r="V315" s="18"/>
      <c r="W315" s="18"/>
      <c r="X315" s="18"/>
      <c r="Y315" s="18"/>
      <c r="Z315" s="18"/>
      <c r="AA315" s="18"/>
      <c r="AB315" s="18"/>
      <c r="AC315" s="18"/>
      <c r="AD315" s="18"/>
      <c r="AE315" s="18"/>
      <c r="AF315" s="18"/>
      <c r="AG315" s="18"/>
      <c r="AH315" s="18"/>
    </row>
    <row r="316" spans="2:34" x14ac:dyDescent="0.25">
      <c r="B316" s="1475"/>
      <c r="C316" s="18"/>
      <c r="D316" s="18"/>
      <c r="E316" s="18"/>
      <c r="F316" s="18"/>
      <c r="G316" s="18"/>
      <c r="H316" s="18"/>
      <c r="I316" s="18"/>
      <c r="J316" s="18"/>
      <c r="K316" s="18"/>
      <c r="L316" s="18"/>
      <c r="M316" s="18"/>
      <c r="N316" s="18"/>
      <c r="O316" s="18"/>
      <c r="P316" s="18"/>
      <c r="Q316" s="18"/>
      <c r="R316" s="18"/>
      <c r="S316" s="18"/>
      <c r="T316" s="18"/>
      <c r="U316" s="18"/>
      <c r="V316" s="18"/>
      <c r="W316" s="18"/>
      <c r="X316" s="18"/>
      <c r="Y316" s="18"/>
      <c r="Z316" s="18"/>
      <c r="AA316" s="18"/>
      <c r="AB316" s="18"/>
      <c r="AC316" s="18"/>
      <c r="AD316" s="18"/>
      <c r="AE316" s="18"/>
      <c r="AF316" s="18"/>
      <c r="AG316" s="18"/>
      <c r="AH316" s="18"/>
    </row>
  </sheetData>
  <sheetProtection algorithmName="SHA-512" hashValue="YqLilHvC4sVpE99L63ClL8xQ2sxBB22C7Lgp7MRACqRVd1vkezZ4df7D7mfdPYKevl/ur0zmXuGYhCByn1xzAA==" saltValue="PdO97M+0OWQ7A9wGfJah/Q==" spinCount="100000" sheet="1" objects="1" scenarios="1"/>
  <mergeCells count="82">
    <mergeCell ref="X1:Y1"/>
    <mergeCell ref="C129:D129"/>
    <mergeCell ref="C137:D137"/>
    <mergeCell ref="L1:M1"/>
    <mergeCell ref="N1:O1"/>
    <mergeCell ref="P1:Q1"/>
    <mergeCell ref="R1:S1"/>
    <mergeCell ref="T1:U1"/>
    <mergeCell ref="C24:C26"/>
    <mergeCell ref="C29:C31"/>
    <mergeCell ref="E17:E21"/>
    <mergeCell ref="C40:E40"/>
    <mergeCell ref="C86:E86"/>
    <mergeCell ref="C79:E79"/>
    <mergeCell ref="F24:F26"/>
    <mergeCell ref="C38:E38"/>
    <mergeCell ref="C291:E291"/>
    <mergeCell ref="V1:W1"/>
    <mergeCell ref="C163:E163"/>
    <mergeCell ref="C127:E127"/>
    <mergeCell ref="C114:E114"/>
    <mergeCell ref="C106:E106"/>
    <mergeCell ref="E131:E132"/>
    <mergeCell ref="C143:D143"/>
    <mergeCell ref="C158:D158"/>
    <mergeCell ref="E159:E160"/>
    <mergeCell ref="C69:E69"/>
    <mergeCell ref="E33:E35"/>
    <mergeCell ref="E70:E76"/>
    <mergeCell ref="C96:E96"/>
    <mergeCell ref="F1:G1"/>
    <mergeCell ref="H1:I1"/>
    <mergeCell ref="B15:B16"/>
    <mergeCell ref="E65:E66"/>
    <mergeCell ref="C82:E82"/>
    <mergeCell ref="C80:E80"/>
    <mergeCell ref="E24:E26"/>
    <mergeCell ref="B24:B26"/>
    <mergeCell ref="C42:E42"/>
    <mergeCell ref="J1:K1"/>
    <mergeCell ref="C3:D6"/>
    <mergeCell ref="E15:E16"/>
    <mergeCell ref="C8:E8"/>
    <mergeCell ref="C15:C16"/>
    <mergeCell ref="F250:G250"/>
    <mergeCell ref="H250:H251"/>
    <mergeCell ref="I250:I251"/>
    <mergeCell ref="J250:J251"/>
    <mergeCell ref="C242:E242"/>
    <mergeCell ref="D246:E246"/>
    <mergeCell ref="F245:G245"/>
    <mergeCell ref="C292:E292"/>
    <mergeCell ref="C266:D266"/>
    <mergeCell ref="C204:C205"/>
    <mergeCell ref="D204:F204"/>
    <mergeCell ref="C221:C222"/>
    <mergeCell ref="D221:D222"/>
    <mergeCell ref="E221:E222"/>
    <mergeCell ref="F221:J221"/>
    <mergeCell ref="G206:H218"/>
    <mergeCell ref="I206:K218"/>
    <mergeCell ref="F236:J236"/>
    <mergeCell ref="C274:F274"/>
    <mergeCell ref="C239:E239"/>
    <mergeCell ref="K250:K251"/>
    <mergeCell ref="C250:C251"/>
    <mergeCell ref="D250:E250"/>
    <mergeCell ref="K223:L235"/>
    <mergeCell ref="E176:E178"/>
    <mergeCell ref="C202:F202"/>
    <mergeCell ref="J184:K184"/>
    <mergeCell ref="D184:F184"/>
    <mergeCell ref="C183:F183"/>
    <mergeCell ref="C184:C185"/>
    <mergeCell ref="C220:J220"/>
    <mergeCell ref="G186:G197"/>
    <mergeCell ref="G205:K205"/>
    <mergeCell ref="C171:D171"/>
    <mergeCell ref="C176:D176"/>
    <mergeCell ref="C203:F203"/>
    <mergeCell ref="E165:E168"/>
    <mergeCell ref="E171:E173"/>
  </mergeCells>
  <conditionalFormatting sqref="D16">
    <cfRule type="expression" dxfId="129" priority="24">
      <formula>$D$15&lt;&gt;"выберите ниже"</formula>
    </cfRule>
  </conditionalFormatting>
  <conditionalFormatting sqref="E289">
    <cfRule type="expression" dxfId="128" priority="23">
      <formula>$E$289="Исправьте ошибки ввода"</formula>
    </cfRule>
  </conditionalFormatting>
  <conditionalFormatting sqref="D83">
    <cfRule type="expression" dxfId="127" priority="22">
      <formula>$D$83=""</formula>
    </cfRule>
  </conditionalFormatting>
  <conditionalFormatting sqref="D84">
    <cfRule type="expression" dxfId="126" priority="21">
      <formula>$D$84=""</formula>
    </cfRule>
  </conditionalFormatting>
  <conditionalFormatting sqref="D85">
    <cfRule type="expression" dxfId="125" priority="19">
      <formula>$D$85=""</formula>
    </cfRule>
  </conditionalFormatting>
  <conditionalFormatting sqref="D131:D135 F131:F135">
    <cfRule type="containsBlanks" dxfId="124" priority="18">
      <formula>LEN(TRIM(D131))=0</formula>
    </cfRule>
  </conditionalFormatting>
  <conditionalFormatting sqref="I131:I135">
    <cfRule type="containsBlanks" dxfId="123" priority="17">
      <formula>LEN(TRIM(I131))=0</formula>
    </cfRule>
  </conditionalFormatting>
  <conditionalFormatting sqref="D107:D112">
    <cfRule type="containsBlanks" dxfId="122" priority="16">
      <formula>LEN(TRIM(D107))=0</formula>
    </cfRule>
  </conditionalFormatting>
  <conditionalFormatting sqref="D14 D16">
    <cfRule type="containsBlanks" dxfId="121" priority="15">
      <formula>LEN(TRIM(D14))=0</formula>
    </cfRule>
  </conditionalFormatting>
  <conditionalFormatting sqref="E43">
    <cfRule type="expression" dxfId="120" priority="11">
      <formula>IF(AND(OR(G44=0,G45=0,G47=0,G46=0,G48=0,G49=0,G50=0,G51=0,G52=0,G53=0,G55=0,G56=0,G60+G61+G62=0,G63+G64=0,G66=0,SUM(I44:I66)&gt;0)),"Неполный/неверный ввод!","Введено верно")="Введено верно"</formula>
    </cfRule>
  </conditionalFormatting>
  <conditionalFormatting sqref="E67">
    <cfRule type="expression" dxfId="119" priority="10">
      <formula>IF(AND(OR(G44=0,G45=0,G47=0,G46=0,G48=0,G49=0,G50=0,G51=0,G52=0,G53=0,G55=0,G56=0,G60+G61+G62=0,G63+G64=0,G66=0,SUM(I44:I66)&gt;0)),"Неполный/неверный ввод!","Введено верно")="Введено верно"</formula>
    </cfRule>
  </conditionalFormatting>
  <conditionalFormatting sqref="D10:D11">
    <cfRule type="containsBlanks" dxfId="118" priority="9">
      <formula>LEN(TRIM(D10))=0</formula>
    </cfRule>
  </conditionalFormatting>
  <conditionalFormatting sqref="C107">
    <cfRule type="containsBlanks" dxfId="117" priority="2">
      <formula>LEN(TRIM(C107))=0</formula>
    </cfRule>
  </conditionalFormatting>
  <dataValidations count="53">
    <dataValidation type="list" allowBlank="1" showInputMessage="1" showErrorMessage="1" sqref="D11">
      <formula1>OFFSET(РегионСтарт,MATCH(D10,РегионСтолбец,0)-1,1,COUNTIF(РегионСтолбец,D10),1)</formula1>
    </dataValidation>
    <dataValidation type="list" allowBlank="1" showInputMessage="1" showErrorMessage="1" sqref="D10">
      <formula1>РегионыСписок</formula1>
    </dataValidation>
    <dataValidation type="list" allowBlank="1" showInputMessage="1" showErrorMessage="1" sqref="D14">
      <formula1>Серии</formula1>
    </dataValidation>
    <dataValidation type="whole" allowBlank="1" showInputMessage="1" showErrorMessage="1" errorTitle="Внимание!" error="Введенный год постройки не соответствует обязательным требованиям к МКД!_x000a__x000a_МКД должен быть не старше 60 лет и не моложе 5 лет." sqref="D12">
      <formula1>YEAR(TODAY())-60</formula1>
      <formula2>YEAR(TODAY())-5</formula2>
    </dataValidation>
    <dataValidation type="list" allowBlank="1" showInputMessage="1" showErrorMessage="1" sqref="D111">
      <formula1>Months</formula1>
    </dataValidation>
    <dataValidation allowBlank="1" showErrorMessage="1" promptTitle="&quot;Теплый&quot; чердак" prompt="Отметьте, если вентиляция выведена в чердачное помещение" sqref="C27"/>
    <dataValidation type="list" allowBlank="1" showInputMessage="1" showErrorMessage="1" sqref="F131:F135">
      <formula1>lamps</formula1>
    </dataValidation>
    <dataValidation type="list" allowBlank="1" showInputMessage="1" showErrorMessage="1" sqref="I131:I135">
      <formula1>danet</formula1>
    </dataValidation>
    <dataValidation type="list" allowBlank="1" showInputMessage="1" showErrorMessage="1" sqref="D54 D57">
      <formula1>WindowsOld</formula1>
    </dataValidation>
    <dataValidation type="list" allowBlank="1" showInputMessage="1" showErrorMessage="1" errorTitle="Не выбрано значение из списка" promptTitle="Выберите" sqref="D16">
      <formula1>OFFSET(СерииТеплНач,MATCH($D$14,СерииТепл,0)-1,0,COUNTIF(СерииТепл,$D$14),1)</formula1>
    </dataValidation>
    <dataValidation type="whole" operator="lessThanOrEqual" allowBlank="1" showInputMessage="1" showErrorMessage="1" sqref="D17">
      <formula1>50</formula1>
    </dataValidation>
    <dataValidation type="decimal" operator="lessThanOrEqual" allowBlank="1" showInputMessage="1" showErrorMessage="1" sqref="D19">
      <formula1>80</formula1>
    </dataValidation>
    <dataValidation type="whole" allowBlank="1" showInputMessage="1" showErrorMessage="1" sqref="D20">
      <formula1>2</formula1>
      <formula2>5000</formula2>
    </dataValidation>
    <dataValidation type="whole" operator="lessThanOrEqual" allowBlank="1" showInputMessage="1" showErrorMessage="1" sqref="D21">
      <formula1>D20</formula1>
    </dataValidation>
    <dataValidation type="whole" allowBlank="1" showInputMessage="1" showErrorMessage="1" errorTitle="Ошибка" error="Проживает более 50-ти человек на одну квартиру!" sqref="D22">
      <formula1>D20</formula1>
      <formula2>D20*50</formula2>
    </dataValidation>
    <dataValidation type="decimal" allowBlank="1" showInputMessage="1" showErrorMessage="1" sqref="D44">
      <formula1>50</formula1>
      <formula2>150000</formula2>
    </dataValidation>
    <dataValidation type="decimal" allowBlank="1" showInputMessage="1" showErrorMessage="1" sqref="D45">
      <formula1>D44/2</formula1>
      <formula2>D44</formula2>
    </dataValidation>
    <dataValidation type="decimal" allowBlank="1" showInputMessage="1" showErrorMessage="1" sqref="D46">
      <formula1>D45/4</formula1>
      <formula2>D45</formula2>
    </dataValidation>
    <dataValidation type="decimal" allowBlank="1" showInputMessage="1" showErrorMessage="1" sqref="D47">
      <formula1>3</formula1>
      <formula2>3000</formula2>
    </dataValidation>
    <dataValidation type="decimal" allowBlank="1" showInputMessage="1" showErrorMessage="1" sqref="D48">
      <formula1>3</formula1>
      <formula2>100</formula2>
    </dataValidation>
    <dataValidation type="decimal" allowBlank="1" showInputMessage="1" showErrorMessage="1" sqref="D49">
      <formula1>3</formula1>
      <formula2>500</formula2>
    </dataValidation>
    <dataValidation type="whole" allowBlank="1" showInputMessage="1" showErrorMessage="1" sqref="D33">
      <formula1>0</formula1>
      <formula2>D20*20</formula2>
    </dataValidation>
    <dataValidation type="whole" allowBlank="1" showInputMessage="1" showErrorMessage="1" sqref="D34">
      <formula1>0</formula1>
      <formula2>D19*D17*10</formula2>
    </dataValidation>
    <dataValidation type="whole" operator="greaterThanOrEqual" allowBlank="1" showInputMessage="1" showErrorMessage="1" errorTitle="Ошибка" error="Величина должна быть целой и положительной!" sqref="D55 D58 D65 D52">
      <formula1>0</formula1>
    </dataValidation>
    <dataValidation type="decimal" operator="greaterThanOrEqual" allowBlank="1" showInputMessage="1" showErrorMessage="1" errorTitle="Ошибка" error="Величина должна быть положительной!" sqref="D50 D53 D56 D60:D64 D66">
      <formula1>0</formula1>
    </dataValidation>
    <dataValidation type="decimal" operator="greaterThanOrEqual" allowBlank="1" showInputMessage="1" showErrorMessage="1" errorTitle="Ошибка" error="Величина должна быть  положительной!" sqref="D59">
      <formula1>0</formula1>
    </dataValidation>
    <dataValidation type="decimal" operator="greaterThanOrEqual" allowBlank="1" showInputMessage="1" showErrorMessage="1" errorTitle="Ошибка" error="Величина не может быть отрицательной!" sqref="D70:D76">
      <formula1>0</formula1>
    </dataValidation>
    <dataValidation type="decimal" allowBlank="1" showInputMessage="1" showErrorMessage="1" errorTitle="Ошибка" error="Введенное значение выходит за пределы допустимого диапазона!" sqref="D83">
      <formula1>15</formula1>
      <formula2>26</formula2>
    </dataValidation>
    <dataValidation type="decimal" allowBlank="1" showInputMessage="1" showErrorMessage="1" errorTitle="Ошибка" error="Введенное значение выходит за пределы допустимого диапазона!" sqref="D84">
      <formula1>12</formula1>
      <formula2>20</formula2>
    </dataValidation>
    <dataValidation type="decimal" allowBlank="1" showInputMessage="1" showErrorMessage="1" errorTitle="Ошибка" error="Введенное значение выходит за пределы допустимого диапазона!" sqref="D85">
      <formula1>0</formula1>
      <formula2>16</formula2>
    </dataValidation>
    <dataValidation type="decimal" allowBlank="1" showInputMessage="1" showErrorMessage="1" errorTitle="Ошибка" error="Введенное значение находится за пределами допустимого диапазона!" sqref="D107">
      <formula1>60</formula1>
      <formula2>75</formula2>
    </dataValidation>
    <dataValidation type="decimal" allowBlank="1" showInputMessage="1" showErrorMessage="1" errorTitle="Ошибка" error="Введеное значение сильно отличается от теоретического!" sqref="D108">
      <formula1>0</formula1>
      <formula2>15</formula2>
    </dataValidation>
    <dataValidation type="decimal" allowBlank="1" showInputMessage="1" showErrorMessage="1" errorTitle="Ошибка" error="Введеное значение сильно отличается от теоретического!" sqref="D109">
      <formula1>5</formula1>
      <formula2>30</formula2>
    </dataValidation>
    <dataValidation type="whole" allowBlank="1" showInputMessage="1" showErrorMessage="1" errorTitle="Ошибка" error="Перерыв поставки горячей воды более месяца или отрицательная величина!" sqref="D110">
      <formula1>1</formula1>
      <formula2>30</formula2>
    </dataValidation>
    <dataValidation type="decimal" allowBlank="1" showInputMessage="1" showErrorMessage="1" errorTitle="Ошибка" error="Введенное значение сильно отличается от теоретического!" sqref="D112">
      <formula1>0.5</formula1>
      <formula2>1.5</formula2>
    </dataValidation>
    <dataValidation type="decimal" allowBlank="1" showInputMessage="1" showErrorMessage="1" errorTitle="Ошибка" error="Введено отрицательное значение или больше 200" sqref="H131:H135">
      <formula1>0</formula1>
      <formula2>200</formula2>
    </dataValidation>
    <dataValidation type="whole" allowBlank="1" showInputMessage="1" showErrorMessage="1" errorTitle="Ошибка" error="Введено отрицательное значение или больше 1000" sqref="G131:G135">
      <formula1>0</formula1>
      <formula2>1000</formula2>
    </dataValidation>
    <dataValidation type="decimal" allowBlank="1" showInputMessage="1" showErrorMessage="1" errorTitle="Ошибка" error="Введенное значение находится за пределами допустимого диапазона" sqref="D131">
      <formula1>200</formula1>
      <formula2>8760</formula2>
    </dataValidation>
    <dataValidation type="decimal" allowBlank="1" showInputMessage="1" showErrorMessage="1" errorTitle="Ошибка" error="Введенное значение находится за пределами допустимого диапазона!" sqref="D132:D133">
      <formula1>200</formula1>
      <formula2>8760</formula2>
    </dataValidation>
    <dataValidation type="decimal" allowBlank="1" showInputMessage="1" showErrorMessage="1" errorTitle="Ошибка" error="Введенное значение находится за пределами допустимого диапазона!" sqref="D134">
      <formula1>50</formula1>
      <formula2>8760</formula2>
    </dataValidation>
    <dataValidation type="decimal" allowBlank="1" showInputMessage="1" showErrorMessage="1" errorTitle="Ошибка" error="Введенное значение находится за пределами допустимого диапазона!" sqref="D135 D141">
      <formula1>0</formula1>
      <formula2>8760</formula2>
    </dataValidation>
    <dataValidation type="whole" allowBlank="1" showInputMessage="1" showErrorMessage="1" errorTitle="Ошибка" error="Новых лифтов больше чем всего!" sqref="D139">
      <formula1>0</formula1>
      <formula2>D138</formula2>
    </dataValidation>
    <dataValidation type="whole" allowBlank="1" showInputMessage="1" showErrorMessage="1" errorTitle="Ошибка" error="Веденное значение отрицательное или больше, чем Количество секций МКД * 6" sqref="D138">
      <formula1>0</formula1>
      <formula2>D17*6</formula2>
    </dataValidation>
    <dataValidation type="decimal" allowBlank="1" showInputMessage="1" showErrorMessage="1" errorTitle="Ошибка" error="Введенное значение менее 1 кВт или более 20 кВт на один лифт" sqref="D140">
      <formula1>D138*1</formula1>
      <formula2>D138*20</formula2>
    </dataValidation>
    <dataValidation type="whole" allowBlank="1" showInputMessage="1" showErrorMessage="1" errorTitle="Ошибка" error="Введенное значение находится за пределами допустимого диапазона!" sqref="D145 D149 D153">
      <formula1>0</formula1>
      <formula2>D144</formula2>
    </dataValidation>
    <dataValidation type="date" allowBlank="1" showInputMessage="1" showErrorMessage="1" error="Неправильная дата!_x000a_Допускается дата ДД.ММ.ГГГГ в диапазоне от 1 июля до 31 декабря предыдущего года." sqref="E244">
      <formula1>DATE(E240-1,7,1)</formula1>
      <formula2>DATE(E240-1,12,31)</formula2>
    </dataValidation>
    <dataValidation type="list" allowBlank="1" showInputMessage="1" showErrorMessage="1" sqref="D240">
      <formula1>months12</formula1>
    </dataValidation>
    <dataValidation type="list" allowBlank="1" showInputMessage="1" showErrorMessage="1" sqref="E240">
      <formula1>Годы_текущий_минус_1</formula1>
    </dataValidation>
    <dataValidation type="date" allowBlank="1" showInputMessage="1" showErrorMessage="1" error="Требуется дата ДД.ММ.ГГГГ из текущего года._x000a_Не вводите, если отопительный сезон закончился позже, чем в месяц последнего счета!" sqref="E245">
      <formula1>42736</formula1>
      <formula2>datebill</formula2>
    </dataValidation>
    <dataValidation type="date" allowBlank="1" showInputMessage="1" showErrorMessage="1" error="Неправильная дата!_x000a_Допускается дата ДД.ММ.ГГГГ в диапазоне от 1 января до 30 июня предыдущего года." sqref="D245">
      <formula1>DATE(E240-1,1,1)</formula1>
      <formula2>DATE(E240-1,6,30)</formula2>
    </dataValidation>
    <dataValidation type="list" allowBlank="1" showInputMessage="1" showErrorMessage="1" sqref="D13">
      <formula1>snipyear</formula1>
    </dataValidation>
    <dataValidation type="list" allowBlank="1" showInputMessage="1" showErrorMessage="1" sqref="C107">
      <formula1>TempWat</formula1>
    </dataValidation>
    <dataValidation type="decimal" allowBlank="1" showInputMessage="1" showErrorMessage="1" errorTitle="Ошибка" error="Введенное значение сильно отличается от теоретического!" sqref="D113">
      <formula1>0</formula1>
      <formula2>50</formula2>
    </dataValidation>
  </dataValidations>
  <hyperlinks>
    <hyperlink ref="E1" r:id="rId1" tooltip="http://fondgkh.ru/finances/finansovaya-podderzhka-kapitalnogo-remonta-v-2017-godu/pomoshhnik-ekr/"/>
    <hyperlink ref="C1" location="'Титульный лист'!A1" tooltip="перейти..." display="&lt;&lt; вернуться на титульный лист"/>
    <hyperlink ref="D39" location="'Ввод исходных данных'!D82" tooltip="перейти..." display="Переход к инженерным системам &gt;&gt;"/>
  </hyperlinks>
  <pageMargins left="0.7" right="0.7" top="0.75" bottom="0.75" header="0.3" footer="0.3"/>
  <pageSetup paperSize="9"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5136" r:id="rId5" name="Check Box 16">
              <controlPr defaultSize="0" autoFill="0" autoLine="0" autoPict="0">
                <anchor moveWithCells="1">
                  <from>
                    <xdr:col>3</xdr:col>
                    <xdr:colOff>114300</xdr:colOff>
                    <xdr:row>26</xdr:row>
                    <xdr:rowOff>57150</xdr:rowOff>
                  </from>
                  <to>
                    <xdr:col>3</xdr:col>
                    <xdr:colOff>1047750</xdr:colOff>
                    <xdr:row>26</xdr:row>
                    <xdr:rowOff>352425</xdr:rowOff>
                  </to>
                </anchor>
              </controlPr>
            </control>
          </mc:Choice>
        </mc:AlternateContent>
        <mc:AlternateContent xmlns:mc="http://schemas.openxmlformats.org/markup-compatibility/2006">
          <mc:Choice Requires="x14">
            <control shapeId="5137" r:id="rId6" name="Check Box 17">
              <controlPr defaultSize="0" autoFill="0" autoLine="0" autoPict="0">
                <anchor moveWithCells="1">
                  <from>
                    <xdr:col>3</xdr:col>
                    <xdr:colOff>1019175</xdr:colOff>
                    <xdr:row>26</xdr:row>
                    <xdr:rowOff>66675</xdr:rowOff>
                  </from>
                  <to>
                    <xdr:col>3</xdr:col>
                    <xdr:colOff>2133600</xdr:colOff>
                    <xdr:row>26</xdr:row>
                    <xdr:rowOff>342900</xdr:rowOff>
                  </to>
                </anchor>
              </controlPr>
            </control>
          </mc:Choice>
        </mc:AlternateContent>
        <mc:AlternateContent xmlns:mc="http://schemas.openxmlformats.org/markup-compatibility/2006">
          <mc:Choice Requires="x14">
            <control shapeId="5143" r:id="rId7" name="Check Box 23">
              <controlPr defaultSize="0" autoFill="0" autoLine="0" autoPict="0">
                <anchor moveWithCells="1">
                  <from>
                    <xdr:col>2</xdr:col>
                    <xdr:colOff>85725</xdr:colOff>
                    <xdr:row>123</xdr:row>
                    <xdr:rowOff>9525</xdr:rowOff>
                  </from>
                  <to>
                    <xdr:col>2</xdr:col>
                    <xdr:colOff>1666875</xdr:colOff>
                    <xdr:row>124</xdr:row>
                    <xdr:rowOff>76200</xdr:rowOff>
                  </to>
                </anchor>
              </controlPr>
            </control>
          </mc:Choice>
        </mc:AlternateContent>
        <mc:AlternateContent xmlns:mc="http://schemas.openxmlformats.org/markup-compatibility/2006">
          <mc:Choice Requires="x14">
            <control shapeId="5144" r:id="rId8" name="Check Box 24">
              <controlPr defaultSize="0" autoFill="0" autoLine="0" autoPict="0">
                <anchor moveWithCells="1">
                  <from>
                    <xdr:col>2</xdr:col>
                    <xdr:colOff>1981200</xdr:colOff>
                    <xdr:row>123</xdr:row>
                    <xdr:rowOff>19050</xdr:rowOff>
                  </from>
                  <to>
                    <xdr:col>2</xdr:col>
                    <xdr:colOff>3629025</xdr:colOff>
                    <xdr:row>124</xdr:row>
                    <xdr:rowOff>85725</xdr:rowOff>
                  </to>
                </anchor>
              </controlPr>
            </control>
          </mc:Choice>
        </mc:AlternateContent>
        <mc:AlternateContent xmlns:mc="http://schemas.openxmlformats.org/markup-compatibility/2006">
          <mc:Choice Requires="x14">
            <control shapeId="5159" r:id="rId9" name="Check Box 39">
              <controlPr defaultSize="0" autoFill="0" autoLine="0" autoPict="0">
                <anchor moveWithCells="1">
                  <from>
                    <xdr:col>2</xdr:col>
                    <xdr:colOff>276225</xdr:colOff>
                    <xdr:row>89</xdr:row>
                    <xdr:rowOff>38100</xdr:rowOff>
                  </from>
                  <to>
                    <xdr:col>2</xdr:col>
                    <xdr:colOff>2981325</xdr:colOff>
                    <xdr:row>91</xdr:row>
                    <xdr:rowOff>28575</xdr:rowOff>
                  </to>
                </anchor>
              </controlPr>
            </control>
          </mc:Choice>
        </mc:AlternateContent>
        <mc:AlternateContent xmlns:mc="http://schemas.openxmlformats.org/markup-compatibility/2006">
          <mc:Choice Requires="x14">
            <control shapeId="5170" r:id="rId10" name="Group Box 50">
              <controlPr defaultSize="0" autoFill="0" autoPict="0">
                <anchor moveWithCells="1">
                  <from>
                    <xdr:col>2</xdr:col>
                    <xdr:colOff>66675</xdr:colOff>
                    <xdr:row>87</xdr:row>
                    <xdr:rowOff>38100</xdr:rowOff>
                  </from>
                  <to>
                    <xdr:col>2</xdr:col>
                    <xdr:colOff>3752850</xdr:colOff>
                    <xdr:row>89</xdr:row>
                    <xdr:rowOff>0</xdr:rowOff>
                  </to>
                </anchor>
              </controlPr>
            </control>
          </mc:Choice>
        </mc:AlternateContent>
        <mc:AlternateContent xmlns:mc="http://schemas.openxmlformats.org/markup-compatibility/2006">
          <mc:Choice Requires="x14">
            <control shapeId="5173" r:id="rId11" name="Group Box 53">
              <controlPr defaultSize="0" autoFill="0" autoPict="0">
                <anchor moveWithCells="1">
                  <from>
                    <xdr:col>4</xdr:col>
                    <xdr:colOff>19050</xdr:colOff>
                    <xdr:row>87</xdr:row>
                    <xdr:rowOff>47625</xdr:rowOff>
                  </from>
                  <to>
                    <xdr:col>4</xdr:col>
                    <xdr:colOff>4029075</xdr:colOff>
                    <xdr:row>93</xdr:row>
                    <xdr:rowOff>152400</xdr:rowOff>
                  </to>
                </anchor>
              </controlPr>
            </control>
          </mc:Choice>
        </mc:AlternateContent>
        <mc:AlternateContent xmlns:mc="http://schemas.openxmlformats.org/markup-compatibility/2006">
          <mc:Choice Requires="x14">
            <control shapeId="5174" r:id="rId12" name="Option Button 54">
              <controlPr defaultSize="0" autoFill="0" autoLine="0" autoPict="0">
                <anchor moveWithCells="1">
                  <from>
                    <xdr:col>4</xdr:col>
                    <xdr:colOff>104775</xdr:colOff>
                    <xdr:row>87</xdr:row>
                    <xdr:rowOff>190500</xdr:rowOff>
                  </from>
                  <to>
                    <xdr:col>4</xdr:col>
                    <xdr:colOff>3895725</xdr:colOff>
                    <xdr:row>89</xdr:row>
                    <xdr:rowOff>47625</xdr:rowOff>
                  </to>
                </anchor>
              </controlPr>
            </control>
          </mc:Choice>
        </mc:AlternateContent>
        <mc:AlternateContent xmlns:mc="http://schemas.openxmlformats.org/markup-compatibility/2006">
          <mc:Choice Requires="x14">
            <control shapeId="5175" r:id="rId13" name="Option Button 55">
              <controlPr defaultSize="0" autoFill="0" autoLine="0" autoPict="0">
                <anchor moveWithCells="1">
                  <from>
                    <xdr:col>4</xdr:col>
                    <xdr:colOff>104775</xdr:colOff>
                    <xdr:row>89</xdr:row>
                    <xdr:rowOff>57150</xdr:rowOff>
                  </from>
                  <to>
                    <xdr:col>4</xdr:col>
                    <xdr:colOff>3962400</xdr:colOff>
                    <xdr:row>90</xdr:row>
                    <xdr:rowOff>142875</xdr:rowOff>
                  </to>
                </anchor>
              </controlPr>
            </control>
          </mc:Choice>
        </mc:AlternateContent>
        <mc:AlternateContent xmlns:mc="http://schemas.openxmlformats.org/markup-compatibility/2006">
          <mc:Choice Requires="x14">
            <control shapeId="5178" r:id="rId14" name="Option Button 58">
              <controlPr defaultSize="0" autoFill="0" autoLine="0" autoPict="0">
                <anchor moveWithCells="1">
                  <from>
                    <xdr:col>4</xdr:col>
                    <xdr:colOff>104775</xdr:colOff>
                    <xdr:row>90</xdr:row>
                    <xdr:rowOff>142875</xdr:rowOff>
                  </from>
                  <to>
                    <xdr:col>4</xdr:col>
                    <xdr:colOff>3876675</xdr:colOff>
                    <xdr:row>92</xdr:row>
                    <xdr:rowOff>38100</xdr:rowOff>
                  </to>
                </anchor>
              </controlPr>
            </control>
          </mc:Choice>
        </mc:AlternateContent>
        <mc:AlternateContent xmlns:mc="http://schemas.openxmlformats.org/markup-compatibility/2006">
          <mc:Choice Requires="x14">
            <control shapeId="5191" r:id="rId15" name="Check Box 71">
              <controlPr defaultSize="0" autoFill="0" autoLine="0" autoPict="0">
                <anchor moveWithCells="1">
                  <from>
                    <xdr:col>3</xdr:col>
                    <xdr:colOff>114300</xdr:colOff>
                    <xdr:row>27</xdr:row>
                    <xdr:rowOff>19050</xdr:rowOff>
                  </from>
                  <to>
                    <xdr:col>3</xdr:col>
                    <xdr:colOff>1047750</xdr:colOff>
                    <xdr:row>27</xdr:row>
                    <xdr:rowOff>323850</xdr:rowOff>
                  </to>
                </anchor>
              </controlPr>
            </control>
          </mc:Choice>
        </mc:AlternateContent>
        <mc:AlternateContent xmlns:mc="http://schemas.openxmlformats.org/markup-compatibility/2006">
          <mc:Choice Requires="x14">
            <control shapeId="5192" r:id="rId16" name="Check Box 72">
              <controlPr defaultSize="0" autoFill="0" autoLine="0" autoPict="0">
                <anchor moveWithCells="1">
                  <from>
                    <xdr:col>3</xdr:col>
                    <xdr:colOff>1019175</xdr:colOff>
                    <xdr:row>27</xdr:row>
                    <xdr:rowOff>28575</xdr:rowOff>
                  </from>
                  <to>
                    <xdr:col>3</xdr:col>
                    <xdr:colOff>2124075</xdr:colOff>
                    <xdr:row>27</xdr:row>
                    <xdr:rowOff>304800</xdr:rowOff>
                  </to>
                </anchor>
              </controlPr>
            </control>
          </mc:Choice>
        </mc:AlternateContent>
        <mc:AlternateContent xmlns:mc="http://schemas.openxmlformats.org/markup-compatibility/2006">
          <mc:Choice Requires="x14">
            <control shapeId="5194" r:id="rId17" name="Option Button 74">
              <controlPr defaultSize="0" autoFill="0" autoLine="0" autoPict="0">
                <anchor moveWithCells="1">
                  <from>
                    <xdr:col>2</xdr:col>
                    <xdr:colOff>276225</xdr:colOff>
                    <xdr:row>87</xdr:row>
                    <xdr:rowOff>180975</xdr:rowOff>
                  </from>
                  <to>
                    <xdr:col>2</xdr:col>
                    <xdr:colOff>2047875</xdr:colOff>
                    <xdr:row>88</xdr:row>
                    <xdr:rowOff>133350</xdr:rowOff>
                  </to>
                </anchor>
              </controlPr>
            </control>
          </mc:Choice>
        </mc:AlternateContent>
        <mc:AlternateContent xmlns:mc="http://schemas.openxmlformats.org/markup-compatibility/2006">
          <mc:Choice Requires="x14">
            <control shapeId="5195" r:id="rId18" name="Option Button 75">
              <controlPr defaultSize="0" autoFill="0" autoLine="0" autoPict="0">
                <anchor moveWithCells="1">
                  <from>
                    <xdr:col>2</xdr:col>
                    <xdr:colOff>1428750</xdr:colOff>
                    <xdr:row>88</xdr:row>
                    <xdr:rowOff>0</xdr:rowOff>
                  </from>
                  <to>
                    <xdr:col>2</xdr:col>
                    <xdr:colOff>2790825</xdr:colOff>
                    <xdr:row>88</xdr:row>
                    <xdr:rowOff>133350</xdr:rowOff>
                  </to>
                </anchor>
              </controlPr>
            </control>
          </mc:Choice>
        </mc:AlternateContent>
        <mc:AlternateContent xmlns:mc="http://schemas.openxmlformats.org/markup-compatibility/2006">
          <mc:Choice Requires="x14">
            <control shapeId="5204" r:id="rId19" name="Group Box 84">
              <controlPr defaultSize="0" autoFill="0" autoPict="0">
                <anchor moveWithCells="1">
                  <from>
                    <xdr:col>2</xdr:col>
                    <xdr:colOff>76200</xdr:colOff>
                    <xdr:row>98</xdr:row>
                    <xdr:rowOff>38100</xdr:rowOff>
                  </from>
                  <to>
                    <xdr:col>2</xdr:col>
                    <xdr:colOff>3571875</xdr:colOff>
                    <xdr:row>101</xdr:row>
                    <xdr:rowOff>76200</xdr:rowOff>
                  </to>
                </anchor>
              </controlPr>
            </control>
          </mc:Choice>
        </mc:AlternateContent>
        <mc:AlternateContent xmlns:mc="http://schemas.openxmlformats.org/markup-compatibility/2006">
          <mc:Choice Requires="x14">
            <control shapeId="5210" r:id="rId20" name="Option Button 90">
              <controlPr defaultSize="0" autoFill="0" autoLine="0" autoPict="0">
                <anchor moveWithCells="1">
                  <from>
                    <xdr:col>2</xdr:col>
                    <xdr:colOff>266700</xdr:colOff>
                    <xdr:row>98</xdr:row>
                    <xdr:rowOff>152400</xdr:rowOff>
                  </from>
                  <to>
                    <xdr:col>2</xdr:col>
                    <xdr:colOff>3562350</xdr:colOff>
                    <xdr:row>100</xdr:row>
                    <xdr:rowOff>152400</xdr:rowOff>
                  </to>
                </anchor>
              </controlPr>
            </control>
          </mc:Choice>
        </mc:AlternateContent>
        <mc:AlternateContent xmlns:mc="http://schemas.openxmlformats.org/markup-compatibility/2006">
          <mc:Choice Requires="x14">
            <control shapeId="5211" r:id="rId21" name="Option Button 91">
              <controlPr defaultSize="0" autoFill="0" autoLine="0" autoPict="0">
                <anchor moveWithCells="1">
                  <from>
                    <xdr:col>2</xdr:col>
                    <xdr:colOff>266700</xdr:colOff>
                    <xdr:row>100</xdr:row>
                    <xdr:rowOff>133350</xdr:rowOff>
                  </from>
                  <to>
                    <xdr:col>2</xdr:col>
                    <xdr:colOff>3086100</xdr:colOff>
                    <xdr:row>101</xdr:row>
                    <xdr:rowOff>38100</xdr:rowOff>
                  </to>
                </anchor>
              </controlPr>
            </control>
          </mc:Choice>
        </mc:AlternateContent>
        <mc:AlternateContent xmlns:mc="http://schemas.openxmlformats.org/markup-compatibility/2006">
          <mc:Choice Requires="x14">
            <control shapeId="5212" r:id="rId22" name="Group Box 92">
              <controlPr defaultSize="0" autoFill="0" autoPict="0">
                <anchor moveWithCells="1">
                  <from>
                    <xdr:col>4</xdr:col>
                    <xdr:colOff>76200</xdr:colOff>
                    <xdr:row>98</xdr:row>
                    <xdr:rowOff>76200</xdr:rowOff>
                  </from>
                  <to>
                    <xdr:col>4</xdr:col>
                    <xdr:colOff>3867150</xdr:colOff>
                    <xdr:row>103</xdr:row>
                    <xdr:rowOff>114300</xdr:rowOff>
                  </to>
                </anchor>
              </controlPr>
            </control>
          </mc:Choice>
        </mc:AlternateContent>
        <mc:AlternateContent xmlns:mc="http://schemas.openxmlformats.org/markup-compatibility/2006">
          <mc:Choice Requires="x14">
            <control shapeId="5213" r:id="rId23" name="Option Button 93">
              <controlPr defaultSize="0" autoFill="0" autoLine="0" autoPict="0">
                <anchor moveWithCells="1">
                  <from>
                    <xdr:col>4</xdr:col>
                    <xdr:colOff>190500</xdr:colOff>
                    <xdr:row>99</xdr:row>
                    <xdr:rowOff>57150</xdr:rowOff>
                  </from>
                  <to>
                    <xdr:col>4</xdr:col>
                    <xdr:colOff>3676650</xdr:colOff>
                    <xdr:row>100</xdr:row>
                    <xdr:rowOff>381000</xdr:rowOff>
                  </to>
                </anchor>
              </controlPr>
            </control>
          </mc:Choice>
        </mc:AlternateContent>
        <mc:AlternateContent xmlns:mc="http://schemas.openxmlformats.org/markup-compatibility/2006">
          <mc:Choice Requires="x14">
            <control shapeId="5214" r:id="rId24" name="Option Button 94">
              <controlPr defaultSize="0" autoFill="0" autoLine="0" autoPict="0">
                <anchor moveWithCells="1">
                  <from>
                    <xdr:col>4</xdr:col>
                    <xdr:colOff>180975</xdr:colOff>
                    <xdr:row>101</xdr:row>
                    <xdr:rowOff>38100</xdr:rowOff>
                  </from>
                  <to>
                    <xdr:col>4</xdr:col>
                    <xdr:colOff>3733800</xdr:colOff>
                    <xdr:row>101</xdr:row>
                    <xdr:rowOff>438150</xdr:rowOff>
                  </to>
                </anchor>
              </controlPr>
            </control>
          </mc:Choice>
        </mc:AlternateContent>
        <mc:AlternateContent xmlns:mc="http://schemas.openxmlformats.org/markup-compatibility/2006">
          <mc:Choice Requires="x14">
            <control shapeId="5221" r:id="rId25" name="Group Box 101">
              <controlPr defaultSize="0" autoFill="0" autoPict="0">
                <anchor moveWithCells="1">
                  <from>
                    <xdr:col>2</xdr:col>
                    <xdr:colOff>57150</xdr:colOff>
                    <xdr:row>115</xdr:row>
                    <xdr:rowOff>19050</xdr:rowOff>
                  </from>
                  <to>
                    <xdr:col>3</xdr:col>
                    <xdr:colOff>0</xdr:colOff>
                    <xdr:row>120</xdr:row>
                    <xdr:rowOff>171450</xdr:rowOff>
                  </to>
                </anchor>
              </controlPr>
            </control>
          </mc:Choice>
        </mc:AlternateContent>
        <mc:AlternateContent xmlns:mc="http://schemas.openxmlformats.org/markup-compatibility/2006">
          <mc:Choice Requires="x14">
            <control shapeId="5230" r:id="rId26" name="Option Button 110">
              <controlPr defaultSize="0" autoFill="0" autoLine="0" autoPict="0">
                <anchor moveWithCells="1">
                  <from>
                    <xdr:col>2</xdr:col>
                    <xdr:colOff>219075</xdr:colOff>
                    <xdr:row>115</xdr:row>
                    <xdr:rowOff>152400</xdr:rowOff>
                  </from>
                  <to>
                    <xdr:col>2</xdr:col>
                    <xdr:colOff>3743325</xdr:colOff>
                    <xdr:row>117</xdr:row>
                    <xdr:rowOff>57150</xdr:rowOff>
                  </to>
                </anchor>
              </controlPr>
            </control>
          </mc:Choice>
        </mc:AlternateContent>
        <mc:AlternateContent xmlns:mc="http://schemas.openxmlformats.org/markup-compatibility/2006">
          <mc:Choice Requires="x14">
            <control shapeId="5231" r:id="rId27" name="Option Button 111">
              <controlPr defaultSize="0" autoFill="0" autoLine="0" autoPict="0">
                <anchor moveWithCells="1">
                  <from>
                    <xdr:col>2</xdr:col>
                    <xdr:colOff>219075</xdr:colOff>
                    <xdr:row>117</xdr:row>
                    <xdr:rowOff>47625</xdr:rowOff>
                  </from>
                  <to>
                    <xdr:col>2</xdr:col>
                    <xdr:colOff>3762375</xdr:colOff>
                    <xdr:row>118</xdr:row>
                    <xdr:rowOff>38100</xdr:rowOff>
                  </to>
                </anchor>
              </controlPr>
            </control>
          </mc:Choice>
        </mc:AlternateContent>
        <mc:AlternateContent xmlns:mc="http://schemas.openxmlformats.org/markup-compatibility/2006">
          <mc:Choice Requires="x14">
            <control shapeId="5232" r:id="rId28" name="Option Button 112">
              <controlPr defaultSize="0" autoFill="0" autoLine="0" autoPict="0">
                <anchor moveWithCells="1">
                  <from>
                    <xdr:col>2</xdr:col>
                    <xdr:colOff>219075</xdr:colOff>
                    <xdr:row>118</xdr:row>
                    <xdr:rowOff>47625</xdr:rowOff>
                  </from>
                  <to>
                    <xdr:col>2</xdr:col>
                    <xdr:colOff>3714750</xdr:colOff>
                    <xdr:row>119</xdr:row>
                    <xdr:rowOff>57150</xdr:rowOff>
                  </to>
                </anchor>
              </controlPr>
            </control>
          </mc:Choice>
        </mc:AlternateContent>
        <mc:AlternateContent xmlns:mc="http://schemas.openxmlformats.org/markup-compatibility/2006">
          <mc:Choice Requires="x14">
            <control shapeId="5234" r:id="rId29" name="Option Button 114">
              <controlPr defaultSize="0" autoFill="0" autoLine="0" autoPict="0">
                <anchor moveWithCells="1">
                  <from>
                    <xdr:col>2</xdr:col>
                    <xdr:colOff>219075</xdr:colOff>
                    <xdr:row>119</xdr:row>
                    <xdr:rowOff>57150</xdr:rowOff>
                  </from>
                  <to>
                    <xdr:col>2</xdr:col>
                    <xdr:colOff>3752850</xdr:colOff>
                    <xdr:row>120</xdr:row>
                    <xdr:rowOff>161925</xdr:rowOff>
                  </to>
                </anchor>
              </controlPr>
            </control>
          </mc:Choice>
        </mc:AlternateContent>
        <mc:AlternateContent xmlns:mc="http://schemas.openxmlformats.org/markup-compatibility/2006">
          <mc:Choice Requires="x14">
            <control shapeId="5237" r:id="rId30" name="Check Box 117">
              <controlPr defaultSize="0" autoFill="0" autoLine="0" autoPict="0">
                <anchor moveWithCells="1">
                  <from>
                    <xdr:col>2</xdr:col>
                    <xdr:colOff>85725</xdr:colOff>
                    <xdr:row>124</xdr:row>
                    <xdr:rowOff>66675</xdr:rowOff>
                  </from>
                  <to>
                    <xdr:col>2</xdr:col>
                    <xdr:colOff>3762375</xdr:colOff>
                    <xdr:row>124</xdr:row>
                    <xdr:rowOff>304800</xdr:rowOff>
                  </to>
                </anchor>
              </controlPr>
            </control>
          </mc:Choice>
        </mc:AlternateContent>
        <mc:AlternateContent xmlns:mc="http://schemas.openxmlformats.org/markup-compatibility/2006">
          <mc:Choice Requires="x14">
            <control shapeId="5239" r:id="rId31" name="Option Button 119">
              <controlPr defaultSize="0" autoFill="0" autoLine="0" autoPict="0" altText="Без смешивающих устройств (непосредственное подключение)">
                <anchor moveWithCells="1">
                  <from>
                    <xdr:col>4</xdr:col>
                    <xdr:colOff>104775</xdr:colOff>
                    <xdr:row>92</xdr:row>
                    <xdr:rowOff>19050</xdr:rowOff>
                  </from>
                  <to>
                    <xdr:col>4</xdr:col>
                    <xdr:colOff>3990975</xdr:colOff>
                    <xdr:row>93</xdr:row>
                    <xdr:rowOff>142875</xdr:rowOff>
                  </to>
                </anchor>
              </controlPr>
            </control>
          </mc:Choice>
        </mc:AlternateContent>
        <mc:AlternateContent xmlns:mc="http://schemas.openxmlformats.org/markup-compatibility/2006">
          <mc:Choice Requires="x14">
            <control shapeId="5240" r:id="rId32" name="Check Box 120">
              <controlPr defaultSize="0" autoFill="0" autoLine="0" autoPict="0">
                <anchor moveWithCells="1">
                  <from>
                    <xdr:col>3</xdr:col>
                    <xdr:colOff>66675</xdr:colOff>
                    <xdr:row>28</xdr:row>
                    <xdr:rowOff>0</xdr:rowOff>
                  </from>
                  <to>
                    <xdr:col>4</xdr:col>
                    <xdr:colOff>47625</xdr:colOff>
                    <xdr:row>29</xdr:row>
                    <xdr:rowOff>9525</xdr:rowOff>
                  </to>
                </anchor>
              </controlPr>
            </control>
          </mc:Choice>
        </mc:AlternateContent>
        <mc:AlternateContent xmlns:mc="http://schemas.openxmlformats.org/markup-compatibility/2006">
          <mc:Choice Requires="x14">
            <control shapeId="5241" r:id="rId33" name="Check Box 121">
              <controlPr defaultSize="0" autoFill="0" autoLine="0" autoPict="0">
                <anchor moveWithCells="1">
                  <from>
                    <xdr:col>3</xdr:col>
                    <xdr:colOff>66675</xdr:colOff>
                    <xdr:row>29</xdr:row>
                    <xdr:rowOff>0</xdr:rowOff>
                  </from>
                  <to>
                    <xdr:col>3</xdr:col>
                    <xdr:colOff>2371725</xdr:colOff>
                    <xdr:row>30</xdr:row>
                    <xdr:rowOff>0</xdr:rowOff>
                  </to>
                </anchor>
              </controlPr>
            </control>
          </mc:Choice>
        </mc:AlternateContent>
        <mc:AlternateContent xmlns:mc="http://schemas.openxmlformats.org/markup-compatibility/2006">
          <mc:Choice Requires="x14">
            <control shapeId="5242" r:id="rId34" name="Check Box 122">
              <controlPr defaultSize="0" autoFill="0" autoLine="0" autoPict="0">
                <anchor moveWithCells="1">
                  <from>
                    <xdr:col>3</xdr:col>
                    <xdr:colOff>66675</xdr:colOff>
                    <xdr:row>29</xdr:row>
                    <xdr:rowOff>209550</xdr:rowOff>
                  </from>
                  <to>
                    <xdr:col>4</xdr:col>
                    <xdr:colOff>133350</xdr:colOff>
                    <xdr:row>31</xdr:row>
                    <xdr:rowOff>28575</xdr:rowOff>
                  </to>
                </anchor>
              </controlPr>
            </control>
          </mc:Choice>
        </mc:AlternateContent>
        <mc:AlternateContent xmlns:mc="http://schemas.openxmlformats.org/markup-compatibility/2006">
          <mc:Choice Requires="x14">
            <control shapeId="5247" r:id="rId35" name="Check Box 127">
              <controlPr defaultSize="0" autoFill="0" autoLine="0" autoPict="0">
                <anchor moveWithCells="1">
                  <from>
                    <xdr:col>3</xdr:col>
                    <xdr:colOff>95250</xdr:colOff>
                    <xdr:row>17</xdr:row>
                    <xdr:rowOff>0</xdr:rowOff>
                  </from>
                  <to>
                    <xdr:col>3</xdr:col>
                    <xdr:colOff>2933700</xdr:colOff>
                    <xdr:row>18</xdr:row>
                    <xdr:rowOff>9525</xdr:rowOff>
                  </to>
                </anchor>
              </controlPr>
            </control>
          </mc:Choice>
        </mc:AlternateContent>
        <mc:AlternateContent xmlns:mc="http://schemas.openxmlformats.org/markup-compatibility/2006">
          <mc:Choice Requires="x14">
            <control shapeId="5259" r:id="rId36" name="Check Box 139">
              <controlPr defaultSize="0" autoFill="0" autoLine="0" autoPict="0">
                <anchor moveWithCells="1">
                  <from>
                    <xdr:col>3</xdr:col>
                    <xdr:colOff>323850</xdr:colOff>
                    <xdr:row>23</xdr:row>
                    <xdr:rowOff>0</xdr:rowOff>
                  </from>
                  <to>
                    <xdr:col>3</xdr:col>
                    <xdr:colOff>1143000</xdr:colOff>
                    <xdr:row>24</xdr:row>
                    <xdr:rowOff>9525</xdr:rowOff>
                  </to>
                </anchor>
              </controlPr>
            </control>
          </mc:Choice>
        </mc:AlternateContent>
        <mc:AlternateContent xmlns:mc="http://schemas.openxmlformats.org/markup-compatibility/2006">
          <mc:Choice Requires="x14">
            <control shapeId="5260" r:id="rId37" name="Check Box 140">
              <controlPr defaultSize="0" autoFill="0" autoLine="0" autoPict="0">
                <anchor moveWithCells="1">
                  <from>
                    <xdr:col>3</xdr:col>
                    <xdr:colOff>323850</xdr:colOff>
                    <xdr:row>24</xdr:row>
                    <xdr:rowOff>0</xdr:rowOff>
                  </from>
                  <to>
                    <xdr:col>3</xdr:col>
                    <xdr:colOff>1143000</xdr:colOff>
                    <xdr:row>25</xdr:row>
                    <xdr:rowOff>9525</xdr:rowOff>
                  </to>
                </anchor>
              </controlPr>
            </control>
          </mc:Choice>
        </mc:AlternateContent>
        <mc:AlternateContent xmlns:mc="http://schemas.openxmlformats.org/markup-compatibility/2006">
          <mc:Choice Requires="x14">
            <control shapeId="5261" r:id="rId38" name="Check Box 141">
              <controlPr defaultSize="0" autoFill="0" autoLine="0" autoPict="0">
                <anchor moveWithCells="1">
                  <from>
                    <xdr:col>3</xdr:col>
                    <xdr:colOff>323850</xdr:colOff>
                    <xdr:row>25</xdr:row>
                    <xdr:rowOff>0</xdr:rowOff>
                  </from>
                  <to>
                    <xdr:col>3</xdr:col>
                    <xdr:colOff>1143000</xdr:colOff>
                    <xdr:row>26</xdr:row>
                    <xdr:rowOff>9525</xdr:rowOff>
                  </to>
                </anchor>
              </controlPr>
            </control>
          </mc:Choice>
        </mc:AlternateContent>
        <mc:AlternateContent xmlns:mc="http://schemas.openxmlformats.org/markup-compatibility/2006">
          <mc:Choice Requires="x14">
            <control shapeId="5262" r:id="rId39" name="Check Box 142">
              <controlPr defaultSize="0" autoFill="0" autoLine="0" autoPict="0">
                <anchor moveWithCells="1">
                  <from>
                    <xdr:col>3</xdr:col>
                    <xdr:colOff>57150</xdr:colOff>
                    <xdr:row>35</xdr:row>
                    <xdr:rowOff>19050</xdr:rowOff>
                  </from>
                  <to>
                    <xdr:col>4</xdr:col>
                    <xdr:colOff>0</xdr:colOff>
                    <xdr:row>35</xdr:row>
                    <xdr:rowOff>257175</xdr:rowOff>
                  </to>
                </anchor>
              </controlPr>
            </control>
          </mc:Choice>
        </mc:AlternateContent>
        <mc:AlternateContent xmlns:mc="http://schemas.openxmlformats.org/markup-compatibility/2006">
          <mc:Choice Requires="x14">
            <control shapeId="5263" r:id="rId40" name="Check Box 143">
              <controlPr defaultSize="0" autoFill="0" autoLine="0" autoPict="0">
                <anchor moveWithCells="1">
                  <from>
                    <xdr:col>3</xdr:col>
                    <xdr:colOff>57150</xdr:colOff>
                    <xdr:row>35</xdr:row>
                    <xdr:rowOff>342900</xdr:rowOff>
                  </from>
                  <to>
                    <xdr:col>3</xdr:col>
                    <xdr:colOff>2990850</xdr:colOff>
                    <xdr:row>36</xdr:row>
                    <xdr:rowOff>0</xdr:rowOff>
                  </to>
                </anchor>
              </controlPr>
            </control>
          </mc:Choice>
        </mc:AlternateContent>
        <mc:AlternateContent xmlns:mc="http://schemas.openxmlformats.org/markup-compatibility/2006">
          <mc:Choice Requires="x14">
            <control shapeId="5295" r:id="rId41" name="Option Button 175">
              <controlPr defaultSize="0" autoFill="0" autoLine="0" autoPict="0">
                <anchor moveWithCells="1">
                  <from>
                    <xdr:col>4</xdr:col>
                    <xdr:colOff>180975</xdr:colOff>
                    <xdr:row>102</xdr:row>
                    <xdr:rowOff>85725</xdr:rowOff>
                  </from>
                  <to>
                    <xdr:col>4</xdr:col>
                    <xdr:colOff>3810000</xdr:colOff>
                    <xdr:row>102</xdr:row>
                    <xdr:rowOff>485775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47" id="{94A8F40F-B3C2-4B76-858A-C5F335960A8E}">
            <xm:f>$D$14&lt;&gt;списки!$B$3</xm:f>
            <x14:dxf>
              <fill>
                <patternFill>
                  <bgColor theme="1" tint="0.24994659260841701"/>
                </patternFill>
              </fill>
            </x14:dxf>
          </x14:cfRule>
          <x14:cfRule type="expression" priority="48" id="{1BF6B5FB-FE37-410D-BEDF-AD9307CAFF61}">
            <xm:f>$D$14=списки!$B$3</xm:f>
            <x14:dxf>
              <font>
                <color auto="1"/>
              </font>
              <fill>
                <patternFill>
                  <bgColor rgb="FFCCFF99"/>
                </patternFill>
              </fill>
            </x14:dxf>
          </x14:cfRule>
          <xm:sqref>D62:D63 D66 D44:D45 D47:D50 D52:D60</xm:sqref>
        </x14:conditionalFormatting>
        <x14:conditionalFormatting xmlns:xm="http://schemas.microsoft.com/office/excel/2006/main">
          <x14:cfRule type="expression" priority="32" id="{3762B722-7705-47EA-B051-AFFDD03E1375}">
            <xm:f>$D$14&lt;&gt;списки!$B$3</xm:f>
            <x14:dxf>
              <fill>
                <patternFill>
                  <bgColor theme="1" tint="0.24994659260841701"/>
                </patternFill>
              </fill>
            </x14:dxf>
          </x14:cfRule>
          <x14:cfRule type="expression" priority="33" id="{20E66CE8-3EBD-49CA-9E0B-3FF68BD6B114}">
            <xm:f>$D$14=списки!$B$3</xm:f>
            <x14:dxf>
              <font>
                <color auto="1"/>
              </font>
              <fill>
                <patternFill>
                  <bgColor rgb="FFCCFF99"/>
                </patternFill>
              </fill>
            </x14:dxf>
          </x14:cfRule>
          <xm:sqref>D61</xm:sqref>
        </x14:conditionalFormatting>
        <x14:conditionalFormatting xmlns:xm="http://schemas.microsoft.com/office/excel/2006/main">
          <x14:cfRule type="expression" priority="30" id="{39DBCF2A-1C97-4FE2-991D-4C600E22CD56}">
            <xm:f>$D$14&lt;&gt;списки!$B$3</xm:f>
            <x14:dxf>
              <fill>
                <patternFill>
                  <bgColor theme="1" tint="0.24994659260841701"/>
                </patternFill>
              </fill>
            </x14:dxf>
          </x14:cfRule>
          <x14:cfRule type="expression" priority="31" id="{7D2C58E9-D798-44BE-8DA5-60D58DB237D3}">
            <xm:f>$D$14=списки!$B$3</xm:f>
            <x14:dxf>
              <font>
                <color auto="1"/>
              </font>
              <fill>
                <patternFill>
                  <bgColor rgb="FFCCFF99"/>
                </patternFill>
              </fill>
            </x14:dxf>
          </x14:cfRule>
          <xm:sqref>D64</xm:sqref>
        </x14:conditionalFormatting>
        <x14:conditionalFormatting xmlns:xm="http://schemas.microsoft.com/office/excel/2006/main">
          <x14:cfRule type="expression" priority="26" id="{D8E968D8-FCD3-4B69-B522-3E1A11840937}">
            <xm:f>$D$14&lt;&gt;списки!$B$3</xm:f>
            <x14:dxf>
              <fill>
                <patternFill>
                  <bgColor theme="1" tint="0.24994659260841701"/>
                </patternFill>
              </fill>
            </x14:dxf>
          </x14:cfRule>
          <x14:cfRule type="expression" priority="27" id="{E258486C-9B39-4105-B5B8-913E135ED5F8}">
            <xm:f>$D$14=списки!$B$3</xm:f>
            <x14:dxf>
              <font>
                <color auto="1"/>
              </font>
              <fill>
                <patternFill>
                  <bgColor rgb="FFCCFF99"/>
                </patternFill>
              </fill>
            </x14:dxf>
          </x14:cfRule>
          <xm:sqref>D46</xm:sqref>
        </x14:conditionalFormatting>
        <x14:conditionalFormatting xmlns:xm="http://schemas.microsoft.com/office/excel/2006/main">
          <x14:cfRule type="expression" priority="219" id="{EA552C4E-480B-46B2-A41F-86B9F9289122}">
            <xm:f>списки!$C$47=0</xm:f>
            <x14:dxf>
              <font>
                <color rgb="FFC0F094"/>
              </font>
            </x14:dxf>
          </x14:cfRule>
          <xm:sqref>E17:E18 E22</xm:sqref>
        </x14:conditionalFormatting>
        <x14:conditionalFormatting xmlns:xm="http://schemas.microsoft.com/office/excel/2006/main">
          <x14:cfRule type="expression" priority="12" id="{875A0138-3204-460D-85E8-1781753A4232}">
            <xm:f>$D$14&lt;&gt;списки!$B$3</xm:f>
            <x14:dxf>
              <fill>
                <patternFill>
                  <bgColor theme="1" tint="0.24994659260841701"/>
                </patternFill>
              </fill>
            </x14:dxf>
          </x14:cfRule>
          <x14:cfRule type="expression" priority="13" id="{ACA2706C-EFED-4631-865A-1F2254686548}">
            <xm:f>$D$14=списки!$B$3</xm:f>
            <x14:dxf>
              <font>
                <color auto="1"/>
              </font>
              <fill>
                <patternFill>
                  <bgColor rgb="FFCCFF99"/>
                </patternFill>
              </fill>
            </x14:dxf>
          </x14:cfRule>
          <xm:sqref>D65</xm:sqref>
        </x14:conditionalFormatting>
      </x14:conditionalFormattings>
    </ext>
    <ext xmlns:x14="http://schemas.microsoft.com/office/spreadsheetml/2009/9/main" uri="{05C60535-1F16-4fd2-B633-F4F36F0B64E0}">
      <x14:sparklineGroups xmlns:xm="http://schemas.microsoft.com/office/excel/2006/main">
        <x14:sparklineGroup manualMax="1" manualMin="0" type="column" displayEmptyCellsAs="gap" minAxisType="custom" maxAxisType="custom">
          <x14:colorSeries theme="9" tint="0.59999389629810485"/>
          <x14:colorNegative theme="5"/>
          <x14:colorAxis rgb="FF000000"/>
          <x14:colorMarkers theme="4" tint="-0.499984740745262"/>
          <x14:colorFirst theme="4" tint="0.39997558519241921"/>
          <x14:colorLast theme="4" tint="0.39997558519241921"/>
          <x14:colorHigh theme="4"/>
          <x14:colorLow theme="4"/>
          <x14:sparklines>
            <x14:sparkline>
              <xm:f>'Ввод исходных данных'!B8:B8</xm:f>
              <xm:sqref>B8</xm:sqref>
            </x14:sparkline>
          </x14:sparklines>
        </x14:sparklineGroup>
        <x14:sparklineGroup manualMax="1" manualMin="0" type="column" displayEmptyCellsAs="gap" minAxisType="custom" maxAxisType="custom">
          <x14:colorSeries theme="9" tint="0.59999389629810485"/>
          <x14:colorNegative theme="5"/>
          <x14:colorAxis rgb="FF000000"/>
          <x14:colorMarkers theme="4" tint="-0.499984740745262"/>
          <x14:colorFirst theme="4" tint="0.39997558519241921"/>
          <x14:colorLast theme="4" tint="0.39997558519241921"/>
          <x14:colorHigh theme="4"/>
          <x14:colorLow theme="4"/>
          <x14:sparklines>
            <x14:sparkline>
              <xm:f>'Ввод исходных данных'!B42:B42</xm:f>
              <xm:sqref>B42</xm:sqref>
            </x14:sparkline>
          </x14:sparklines>
        </x14:sparklineGroup>
        <x14:sparklineGroup manualMax="1" manualMin="0" type="column" displayEmptyCellsAs="gap" minAxisType="custom" maxAxisType="custom">
          <x14:colorSeries theme="9" tint="0.59999389629810485"/>
          <x14:colorNegative theme="5"/>
          <x14:colorAxis rgb="FF000000"/>
          <x14:colorMarkers theme="4" tint="-0.499984740745262"/>
          <x14:colorFirst theme="4" tint="0.39997558519241921"/>
          <x14:colorLast theme="4" tint="0.39997558519241921"/>
          <x14:colorHigh theme="4"/>
          <x14:colorLow theme="4"/>
          <x14:sparklines>
            <x14:sparkline>
              <xm:f>'Ввод исходных данных'!B69:B69</xm:f>
              <xm:sqref>B69</xm:sqref>
            </x14:sparkline>
          </x14:sparklines>
        </x14:sparklineGroup>
        <x14:sparklineGroup manualMax="1" manualMin="0" type="column" displayEmptyCellsAs="gap" minAxisType="custom" maxAxisType="custom">
          <x14:colorSeries theme="9" tint="0.59999389629810485"/>
          <x14:colorNegative theme="5"/>
          <x14:colorAxis rgb="FF000000"/>
          <x14:colorMarkers theme="4" tint="-0.499984740745262"/>
          <x14:colorFirst theme="4" tint="0.39997558519241921"/>
          <x14:colorLast theme="4" tint="0.39997558519241921"/>
          <x14:colorHigh theme="4"/>
          <x14:colorLow theme="4"/>
          <x14:sparklines>
            <x14:sparkline>
              <xm:f>'Ввод исходных данных'!B79:B79</xm:f>
              <xm:sqref>B79</xm:sqref>
            </x14:sparkline>
          </x14:sparklines>
        </x14:sparklineGroup>
        <x14:sparklineGroup manualMax="1" manualMin="0" type="column" displayEmptyCellsAs="gap" minAxisType="custom" maxAxisType="custom">
          <x14:colorSeries theme="9" tint="0.59999389629810485"/>
          <x14:colorNegative theme="5"/>
          <x14:colorAxis rgb="FF000000"/>
          <x14:colorMarkers theme="4" tint="-0.499984740745262"/>
          <x14:colorFirst theme="4" tint="0.39997558519241921"/>
          <x14:colorLast theme="4" tint="0.39997558519241921"/>
          <x14:colorHigh theme="4"/>
          <x14:colorLow theme="4"/>
          <x14:sparklines>
            <x14:sparkline>
              <xm:f>'Ввод исходных данных'!B163:B163</xm:f>
              <xm:sqref>B163</xm:sqref>
            </x14:sparkline>
          </x14:sparklines>
        </x14:sparklineGroup>
        <x14:sparklineGroup manualMax="1" manualMin="0" type="column" displayEmptyCellsAs="gap" minAxisType="custom" maxAxisType="custom">
          <x14:colorSeries theme="9" tint="0.59999389629810485"/>
          <x14:colorNegative theme="5"/>
          <x14:colorAxis rgb="FF000000"/>
          <x14:colorMarkers theme="4" tint="-0.499984740745262"/>
          <x14:colorFirst theme="4" tint="0.39997558519241921"/>
          <x14:colorLast theme="4" tint="0.39997558519241921"/>
          <x14:colorHigh theme="4"/>
          <x14:colorLow theme="4"/>
          <x14:sparklines>
            <x14:sparkline>
              <xm:f>'Ввод исходных данных'!B239:B239</xm:f>
              <xm:sqref>B239</xm:sqref>
            </x14:sparkline>
          </x14:sparklines>
        </x14:sparklineGroup>
        <x14:sparklineGroup manualMax="1" manualMin="0" type="column" displayEmptyCellsAs="gap" minAxisType="custom" maxAxisType="custom">
          <x14:colorSeries theme="9" tint="0.59999389629810485"/>
          <x14:colorNegative theme="5"/>
          <x14:colorAxis rgb="FF000000"/>
          <x14:colorMarkers theme="4" tint="-0.499984740745262"/>
          <x14:colorFirst theme="4" tint="0.39997558519241921"/>
          <x14:colorLast theme="4" tint="0.39997558519241921"/>
          <x14:colorHigh theme="4"/>
          <x14:colorLow theme="4"/>
          <x14:sparklines>
            <x14:sparkline>
              <xm:f>'Ввод исходных данных'!B266:B266</xm:f>
              <xm:sqref>B266</xm:sqref>
            </x14:sparkline>
          </x14:sparklines>
        </x14:sparklineGroup>
        <x14:sparklineGroup manualMax="1" manualMin="0" type="column" displayEmptyCellsAs="gap" minAxisType="custom" maxAxisType="custom">
          <x14:colorSeries theme="9" tint="0.59999389629810485"/>
          <x14:colorNegative theme="5"/>
          <x14:colorAxis rgb="FF000000"/>
          <x14:colorMarkers theme="4" tint="-0.499984740745262"/>
          <x14:colorFirst theme="4" tint="0.39997558519241921"/>
          <x14:colorLast theme="4" tint="0.39997558519241921"/>
          <x14:colorHigh theme="4"/>
          <x14:colorLow theme="4"/>
          <x14:sparklines>
            <x14:sparkline>
              <xm:f>'Ввод исходных данных'!B274:B274</xm:f>
              <xm:sqref>B274</xm:sqref>
            </x14:sparkline>
          </x14:sparklines>
        </x14:sparklineGroup>
        <x14:sparklineGroup manualMax="1" manualMin="0" type="column" displayEmptyCellsAs="gap" minAxisType="custom" maxAxisType="custom">
          <x14:colorSeries theme="9" tint="0.59999389629810485"/>
          <x14:colorNegative theme="5"/>
          <x14:colorAxis rgb="FF000000"/>
          <x14:colorMarkers theme="4" tint="-0.499984740745262"/>
          <x14:colorFirst theme="4" tint="0.39997558519241921"/>
          <x14:colorLast theme="4" tint="0.39997558519241921"/>
          <x14:colorHigh theme="4"/>
          <x14:colorLow theme="4"/>
          <x14:sparklines>
            <x14:sparkline>
              <xm:f>'Ввод исходных данных'!B290:B290</xm:f>
              <xm:sqref>B292</xm:sqref>
            </x14:sparkline>
          </x14:sparklines>
        </x14:sparklineGroup>
      </x14:sparklineGroup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Лист11">
    <tabColor rgb="FFADDB7B"/>
  </sheetPr>
  <dimension ref="A1:AS177"/>
  <sheetViews>
    <sheetView zoomScale="90" zoomScaleNormal="90" workbookViewId="0">
      <pane ySplit="2" topLeftCell="A3" activePane="bottomLeft" state="frozen"/>
      <selection pane="bottomLeft" activeCell="F24" sqref="F24"/>
    </sheetView>
  </sheetViews>
  <sheetFormatPr defaultColWidth="9.140625" defaultRowHeight="15" x14ac:dyDescent="0.25"/>
  <cols>
    <col min="1" max="2" width="3.42578125" style="75" customWidth="1"/>
    <col min="3" max="3" width="6" style="75" customWidth="1"/>
    <col min="4" max="4" width="55.140625" style="75" customWidth="1"/>
    <col min="5" max="5" width="41.42578125" style="75" customWidth="1"/>
    <col min="6" max="11" width="13.7109375" style="75" customWidth="1"/>
    <col min="12" max="12" width="55.5703125" style="75" customWidth="1"/>
    <col min="13" max="13" width="3.5703125" style="75" customWidth="1"/>
    <col min="14" max="14" width="10.28515625" style="1267" customWidth="1"/>
    <col min="15" max="17" width="7.28515625" style="75" hidden="1" customWidth="1"/>
    <col min="18" max="18" width="8.42578125" style="75" hidden="1" customWidth="1"/>
    <col min="19" max="19" width="9" style="75" hidden="1" customWidth="1"/>
    <col min="20" max="25" width="7.28515625" style="75" hidden="1" customWidth="1"/>
    <col min="26" max="27" width="2.7109375" style="75" hidden="1" customWidth="1"/>
    <col min="28" max="29" width="2.7109375" style="211" hidden="1" customWidth="1"/>
    <col min="30" max="30" width="8.85546875" style="75" hidden="1" customWidth="1"/>
    <col min="31" max="31" width="2.7109375" style="75" hidden="1" customWidth="1"/>
    <col min="32" max="33" width="2.7109375" style="75" customWidth="1"/>
    <col min="34" max="16384" width="9.140625" style="75"/>
  </cols>
  <sheetData>
    <row r="1" spans="1:45" s="43" customFormat="1" ht="15" customHeight="1" x14ac:dyDescent="0.2">
      <c r="A1" s="40"/>
      <c r="B1" s="1617" t="s">
        <v>1661</v>
      </c>
      <c r="C1" s="1617"/>
      <c r="D1" s="1617"/>
      <c r="F1" s="1683" t="s">
        <v>1654</v>
      </c>
      <c r="G1" s="1683"/>
      <c r="H1" s="1683"/>
      <c r="I1" s="42"/>
      <c r="AB1" s="1170"/>
      <c r="AC1" s="1170"/>
    </row>
    <row r="2" spans="1:45" ht="71.25" customHeight="1" x14ac:dyDescent="0.25">
      <c r="A2" s="1379" t="s">
        <v>1842</v>
      </c>
      <c r="B2" s="74"/>
      <c r="C2" s="1646" t="s">
        <v>1476</v>
      </c>
      <c r="D2" s="1646"/>
      <c r="E2" s="1182" t="s">
        <v>1256</v>
      </c>
      <c r="F2" s="1376" t="s">
        <v>1843</v>
      </c>
      <c r="G2" s="1377" t="s">
        <v>1844</v>
      </c>
      <c r="H2" s="1378" t="s">
        <v>1369</v>
      </c>
      <c r="I2" s="1378" t="s">
        <v>1367</v>
      </c>
      <c r="J2" s="1378" t="s">
        <v>1901</v>
      </c>
      <c r="K2" s="1378" t="s">
        <v>1368</v>
      </c>
      <c r="L2" s="1182" t="s">
        <v>1257</v>
      </c>
      <c r="M2" s="74"/>
      <c r="N2" s="74"/>
      <c r="O2" s="1651" t="s">
        <v>1524</v>
      </c>
      <c r="P2" s="1652"/>
      <c r="Q2" s="1653"/>
      <c r="R2" s="1645" t="s">
        <v>1486</v>
      </c>
      <c r="S2" s="1645"/>
      <c r="T2" s="1645" t="s">
        <v>1487</v>
      </c>
      <c r="U2" s="1645"/>
      <c r="V2" s="1650" t="s">
        <v>1488</v>
      </c>
      <c r="W2" s="1650"/>
      <c r="X2" s="1645" t="s">
        <v>1493</v>
      </c>
      <c r="Y2" s="1645"/>
      <c r="Z2" s="74" t="s">
        <v>1503</v>
      </c>
      <c r="AA2" s="1183" t="s">
        <v>894</v>
      </c>
      <c r="AB2" s="1670" t="s">
        <v>896</v>
      </c>
      <c r="AC2" s="1670"/>
      <c r="AD2" s="1184" t="s">
        <v>895</v>
      </c>
      <c r="AF2" s="74"/>
      <c r="AG2" s="74"/>
      <c r="AH2" s="74"/>
      <c r="AI2" s="74"/>
      <c r="AJ2" s="74"/>
      <c r="AK2" s="74"/>
      <c r="AL2" s="74"/>
      <c r="AM2" s="74"/>
      <c r="AN2" s="74"/>
      <c r="AO2" s="74"/>
      <c r="AP2" s="74"/>
      <c r="AQ2" s="74"/>
      <c r="AR2" s="74"/>
      <c r="AS2" s="74"/>
    </row>
    <row r="3" spans="1:45" ht="20.25" customHeight="1" x14ac:dyDescent="0.25">
      <c r="A3" s="74"/>
      <c r="B3" s="74"/>
      <c r="C3" s="74"/>
      <c r="D3" s="1654" t="s">
        <v>1521</v>
      </c>
      <c r="E3" s="1654"/>
      <c r="F3" s="1654"/>
      <c r="G3" s="1654"/>
      <c r="H3" s="1654"/>
      <c r="I3" s="1654"/>
      <c r="J3" s="1654"/>
      <c r="K3" s="1654"/>
      <c r="L3" s="1654"/>
      <c r="M3" s="74"/>
      <c r="N3" s="74"/>
      <c r="O3" s="1647" t="s">
        <v>1523</v>
      </c>
      <c r="P3" s="1648"/>
      <c r="Q3" s="1649"/>
      <c r="R3" s="1645" t="s">
        <v>1486</v>
      </c>
      <c r="S3" s="1645"/>
      <c r="T3" s="1645" t="s">
        <v>1487</v>
      </c>
      <c r="U3" s="1645"/>
      <c r="V3" s="1650" t="s">
        <v>1488</v>
      </c>
      <c r="W3" s="1650"/>
      <c r="X3" s="1645" t="s">
        <v>1493</v>
      </c>
      <c r="Y3" s="1645"/>
      <c r="Z3" s="74"/>
      <c r="AA3" s="74"/>
      <c r="AB3" s="1171"/>
      <c r="AC3" s="1171"/>
      <c r="AD3" s="74"/>
      <c r="AE3" s="74"/>
      <c r="AF3" s="74"/>
      <c r="AG3" s="74"/>
      <c r="AH3" s="74"/>
      <c r="AI3" s="74"/>
      <c r="AJ3" s="74"/>
      <c r="AK3" s="74"/>
      <c r="AL3" s="74"/>
      <c r="AM3" s="74"/>
      <c r="AN3" s="74"/>
      <c r="AO3" s="74"/>
      <c r="AP3" s="74"/>
      <c r="AQ3" s="74"/>
      <c r="AR3" s="74"/>
      <c r="AS3" s="74"/>
    </row>
    <row r="4" spans="1:45" ht="128.25" customHeight="1" x14ac:dyDescent="0.25">
      <c r="A4" s="74"/>
      <c r="B4" s="74"/>
      <c r="C4" s="1662" t="str">
        <f>IFERROR(IF('Расчет базового уровня'!E12&gt;1.1*'Расчет базового уровня'!C12,CONCATENATE("Фактическое годовое потребление тепла на отопление и вентиляцию, приведенное к нормативным климатическим условиям, превышает расчетную величину на ",ROUND('Расчет базового уровня'!E12/'Расчет базового уровня'!C12*100-100,0),"%!"),IF('Расчет базового уровня'!E12&lt;0.9*'Расчет базового уровня'!C12,CONCATENATE("Фактическое годовое потребление тепла на отопление и вентиляцию, приведенное к нормативным климатическим условиям, ниже расчетной величины на ",ROUND('Расчет базового уровня'!E12/'Расчет базового уровня'!C12*100-100,0),"%!"),"")),"")</f>
        <v/>
      </c>
      <c r="D4" s="1662"/>
      <c r="E4" s="1185" t="str">
        <f>IFERROR(IF('Расчет базового уровня'!E12/'Расчет базового уровня'!C12&gt;1.1,"Это может свидетельствовать о перетопе МКД. Установка узлов управления потреблением теплоэнергией устранит переотапливание и реализует экономию",IF('Расчет базового уровня'!E12/'Расчет базового уровня'!C12&lt;0.9,"Это может свидетельствовать о недотопе МКД. Установка узлов управления не даст существенной экономии энергии. Для реализации потенциала экономии необходимо также провести мероприятия по утеплению здания и ремонту трубопроводов","")),"")</f>
        <v/>
      </c>
      <c r="F4" s="1662" t="str">
        <f>'Ввод исходных данных'!G206</f>
        <v/>
      </c>
      <c r="G4" s="1662"/>
      <c r="H4" s="1662"/>
      <c r="I4" s="1662"/>
      <c r="J4" s="1662"/>
      <c r="K4" s="1662"/>
      <c r="L4" s="1186" t="str">
        <f>'Ввод исходных данных'!I206</f>
        <v/>
      </c>
      <c r="M4" s="74"/>
      <c r="N4" s="1187"/>
      <c r="O4" s="1188" t="s">
        <v>1525</v>
      </c>
      <c r="P4" s="1188" t="s">
        <v>1526</v>
      </c>
      <c r="Q4" s="1188" t="s">
        <v>1421</v>
      </c>
      <c r="R4" s="1188" t="s">
        <v>1485</v>
      </c>
      <c r="S4" s="1188" t="s">
        <v>1484</v>
      </c>
      <c r="T4" s="1188" t="s">
        <v>1485</v>
      </c>
      <c r="U4" s="1188" t="s">
        <v>1484</v>
      </c>
      <c r="V4" s="1188" t="s">
        <v>1485</v>
      </c>
      <c r="W4" s="1188" t="s">
        <v>1484</v>
      </c>
      <c r="X4" s="1188" t="s">
        <v>1485</v>
      </c>
      <c r="Y4" s="1188" t="s">
        <v>1484</v>
      </c>
      <c r="Z4" s="74"/>
      <c r="AA4" s="74"/>
      <c r="AB4" s="1171"/>
      <c r="AC4" s="1171"/>
      <c r="AD4" s="74"/>
      <c r="AE4" s="74"/>
      <c r="AF4" s="74"/>
      <c r="AG4" s="74"/>
      <c r="AH4" s="74"/>
      <c r="AI4" s="74"/>
      <c r="AJ4" s="74"/>
      <c r="AK4" s="74"/>
      <c r="AL4" s="74"/>
      <c r="AM4" s="74"/>
      <c r="AN4" s="74"/>
      <c r="AO4" s="74"/>
      <c r="AP4" s="74"/>
      <c r="AQ4" s="74"/>
      <c r="AR4" s="74"/>
      <c r="AS4" s="74"/>
    </row>
    <row r="5" spans="1:45" ht="21" customHeight="1" x14ac:dyDescent="0.25">
      <c r="A5" s="74"/>
      <c r="B5" s="74"/>
      <c r="C5" s="74"/>
      <c r="D5" s="1654" t="s">
        <v>1522</v>
      </c>
      <c r="E5" s="1654"/>
      <c r="F5" s="1654"/>
      <c r="G5" s="1654"/>
      <c r="H5" s="1654"/>
      <c r="I5" s="1654"/>
      <c r="J5" s="1654"/>
      <c r="K5" s="1654"/>
      <c r="L5" s="1654"/>
      <c r="M5" s="74"/>
      <c r="N5" s="74"/>
      <c r="O5" s="1189"/>
      <c r="P5" s="1189"/>
      <c r="Q5" s="1189"/>
      <c r="R5" s="1189"/>
      <c r="S5" s="1189"/>
      <c r="T5" s="1189"/>
      <c r="U5" s="1189"/>
      <c r="V5" s="1189"/>
      <c r="W5" s="1189"/>
      <c r="X5" s="1189"/>
      <c r="Y5" s="1189"/>
      <c r="Z5" s="74"/>
      <c r="AA5" s="74"/>
      <c r="AB5" s="1171"/>
      <c r="AC5" s="1172"/>
      <c r="AD5" s="74"/>
      <c r="AE5" s="74"/>
      <c r="AF5" s="74"/>
      <c r="AG5" s="74"/>
      <c r="AH5" s="74"/>
      <c r="AI5" s="74"/>
      <c r="AJ5" s="74"/>
      <c r="AK5" s="74"/>
      <c r="AL5" s="74"/>
      <c r="AM5" s="74"/>
      <c r="AN5" s="74"/>
      <c r="AO5" s="74"/>
      <c r="AP5" s="74"/>
      <c r="AQ5" s="74"/>
      <c r="AR5" s="74"/>
      <c r="AS5" s="74"/>
    </row>
    <row r="6" spans="1:45" ht="15.75" x14ac:dyDescent="0.25">
      <c r="A6" s="1190" t="str">
        <f>IF(SUM(AD8:AD77)&gt;0,"Ошибка","")</f>
        <v/>
      </c>
      <c r="B6" s="74"/>
      <c r="C6" s="1191"/>
      <c r="D6" s="1192" t="s">
        <v>863</v>
      </c>
      <c r="E6" s="1182" t="s">
        <v>1256</v>
      </c>
      <c r="F6" s="1193"/>
      <c r="G6" s="1193"/>
      <c r="H6" s="1193"/>
      <c r="I6" s="1193"/>
      <c r="J6" s="1193"/>
      <c r="K6" s="1193"/>
      <c r="L6" s="1182" t="s">
        <v>1257</v>
      </c>
      <c r="M6" s="74"/>
      <c r="N6" s="74"/>
      <c r="O6" s="1194"/>
      <c r="P6" s="1194"/>
      <c r="Q6" s="1194"/>
      <c r="R6" s="1194"/>
      <c r="S6" s="1195" t="e">
        <f>S7+S31+S36+S18+S60</f>
        <v>#DIV/0!</v>
      </c>
      <c r="T6" s="1194"/>
      <c r="U6" s="1195" t="e">
        <f>U7+U31+U36</f>
        <v>#DIV/0!</v>
      </c>
      <c r="V6" s="1194"/>
      <c r="W6" s="1196" t="e">
        <f>W7+W31+W36+W18+W54+W60+W71</f>
        <v>#DIV/0!</v>
      </c>
      <c r="X6" s="1196"/>
      <c r="Y6" s="1196" t="e">
        <f>Y54+Y71+Y31</f>
        <v>#DIV/0!</v>
      </c>
      <c r="Z6" s="74"/>
      <c r="AA6" s="74"/>
      <c r="AB6" s="1171"/>
      <c r="AC6" s="1172"/>
      <c r="AD6" s="75">
        <f>SUM(AD8:AD77)</f>
        <v>0</v>
      </c>
      <c r="AF6" s="74"/>
      <c r="AG6" s="74"/>
      <c r="AH6" s="74"/>
      <c r="AI6" s="74"/>
      <c r="AJ6" s="74"/>
      <c r="AK6" s="74"/>
      <c r="AL6" s="74"/>
      <c r="AM6" s="74"/>
      <c r="AN6" s="74"/>
      <c r="AO6" s="74"/>
      <c r="AP6" s="74"/>
      <c r="AQ6" s="74"/>
      <c r="AR6" s="74"/>
      <c r="AS6" s="74"/>
    </row>
    <row r="7" spans="1:45" ht="15.75" x14ac:dyDescent="0.25">
      <c r="A7" s="1190" t="str">
        <f>IF(SUM(AD8:AD15)&gt;0,"Ошибка","")</f>
        <v/>
      </c>
      <c r="B7" s="74"/>
      <c r="C7" s="1191"/>
      <c r="D7" s="1192" t="s">
        <v>1424</v>
      </c>
      <c r="E7" s="1182"/>
      <c r="F7" s="1193"/>
      <c r="G7" s="1193"/>
      <c r="H7" s="1193"/>
      <c r="I7" s="1193"/>
      <c r="J7" s="1193"/>
      <c r="K7" s="1193"/>
      <c r="L7" s="1182"/>
      <c r="M7" s="74"/>
      <c r="N7" s="74"/>
      <c r="O7" s="1198">
        <f>SUM(O9,O12,O14)</f>
        <v>0</v>
      </c>
      <c r="P7" s="1198"/>
      <c r="Q7" s="1198"/>
      <c r="R7" s="1199" t="e">
        <f>O7/'Расчет базового уровня'!$D$35*1163</f>
        <v>#DIV/0!</v>
      </c>
      <c r="S7" s="1200" t="e">
        <f>R7</f>
        <v>#DIV/0!</v>
      </c>
      <c r="T7" s="1201"/>
      <c r="U7" s="1201"/>
      <c r="V7" s="1199" t="e">
        <f>(O7+P7)/'Расчет базового уровня'!$D$9*1163</f>
        <v>#DIV/0!</v>
      </c>
      <c r="W7" s="1202" t="e">
        <f>(S7*'Расчет базового уровня'!$D$35+'Список мероприятий'!U7*'Расчет базового уровня'!$D$15)/'Расчет базового уровня'!$D$9</f>
        <v>#DIV/0!</v>
      </c>
      <c r="X7" s="1202"/>
      <c r="Y7" s="1202"/>
      <c r="Z7" s="74"/>
      <c r="AA7" s="1197"/>
      <c r="AB7" s="1173"/>
      <c r="AC7" s="1174"/>
      <c r="AD7" s="1203"/>
      <c r="AE7" s="1203"/>
      <c r="AF7" s="74"/>
      <c r="AG7" s="74"/>
      <c r="AH7" s="74"/>
      <c r="AI7" s="74"/>
      <c r="AJ7" s="74"/>
      <c r="AK7" s="74"/>
      <c r="AL7" s="74"/>
      <c r="AM7" s="74"/>
      <c r="AN7" s="74"/>
      <c r="AO7" s="74"/>
      <c r="AP7" s="74"/>
      <c r="AQ7" s="74"/>
      <c r="AR7" s="74"/>
      <c r="AS7" s="74"/>
    </row>
    <row r="8" spans="1:45" ht="17.25" customHeight="1" x14ac:dyDescent="0.25">
      <c r="A8" s="1204" t="str">
        <f>IF(OR(AND(AA8=0,AB8=1),AND(AA8=1,AB8=0)),"Ошибка","")</f>
        <v/>
      </c>
      <c r="B8" s="74"/>
      <c r="C8" s="1205"/>
      <c r="D8" s="1206" t="s">
        <v>1291</v>
      </c>
      <c r="E8" s="1619" t="s">
        <v>1848</v>
      </c>
      <c r="F8" s="1380" t="s">
        <v>1845</v>
      </c>
      <c r="G8" s="1380" t="s">
        <v>1310</v>
      </c>
      <c r="H8" s="1380" t="s">
        <v>1309</v>
      </c>
      <c r="I8" s="1380" t="s">
        <v>1309</v>
      </c>
      <c r="J8" s="1380" t="s">
        <v>1309</v>
      </c>
      <c r="K8" s="1380" t="s">
        <v>1309</v>
      </c>
      <c r="L8" s="1622" t="s">
        <v>1480</v>
      </c>
      <c r="M8" s="74"/>
      <c r="N8" s="74"/>
      <c r="O8" s="1207"/>
      <c r="P8" s="1207"/>
      <c r="Q8" s="1207"/>
      <c r="R8" s="1189"/>
      <c r="S8" s="1189"/>
      <c r="T8" s="1189"/>
      <c r="U8" s="1189"/>
      <c r="V8" s="1189"/>
      <c r="W8" s="1189"/>
      <c r="X8" s="1189"/>
      <c r="Y8" s="1189"/>
      <c r="Z8" s="74"/>
      <c r="AA8" s="1203"/>
      <c r="AB8" s="1175"/>
      <c r="AC8" s="1176"/>
      <c r="AD8" s="1203">
        <f>IF(AND(AA8=1,A8="ОШИБКА"),1,0)</f>
        <v>0</v>
      </c>
      <c r="AF8" s="74"/>
      <c r="AG8" s="74"/>
      <c r="AH8" s="74"/>
      <c r="AI8" s="74"/>
      <c r="AJ8" s="74"/>
      <c r="AK8" s="74"/>
      <c r="AL8" s="74"/>
      <c r="AM8" s="74"/>
      <c r="AN8" s="74"/>
      <c r="AO8" s="74"/>
      <c r="AP8" s="74"/>
      <c r="AQ8" s="74"/>
      <c r="AR8" s="74"/>
      <c r="AS8" s="74"/>
    </row>
    <row r="9" spans="1:45" ht="15" customHeight="1" x14ac:dyDescent="0.25">
      <c r="A9" s="1204" t="str">
        <f>IF(OR(AND(AA9=0,AC9=TRUE)),"Ошибка","")</f>
        <v/>
      </c>
      <c r="B9" s="74"/>
      <c r="C9" s="1205"/>
      <c r="D9" s="1208" t="s">
        <v>1922</v>
      </c>
      <c r="E9" s="1620"/>
      <c r="F9" s="1625">
        <f>'Расчет базового уровня'!B134</f>
        <v>0</v>
      </c>
      <c r="G9" s="1628"/>
      <c r="H9" s="1631">
        <f>I9+J9+K9</f>
        <v>0</v>
      </c>
      <c r="I9" s="1632"/>
      <c r="J9" s="1632">
        <f>IF(AB9=1,G9*F9,0)</f>
        <v>0</v>
      </c>
      <c r="K9" s="1632"/>
      <c r="L9" s="1623"/>
      <c r="M9" s="74"/>
      <c r="N9" s="74"/>
      <c r="O9" s="1207">
        <f>IF(AB9=1,0.024*'Расчет после реализации'!D147*'Расчет после реализации'!B134*(1/'Расчет базового уровня'!C134-1/'Расчет после реализации'!C134),0)/1163</f>
        <v>0</v>
      </c>
      <c r="P9" s="1207"/>
      <c r="Q9" s="1207"/>
      <c r="R9" s="1209" t="e">
        <f>O9*1163/'Расчет базового уровня'!$D$35</f>
        <v>#DIV/0!</v>
      </c>
      <c r="S9" s="1210" t="e">
        <f>R9</f>
        <v>#DIV/0!</v>
      </c>
      <c r="T9" s="1189"/>
      <c r="U9" s="1189"/>
      <c r="V9" s="1209" t="e">
        <f>(O9+P9)*1163/'Расчет базового уровня'!$D$9</f>
        <v>#DIV/0!</v>
      </c>
      <c r="W9" s="1211" t="e">
        <f>(S9*'Расчет базового уровня'!$D$35+'Список мероприятий'!U9*'Расчет базового уровня'!$D$15)/'Расчет базового уровня'!$D$9</f>
        <v>#DIV/0!</v>
      </c>
      <c r="X9" s="1211"/>
      <c r="Y9" s="1211"/>
      <c r="Z9" s="74">
        <f>IF(AB9-H9=1,1,0)</f>
        <v>0</v>
      </c>
      <c r="AA9" s="1203">
        <f>IF(AND('Ввод исходных данных'!$D$12&lt;2000),1,0)</f>
        <v>1</v>
      </c>
      <c r="AB9" s="1175">
        <f>IF(AND(AC9=TRUE,AA9=1),1,0)</f>
        <v>0</v>
      </c>
      <c r="AC9" s="1176" t="b">
        <v>0</v>
      </c>
      <c r="AD9" s="1203">
        <f>IF(AND(AA9=1,A9="ОШИБКА"),1,0)</f>
        <v>0</v>
      </c>
      <c r="AE9" s="75" t="str">
        <f>IF(AB9=1,CONCATENATE(D8," - ",D10," - ",D11,"см",CHAR(10)),"")</f>
        <v/>
      </c>
      <c r="AF9" s="74"/>
      <c r="AG9" s="74"/>
      <c r="AH9" s="74"/>
      <c r="AI9" s="74"/>
      <c r="AJ9" s="74"/>
      <c r="AK9" s="74"/>
      <c r="AL9" s="74"/>
      <c r="AM9" s="74"/>
      <c r="AN9" s="74"/>
      <c r="AO9" s="74"/>
      <c r="AP9" s="74"/>
      <c r="AQ9" s="74"/>
      <c r="AR9" s="74"/>
      <c r="AS9" s="74"/>
    </row>
    <row r="10" spans="1:45" ht="15" customHeight="1" x14ac:dyDescent="0.25">
      <c r="A10" s="1204" t="str">
        <f>IF(OR(AND(AA10=0,AB10=1),AND(AA10=1,AB10=0)),"Ошибка","")</f>
        <v/>
      </c>
      <c r="B10" s="74"/>
      <c r="C10" s="1205"/>
      <c r="D10" s="1279" t="s">
        <v>1269</v>
      </c>
      <c r="E10" s="1620"/>
      <c r="F10" s="1626"/>
      <c r="G10" s="1629"/>
      <c r="H10" s="1631"/>
      <c r="I10" s="1632"/>
      <c r="J10" s="1632"/>
      <c r="K10" s="1632"/>
      <c r="L10" s="1623"/>
      <c r="M10" s="74"/>
      <c r="N10" s="74"/>
      <c r="O10" s="1207"/>
      <c r="P10" s="1207"/>
      <c r="Q10" s="1207"/>
      <c r="R10" s="1189"/>
      <c r="S10" s="1189"/>
      <c r="T10" s="1189"/>
      <c r="U10" s="1189"/>
      <c r="V10" s="1189"/>
      <c r="W10" s="1189"/>
      <c r="X10" s="1189"/>
      <c r="Y10" s="1189"/>
      <c r="Z10" s="74"/>
      <c r="AA10" s="1203">
        <f>IF(AND('Ввод исходных данных'!$D$12&lt;2000,AB9=1),1,0)</f>
        <v>0</v>
      </c>
      <c r="AB10" s="1175">
        <f>IF(D10="Пожалуйста, выберите технологию",0,1)</f>
        <v>0</v>
      </c>
      <c r="AC10" s="1176"/>
      <c r="AD10" s="1203">
        <f>IF(AND(AA10=1,A10="ОШИБКА"),1,0)</f>
        <v>0</v>
      </c>
      <c r="AF10" s="74"/>
      <c r="AG10" s="74"/>
      <c r="AH10" s="74"/>
      <c r="AI10" s="74"/>
      <c r="AJ10" s="74"/>
      <c r="AK10" s="74"/>
      <c r="AL10" s="74"/>
      <c r="AM10" s="74"/>
      <c r="AN10" s="74"/>
      <c r="AO10" s="74"/>
      <c r="AP10" s="74"/>
      <c r="AQ10" s="74"/>
      <c r="AR10" s="74"/>
      <c r="AS10" s="74"/>
    </row>
    <row r="11" spans="1:45" ht="15" customHeight="1" x14ac:dyDescent="0.25">
      <c r="A11" s="1204" t="str">
        <f>IF(OR(AND(AA11=0,AB11=1),AND(AA11=1,AB11=0)),"Ошибка","")</f>
        <v/>
      </c>
      <c r="B11" s="74"/>
      <c r="C11" s="1205"/>
      <c r="D11" s="1279" t="s">
        <v>1268</v>
      </c>
      <c r="E11" s="1620"/>
      <c r="F11" s="1627"/>
      <c r="G11" s="1630"/>
      <c r="H11" s="1631"/>
      <c r="I11" s="1632"/>
      <c r="J11" s="1632"/>
      <c r="K11" s="1632"/>
      <c r="L11" s="1624"/>
      <c r="M11" s="74"/>
      <c r="N11" s="74"/>
      <c r="O11" s="1207"/>
      <c r="P11" s="1207"/>
      <c r="Q11" s="1207"/>
      <c r="R11" s="1189"/>
      <c r="S11" s="1189"/>
      <c r="T11" s="1189"/>
      <c r="U11" s="1189"/>
      <c r="V11" s="1189"/>
      <c r="W11" s="1189"/>
      <c r="X11" s="1189"/>
      <c r="Y11" s="1189"/>
      <c r="Z11" s="74"/>
      <c r="AA11" s="1203">
        <f>IF(AND('Ввод исходных данных'!$D$12&lt;2000,AB9=1),1,0)</f>
        <v>0</v>
      </c>
      <c r="AB11" s="1175">
        <f>IF(D11="Пожалуйста, выберите толщину утеплителя, см",0,1)</f>
        <v>0</v>
      </c>
      <c r="AC11" s="1176"/>
      <c r="AD11" s="1203">
        <f>IF(AND(AA11=1,A11="ОШИБКА"),1,0)</f>
        <v>0</v>
      </c>
      <c r="AF11" s="74"/>
      <c r="AG11" s="74"/>
      <c r="AH11" s="74"/>
      <c r="AI11" s="74"/>
      <c r="AJ11" s="74"/>
      <c r="AK11" s="74"/>
      <c r="AL11" s="74"/>
      <c r="AM11" s="74"/>
      <c r="AN11" s="74"/>
      <c r="AO11" s="74"/>
      <c r="AP11" s="74"/>
      <c r="AQ11" s="74"/>
      <c r="AR11" s="74"/>
      <c r="AS11" s="74"/>
    </row>
    <row r="12" spans="1:45" ht="30" customHeight="1" x14ac:dyDescent="0.25">
      <c r="A12" s="1204" t="str">
        <f>IF(OR(AND(AA12=0,AC12=TRUE)),"Ошибка","")</f>
        <v/>
      </c>
      <c r="B12" s="74"/>
      <c r="C12" s="1205"/>
      <c r="D12" s="1206" t="s">
        <v>1923</v>
      </c>
      <c r="E12" s="1621"/>
      <c r="F12" s="1276">
        <f>F9</f>
        <v>0</v>
      </c>
      <c r="G12" s="1275"/>
      <c r="H12" s="1277">
        <f>I12+J12+K12</f>
        <v>0</v>
      </c>
      <c r="I12" s="1275"/>
      <c r="J12" s="1418">
        <f>IF(AB12=1,G12*F12,0)</f>
        <v>0</v>
      </c>
      <c r="K12" s="1275"/>
      <c r="L12" s="1212" t="s">
        <v>1481</v>
      </c>
      <c r="M12" s="74"/>
      <c r="N12" s="74"/>
      <c r="O12" s="1207">
        <f>IF(AB12=1,0.024*'Расчет после реализации'!D147*'Расчет после реализации'!B134*(1/'Расчет базового уровня'!C134-1/'Расчет после реализации'!C134),0)/1163</f>
        <v>0</v>
      </c>
      <c r="P12" s="1207"/>
      <c r="Q12" s="1207"/>
      <c r="R12" s="1209" t="e">
        <f>O12/'Расчет базового уровня'!$D$35*1163</f>
        <v>#DIV/0!</v>
      </c>
      <c r="S12" s="1210" t="e">
        <f>R12</f>
        <v>#DIV/0!</v>
      </c>
      <c r="T12" s="1189"/>
      <c r="U12" s="1189"/>
      <c r="V12" s="1209" t="e">
        <f>(O12+P12)/'Расчет базового уровня'!$D$9*1163</f>
        <v>#DIV/0!</v>
      </c>
      <c r="W12" s="1211" t="e">
        <f>(S12*'Расчет базового уровня'!$D$35+'Список мероприятий'!U12*'Расчет базового уровня'!$D$15)/'Расчет базового уровня'!$D$9</f>
        <v>#DIV/0!</v>
      </c>
      <c r="X12" s="1211"/>
      <c r="Y12" s="1211"/>
      <c r="Z12" s="74">
        <f>IF(AB12-H12=1,1,0)</f>
        <v>0</v>
      </c>
      <c r="AA12" s="1203">
        <f>IF(AND('Ввод исходных данных'!D16&lt;&gt;"кирпич",'Ввод исходных данных'!D16&lt;&gt;"монолит",'Список мероприятий'!AB9=0),1,0)</f>
        <v>1</v>
      </c>
      <c r="AB12" s="1175">
        <f>IF(AND(AC12=TRUE,AA12=1),1,0)</f>
        <v>0</v>
      </c>
      <c r="AC12" s="1176" t="b">
        <v>0</v>
      </c>
      <c r="AD12" s="1203">
        <f>IF(AND(AA12=1,A12="ОШИБКА"),1,0)</f>
        <v>0</v>
      </c>
      <c r="AE12" s="75" t="str">
        <f>IF(AB12=1,CONCATENATE(D12," - ",CHAR(10)),"")</f>
        <v/>
      </c>
      <c r="AF12" s="74"/>
      <c r="AG12" s="74"/>
      <c r="AH12" s="74"/>
      <c r="AI12" s="74"/>
      <c r="AJ12" s="74"/>
      <c r="AK12" s="74"/>
      <c r="AL12" s="74"/>
      <c r="AM12" s="74"/>
      <c r="AN12" s="74"/>
      <c r="AO12" s="74"/>
      <c r="AP12" s="74"/>
      <c r="AQ12" s="74"/>
      <c r="AR12" s="74"/>
      <c r="AS12" s="74"/>
    </row>
    <row r="13" spans="1:45" ht="15" customHeight="1" x14ac:dyDescent="0.25">
      <c r="A13" s="74"/>
      <c r="B13" s="74"/>
      <c r="C13" s="74"/>
      <c r="D13" s="74"/>
      <c r="E13" s="74"/>
      <c r="F13" s="1213"/>
      <c r="G13" s="1213"/>
      <c r="H13" s="1213"/>
      <c r="I13" s="1213"/>
      <c r="J13" s="1213"/>
      <c r="K13" s="1213"/>
      <c r="L13" s="74"/>
      <c r="M13" s="74"/>
      <c r="N13" s="74"/>
      <c r="O13" s="1207"/>
      <c r="P13" s="1207"/>
      <c r="Q13" s="1207"/>
      <c r="R13" s="1189"/>
      <c r="S13" s="1189"/>
      <c r="T13" s="1189"/>
      <c r="U13" s="1189"/>
      <c r="V13" s="1189"/>
      <c r="W13" s="1189"/>
      <c r="X13" s="1189"/>
      <c r="Y13" s="1189"/>
      <c r="Z13" s="74"/>
      <c r="AA13" s="74"/>
      <c r="AB13" s="1171"/>
      <c r="AC13" s="1172"/>
      <c r="AD13" s="74"/>
      <c r="AF13" s="74"/>
      <c r="AG13" s="74"/>
      <c r="AH13" s="74"/>
      <c r="AI13" s="74"/>
      <c r="AJ13" s="74"/>
      <c r="AK13" s="74"/>
      <c r="AL13" s="74"/>
      <c r="AM13" s="74"/>
      <c r="AN13" s="74"/>
      <c r="AO13" s="74"/>
      <c r="AP13" s="74"/>
      <c r="AQ13" s="74"/>
      <c r="AR13" s="74"/>
      <c r="AS13" s="74"/>
    </row>
    <row r="14" spans="1:45" ht="29.1" customHeight="1" x14ac:dyDescent="0.25">
      <c r="A14" s="1204" t="str">
        <f>IF(AND(AA14=0,AC14=TRUE),"Ошибка","")</f>
        <v/>
      </c>
      <c r="B14" s="74"/>
      <c r="C14" s="1205"/>
      <c r="D14" s="1214" t="s">
        <v>1924</v>
      </c>
      <c r="E14" s="1619" t="s">
        <v>1846</v>
      </c>
      <c r="F14" s="1380" t="s">
        <v>1311</v>
      </c>
      <c r="G14" s="1380" t="s">
        <v>1310</v>
      </c>
      <c r="H14" s="1380" t="s">
        <v>1309</v>
      </c>
      <c r="I14" s="1380" t="s">
        <v>1309</v>
      </c>
      <c r="J14" s="1380" t="s">
        <v>1309</v>
      </c>
      <c r="K14" s="1380" t="s">
        <v>1309</v>
      </c>
      <c r="L14" s="946"/>
      <c r="M14" s="74"/>
      <c r="N14" s="74"/>
      <c r="O14" s="1207">
        <f>IF(AB14=1,0.024*'Расчет после реализации'!D147*'Расчет после реализации'!B136*(1/'Расчет базового уровня'!C136-1/'Расчет после реализации'!C136)+'Расчет базового уровня'!D190-'Расчет после реализации'!D188,0)/1163</f>
        <v>0</v>
      </c>
      <c r="P14" s="1207"/>
      <c r="Q14" s="1207"/>
      <c r="R14" s="1209" t="e">
        <f>O14/'Расчет базового уровня'!$D$35*1163</f>
        <v>#DIV/0!</v>
      </c>
      <c r="S14" s="1210" t="e">
        <f>R14</f>
        <v>#DIV/0!</v>
      </c>
      <c r="T14" s="1189"/>
      <c r="U14" s="1189"/>
      <c r="V14" s="1211" t="e">
        <f>(O14+P14)/'Расчет базового уровня'!$D$9*1163</f>
        <v>#DIV/0!</v>
      </c>
      <c r="W14" s="1211" t="e">
        <f>(S14*'Расчет базового уровня'!$D$35+'Список мероприятий'!U14*'Расчет базового уровня'!$D$15)/'Расчет базового уровня'!$D$9</f>
        <v>#DIV/0!</v>
      </c>
      <c r="X14" s="1211"/>
      <c r="Y14" s="1211"/>
      <c r="Z14" s="74">
        <f>IF(AB14-H15=1,1,0)</f>
        <v>0</v>
      </c>
      <c r="AA14" s="1203">
        <v>1</v>
      </c>
      <c r="AB14" s="1175">
        <f>IF(AND(AA14=1,AC14=TRUE),1,0)</f>
        <v>0</v>
      </c>
      <c r="AC14" s="1176" t="b">
        <v>0</v>
      </c>
      <c r="AD14" s="1203">
        <f>IF(AND(AA14=1,A14="ОШИБКА"),1,0)</f>
        <v>0</v>
      </c>
      <c r="AE14" s="75" t="str">
        <f>IF(AB14=1,CONCATENATE(D14," - ",D15,CHAR(10)),"")</f>
        <v/>
      </c>
      <c r="AF14" s="74"/>
      <c r="AG14" s="74"/>
      <c r="AH14" s="74"/>
      <c r="AI14" s="74"/>
      <c r="AJ14" s="74"/>
      <c r="AK14" s="74"/>
      <c r="AL14" s="74"/>
      <c r="AM14" s="74"/>
      <c r="AN14" s="74"/>
      <c r="AO14" s="74"/>
      <c r="AP14" s="74"/>
      <c r="AQ14" s="74"/>
      <c r="AR14" s="74"/>
      <c r="AS14" s="74"/>
    </row>
    <row r="15" spans="1:45" ht="46.5" customHeight="1" x14ac:dyDescent="0.25">
      <c r="A15" s="1204" t="str">
        <f>IF(OR(AND(AA15=0,AB15=1),AND(AA15=1,AB15=0)),"Ошибка","")</f>
        <v/>
      </c>
      <c r="B15" s="74"/>
      <c r="C15" s="1205"/>
      <c r="D15" s="1281" t="s">
        <v>1271</v>
      </c>
      <c r="E15" s="1621"/>
      <c r="F15" s="1275">
        <f>'Ввод исходных данных'!G55</f>
        <v>0</v>
      </c>
      <c r="G15" s="1275"/>
      <c r="H15" s="1277">
        <f>I15+J15+K15</f>
        <v>0</v>
      </c>
      <c r="I15" s="1275"/>
      <c r="J15" s="1418">
        <f>IF(AB15=1,G15*F15,0)</f>
        <v>0</v>
      </c>
      <c r="K15" s="1275"/>
      <c r="L15" s="946"/>
      <c r="M15" s="74"/>
      <c r="N15" s="74"/>
      <c r="O15" s="1207"/>
      <c r="P15" s="1207"/>
      <c r="Q15" s="1207"/>
      <c r="R15" s="1189"/>
      <c r="S15" s="1189"/>
      <c r="T15" s="1189"/>
      <c r="U15" s="1189"/>
      <c r="V15" s="1189"/>
      <c r="W15" s="1189"/>
      <c r="X15" s="1189"/>
      <c r="Y15" s="1189"/>
      <c r="Z15" s="74"/>
      <c r="AA15" s="1203">
        <f>IF(AND(AB14=1,'Ввод исходных данных'!$D$12&lt;2000),1,0)</f>
        <v>0</v>
      </c>
      <c r="AB15" s="1175">
        <f>IF(D15&lt;&gt;списки!N32,1,0)</f>
        <v>0</v>
      </c>
      <c r="AC15" s="1176"/>
      <c r="AD15" s="1203">
        <f>IF(AND(AA15=1,A15="ОШИБКА"),1,0)</f>
        <v>0</v>
      </c>
      <c r="AF15" s="74"/>
      <c r="AG15" s="74"/>
      <c r="AH15" s="74"/>
      <c r="AI15" s="74"/>
      <c r="AJ15" s="74"/>
      <c r="AK15" s="74"/>
      <c r="AL15" s="74"/>
      <c r="AM15" s="74"/>
      <c r="AN15" s="74"/>
      <c r="AO15" s="74"/>
      <c r="AP15" s="74"/>
      <c r="AQ15" s="74"/>
      <c r="AR15" s="74"/>
      <c r="AS15" s="74"/>
    </row>
    <row r="16" spans="1:45" ht="15" customHeight="1" x14ac:dyDescent="0.25">
      <c r="A16" s="74"/>
      <c r="B16" s="74"/>
      <c r="C16" s="74"/>
      <c r="D16" s="74"/>
      <c r="E16" s="74"/>
      <c r="F16" s="1213"/>
      <c r="G16" s="1213"/>
      <c r="H16" s="1213"/>
      <c r="I16" s="1213"/>
      <c r="J16" s="1213"/>
      <c r="K16" s="1213"/>
      <c r="L16" s="74"/>
      <c r="M16" s="74"/>
      <c r="N16" s="74"/>
      <c r="O16" s="1207"/>
      <c r="P16" s="1207"/>
      <c r="Q16" s="1207"/>
      <c r="R16" s="1189"/>
      <c r="S16" s="1189"/>
      <c r="T16" s="1189"/>
      <c r="U16" s="1189"/>
      <c r="V16" s="1189"/>
      <c r="W16" s="1189"/>
      <c r="X16" s="1189"/>
      <c r="Y16" s="1189"/>
      <c r="Z16" s="74"/>
      <c r="AA16" s="74"/>
      <c r="AB16" s="1171"/>
      <c r="AC16" s="1172"/>
      <c r="AD16" s="74"/>
      <c r="AF16" s="74"/>
      <c r="AG16" s="74"/>
      <c r="AH16" s="74"/>
      <c r="AI16" s="74"/>
      <c r="AJ16" s="74"/>
      <c r="AK16" s="74"/>
      <c r="AL16" s="74"/>
      <c r="AM16" s="74"/>
      <c r="AN16" s="74"/>
      <c r="AO16" s="74"/>
      <c r="AP16" s="74"/>
      <c r="AQ16" s="74"/>
      <c r="AR16" s="74"/>
      <c r="AS16" s="74"/>
    </row>
    <row r="17" spans="1:45" ht="14.45" customHeight="1" x14ac:dyDescent="0.25">
      <c r="A17" s="74"/>
      <c r="B17" s="74"/>
      <c r="C17" s="74"/>
      <c r="D17" s="74"/>
      <c r="E17" s="74"/>
      <c r="F17" s="1213"/>
      <c r="G17" s="1213"/>
      <c r="H17" s="1213"/>
      <c r="I17" s="1213"/>
      <c r="J17" s="1213"/>
      <c r="K17" s="1213"/>
      <c r="L17" s="74"/>
      <c r="M17" s="74"/>
      <c r="N17" s="74"/>
      <c r="O17" s="1207"/>
      <c r="P17" s="1207"/>
      <c r="Q17" s="1207"/>
      <c r="R17" s="1189"/>
      <c r="S17" s="1189"/>
      <c r="T17" s="1189"/>
      <c r="U17" s="1189"/>
      <c r="V17" s="1189"/>
      <c r="W17" s="1189"/>
      <c r="X17" s="1189"/>
      <c r="Y17" s="1189"/>
      <c r="Z17" s="74"/>
      <c r="AA17" s="74"/>
      <c r="AB17" s="1171"/>
      <c r="AC17" s="1172"/>
      <c r="AD17" s="74"/>
      <c r="AF17" s="74"/>
      <c r="AG17" s="74"/>
      <c r="AH17" s="74"/>
      <c r="AI17" s="74"/>
      <c r="AJ17" s="74"/>
      <c r="AK17" s="74"/>
      <c r="AL17" s="74"/>
      <c r="AM17" s="74"/>
      <c r="AN17" s="74"/>
      <c r="AO17" s="74"/>
      <c r="AP17" s="74"/>
      <c r="AQ17" s="74"/>
      <c r="AR17" s="74"/>
      <c r="AS17" s="74"/>
    </row>
    <row r="18" spans="1:45" ht="15.75" x14ac:dyDescent="0.25">
      <c r="A18" s="1190" t="str">
        <f>IF(SUM(AD20:AD30)&gt;0,"Ошибка","")</f>
        <v/>
      </c>
      <c r="B18" s="74"/>
      <c r="C18" s="1191"/>
      <c r="D18" s="1192" t="s">
        <v>1425</v>
      </c>
      <c r="E18" s="1182"/>
      <c r="F18" s="1193"/>
      <c r="G18" s="1193"/>
      <c r="H18" s="1193"/>
      <c r="I18" s="1193"/>
      <c r="J18" s="1193"/>
      <c r="K18" s="1193"/>
      <c r="L18" s="1182"/>
      <c r="M18" s="74"/>
      <c r="N18" s="74"/>
      <c r="O18" s="1198">
        <f>O20+O24+O27</f>
        <v>0</v>
      </c>
      <c r="P18" s="1198"/>
      <c r="Q18" s="1198"/>
      <c r="R18" s="1199" t="e">
        <f>O18/'Расчет базового уровня'!$D$35/0.86*1000</f>
        <v>#DIV/0!</v>
      </c>
      <c r="S18" s="1200" t="e">
        <f>R18</f>
        <v>#DIV/0!</v>
      </c>
      <c r="T18" s="1201"/>
      <c r="U18" s="1201"/>
      <c r="V18" s="1199" t="e">
        <f>(O18+P18)/'Расчет базового уровня'!$D$9*1163</f>
        <v>#DIV/0!</v>
      </c>
      <c r="W18" s="1202" t="e">
        <f>(S18*'Расчет базового уровня'!$D$35+'Список мероприятий'!U18*'Расчет базового уровня'!$D$15)/'Расчет базового уровня'!$D$9</f>
        <v>#DIV/0!</v>
      </c>
      <c r="X18" s="1201"/>
      <c r="Y18" s="1201"/>
      <c r="Z18" s="74"/>
      <c r="AA18" s="74"/>
      <c r="AB18" s="1171"/>
      <c r="AC18" s="1172"/>
      <c r="AF18" s="74"/>
      <c r="AG18" s="74"/>
      <c r="AH18" s="74"/>
      <c r="AI18" s="74"/>
      <c r="AJ18" s="74"/>
      <c r="AK18" s="74"/>
      <c r="AL18" s="74"/>
      <c r="AM18" s="74"/>
      <c r="AN18" s="74"/>
      <c r="AO18" s="74"/>
      <c r="AP18" s="74"/>
      <c r="AQ18" s="74"/>
      <c r="AR18" s="74"/>
      <c r="AS18" s="74"/>
    </row>
    <row r="19" spans="1:45" ht="24" customHeight="1" x14ac:dyDescent="0.25">
      <c r="A19" s="1204" t="str">
        <f>IF(AND(AA19=0,AB19=1),"Ошибка","")</f>
        <v/>
      </c>
      <c r="B19" s="74"/>
      <c r="C19" s="1205"/>
      <c r="D19" s="1214"/>
      <c r="E19" s="1619" t="s">
        <v>1847</v>
      </c>
      <c r="F19" s="1380" t="s">
        <v>1845</v>
      </c>
      <c r="G19" s="1380" t="s">
        <v>1310</v>
      </c>
      <c r="H19" s="1380" t="s">
        <v>1309</v>
      </c>
      <c r="I19" s="1380" t="s">
        <v>1309</v>
      </c>
      <c r="J19" s="1380" t="s">
        <v>1309</v>
      </c>
      <c r="K19" s="1380" t="s">
        <v>1309</v>
      </c>
      <c r="L19" s="1671" t="s">
        <v>1477</v>
      </c>
      <c r="M19" s="74"/>
      <c r="N19" s="74"/>
      <c r="O19" s="1207"/>
      <c r="P19" s="1207"/>
      <c r="Q19" s="1207"/>
      <c r="R19" s="1189"/>
      <c r="S19" s="1189"/>
      <c r="T19" s="1189"/>
      <c r="U19" s="1189"/>
      <c r="V19" s="1189"/>
      <c r="W19" s="1189"/>
      <c r="X19" s="1189"/>
      <c r="Y19" s="1189"/>
      <c r="Z19" s="74"/>
      <c r="AA19" s="74"/>
      <c r="AB19" s="1171"/>
      <c r="AC19" s="1171"/>
      <c r="AD19" s="74"/>
      <c r="AF19" s="74"/>
      <c r="AG19" s="74"/>
      <c r="AH19" s="74"/>
      <c r="AI19" s="74"/>
      <c r="AJ19" s="74"/>
      <c r="AK19" s="74"/>
      <c r="AL19" s="74"/>
      <c r="AM19" s="74"/>
      <c r="AN19" s="74"/>
      <c r="AO19" s="74"/>
      <c r="AP19" s="74"/>
      <c r="AQ19" s="74"/>
      <c r="AR19" s="74"/>
      <c r="AS19" s="74"/>
    </row>
    <row r="20" spans="1:45" x14ac:dyDescent="0.25">
      <c r="A20" s="1204" t="str">
        <f>IF(AND(AA20=0,AC20=TRUE),"Ошибка","")</f>
        <v/>
      </c>
      <c r="B20" s="74"/>
      <c r="C20" s="1205"/>
      <c r="D20" s="1208" t="s">
        <v>1925</v>
      </c>
      <c r="E20" s="1620"/>
      <c r="F20" s="1639">
        <f>'Расчет базового уровня'!B138</f>
        <v>0</v>
      </c>
      <c r="G20" s="1632"/>
      <c r="H20" s="1631">
        <f>I20+J20+K20</f>
        <v>0</v>
      </c>
      <c r="I20" s="1632"/>
      <c r="J20" s="1632">
        <f>IF(AB20=1,G20*F20,0)</f>
        <v>0</v>
      </c>
      <c r="K20" s="1632"/>
      <c r="L20" s="1672"/>
      <c r="M20" s="74"/>
      <c r="N20" s="74"/>
      <c r="O20" s="1207">
        <f>IF(AB20=1,0.024*'Расчет после реализации'!$D$147*'Расчет после реализации'!B138*(1/'Расчет базового уровня'!C138-1/'Расчет после реализации'!C138),0)*0.86/1000</f>
        <v>0</v>
      </c>
      <c r="P20" s="1207"/>
      <c r="Q20" s="1207"/>
      <c r="R20" s="1209" t="e">
        <f>O20/'Расчет базового уровня'!$D$35/0.86*1000</f>
        <v>#DIV/0!</v>
      </c>
      <c r="S20" s="1210" t="e">
        <f>R20</f>
        <v>#DIV/0!</v>
      </c>
      <c r="T20" s="1189"/>
      <c r="U20" s="1189"/>
      <c r="V20" s="1209" t="e">
        <f>(O20+P20)/'Расчет базового уровня'!$D$9*1163</f>
        <v>#DIV/0!</v>
      </c>
      <c r="W20" s="1215" t="e">
        <f>(S20*'Расчет базового уровня'!$D$35+'Список мероприятий'!U20*'Расчет базового уровня'!$D$15)/'Расчет базового уровня'!$D$9</f>
        <v>#DIV/0!</v>
      </c>
      <c r="X20" s="1211"/>
      <c r="Y20" s="1211"/>
      <c r="Z20" s="74">
        <f>IF(AB20-H20=1,1,0)</f>
        <v>0</v>
      </c>
      <c r="AA20" s="1203">
        <f>IF(AND(списки!$D$31=0),1,0)</f>
        <v>1</v>
      </c>
      <c r="AB20" s="1175">
        <f>IF(AND(AA20=1,AC20=TRUE,AB21=1,AB22=1),1,0)</f>
        <v>0</v>
      </c>
      <c r="AC20" s="1176" t="b">
        <v>0</v>
      </c>
      <c r="AD20" s="1203">
        <f>IF(AND(AA20=1,A20="ОШИБКА"),1,0)</f>
        <v>0</v>
      </c>
      <c r="AE20" s="75" t="str">
        <f>IF(AB20=1,CONCATENATE(D20," - ",D21," - ",D22,"см",CHAR(10)),"")</f>
        <v/>
      </c>
      <c r="AF20" s="74"/>
      <c r="AG20" s="74"/>
      <c r="AH20" s="74"/>
      <c r="AI20" s="74"/>
      <c r="AJ20" s="74"/>
      <c r="AK20" s="74"/>
      <c r="AL20" s="74"/>
      <c r="AM20" s="74"/>
      <c r="AN20" s="74"/>
      <c r="AO20" s="74"/>
      <c r="AP20" s="74"/>
      <c r="AQ20" s="74"/>
      <c r="AR20" s="74"/>
      <c r="AS20" s="74"/>
    </row>
    <row r="21" spans="1:45" x14ac:dyDescent="0.25">
      <c r="A21" s="1204" t="str">
        <f>IF(OR(AND(AA21=0,AB21=1),AND(AA21=1,AB21=0)),"Ошибка","")</f>
        <v/>
      </c>
      <c r="B21" s="74"/>
      <c r="C21" s="1205"/>
      <c r="D21" s="1280" t="s">
        <v>1269</v>
      </c>
      <c r="E21" s="1620"/>
      <c r="F21" s="1632"/>
      <c r="G21" s="1632"/>
      <c r="H21" s="1631"/>
      <c r="I21" s="1632"/>
      <c r="J21" s="1632"/>
      <c r="K21" s="1632"/>
      <c r="L21" s="1672"/>
      <c r="M21" s="74"/>
      <c r="N21" s="74"/>
      <c r="O21" s="1207"/>
      <c r="P21" s="1207"/>
      <c r="Q21" s="1207"/>
      <c r="R21" s="1189"/>
      <c r="S21" s="1189"/>
      <c r="T21" s="1189"/>
      <c r="U21" s="1189"/>
      <c r="V21" s="1189"/>
      <c r="W21" s="1189"/>
      <c r="X21" s="1189"/>
      <c r="Y21" s="1189"/>
      <c r="Z21" s="74"/>
      <c r="AA21" s="1203">
        <f>IF(AND(списки!$D$31=0,AC20=TRUE),1,0)</f>
        <v>0</v>
      </c>
      <c r="AB21" s="1175">
        <f>IF(D21="Пожалуйста, выберите технологию",0,1)</f>
        <v>0</v>
      </c>
      <c r="AC21" s="1176"/>
      <c r="AD21" s="1203">
        <f>IF(AND(AA21=1,A21="ОШИБКА"),1,0)</f>
        <v>0</v>
      </c>
      <c r="AF21" s="74"/>
      <c r="AG21" s="74"/>
      <c r="AH21" s="74"/>
      <c r="AI21" s="74"/>
      <c r="AJ21" s="74"/>
      <c r="AK21" s="74"/>
      <c r="AL21" s="74"/>
      <c r="AM21" s="74"/>
      <c r="AN21" s="74"/>
      <c r="AO21" s="74"/>
      <c r="AP21" s="74"/>
      <c r="AQ21" s="74"/>
      <c r="AR21" s="74"/>
      <c r="AS21" s="74"/>
    </row>
    <row r="22" spans="1:45" ht="16.5" customHeight="1" x14ac:dyDescent="0.25">
      <c r="A22" s="1204" t="str">
        <f>IF(OR(AND(AA22=0,AB22=1),AND(AA22=1,AB22=0)),"Ошибка","")</f>
        <v/>
      </c>
      <c r="B22" s="74"/>
      <c r="C22" s="1205"/>
      <c r="D22" s="1280" t="s">
        <v>1268</v>
      </c>
      <c r="E22" s="1621"/>
      <c r="F22" s="1632"/>
      <c r="G22" s="1632"/>
      <c r="H22" s="1631"/>
      <c r="I22" s="1632"/>
      <c r="J22" s="1632"/>
      <c r="K22" s="1632"/>
      <c r="L22" s="1673"/>
      <c r="M22" s="74"/>
      <c r="N22" s="74"/>
      <c r="O22" s="1207"/>
      <c r="P22" s="1207"/>
      <c r="Q22" s="1207"/>
      <c r="R22" s="1189"/>
      <c r="S22" s="1189"/>
      <c r="T22" s="1189"/>
      <c r="U22" s="1189"/>
      <c r="V22" s="1189"/>
      <c r="W22" s="1189"/>
      <c r="X22" s="1189"/>
      <c r="Y22" s="1189"/>
      <c r="Z22" s="74"/>
      <c r="AA22" s="1203">
        <f>IF(AND(списки!$D$31=0,AC20=TRUE),1,0)</f>
        <v>0</v>
      </c>
      <c r="AB22" s="1175">
        <f>IF(D22&lt;&gt;списки!O16,1,0)</f>
        <v>0</v>
      </c>
      <c r="AC22" s="1176"/>
      <c r="AD22" s="1203">
        <f>IF(AND(AA22=1,A22="ОШИБКА"),1,0)</f>
        <v>0</v>
      </c>
      <c r="AF22" s="74"/>
      <c r="AG22" s="74"/>
      <c r="AH22" s="74"/>
      <c r="AI22" s="74"/>
      <c r="AJ22" s="74"/>
      <c r="AK22" s="74"/>
      <c r="AL22" s="74"/>
      <c r="AM22" s="74"/>
      <c r="AN22" s="74"/>
      <c r="AO22" s="74"/>
      <c r="AP22" s="74"/>
      <c r="AQ22" s="74"/>
      <c r="AR22" s="74"/>
      <c r="AS22" s="74"/>
    </row>
    <row r="23" spans="1:45" x14ac:dyDescent="0.25">
      <c r="A23" s="74"/>
      <c r="B23" s="74"/>
      <c r="C23" s="74"/>
      <c r="D23" s="74"/>
      <c r="E23" s="74"/>
      <c r="F23" s="74"/>
      <c r="G23" s="74"/>
      <c r="H23" s="74"/>
      <c r="I23" s="74"/>
      <c r="J23" s="74"/>
      <c r="K23" s="74"/>
      <c r="L23" s="74"/>
      <c r="M23" s="74"/>
      <c r="N23" s="74"/>
      <c r="O23" s="1207"/>
      <c r="P23" s="1207"/>
      <c r="Q23" s="1207"/>
      <c r="R23" s="1189"/>
      <c r="S23" s="1189"/>
      <c r="T23" s="1189"/>
      <c r="U23" s="1189"/>
      <c r="V23" s="1189"/>
      <c r="W23" s="1189"/>
      <c r="X23" s="1189"/>
      <c r="Y23" s="1189"/>
      <c r="Z23" s="74"/>
      <c r="AA23" s="74"/>
      <c r="AB23" s="1171"/>
      <c r="AC23" s="1172"/>
      <c r="AD23" s="74"/>
      <c r="AF23" s="74"/>
      <c r="AG23" s="74"/>
      <c r="AH23" s="74"/>
      <c r="AI23" s="74"/>
      <c r="AJ23" s="74"/>
      <c r="AK23" s="74"/>
      <c r="AL23" s="74"/>
      <c r="AM23" s="74"/>
      <c r="AN23" s="74"/>
      <c r="AO23" s="74"/>
      <c r="AP23" s="74"/>
      <c r="AQ23" s="74"/>
      <c r="AR23" s="74"/>
      <c r="AS23" s="74"/>
    </row>
    <row r="24" spans="1:45" ht="57" customHeight="1" x14ac:dyDescent="0.25">
      <c r="A24" s="1204" t="str">
        <f>IF(AND(AA24=0,AB24=1),"Ошибка","")</f>
        <v/>
      </c>
      <c r="B24" s="74"/>
      <c r="C24" s="1205"/>
      <c r="D24" s="1217" t="s">
        <v>1926</v>
      </c>
      <c r="E24" s="1239" t="s">
        <v>1849</v>
      </c>
      <c r="F24" s="1381"/>
      <c r="G24" s="1381"/>
      <c r="H24" s="1277">
        <f>I24+J24+K24</f>
        <v>0</v>
      </c>
      <c r="I24" s="1275"/>
      <c r="J24" s="1418"/>
      <c r="K24" s="1275"/>
      <c r="L24" s="1219" t="s">
        <v>1478</v>
      </c>
      <c r="M24" s="74"/>
      <c r="N24" s="74"/>
      <c r="O24" s="1207">
        <f>IF(AB24=1,0.024*'Расчет после реализации'!$D$147*('Расчет базового уровня'!B140*(1*'Расчет базового уровня'!D140/'Расчет базового уровня'!C140)-'Расчет после реализации'!B139*('Расчет после реализации'!D139/'Расчет после реализации'!C139)),0)*0.86/1000</f>
        <v>0</v>
      </c>
      <c r="P24" s="1207"/>
      <c r="Q24" s="1207"/>
      <c r="R24" s="1209" t="e">
        <f>O24/'Расчет базового уровня'!$D$35/0.86*1000</f>
        <v>#DIV/0!</v>
      </c>
      <c r="S24" s="1210" t="e">
        <f>R24</f>
        <v>#DIV/0!</v>
      </c>
      <c r="T24" s="1189"/>
      <c r="U24" s="1189"/>
      <c r="V24" s="1209" t="e">
        <f>(O24+P24)/'Расчет базового уровня'!$D$9*1163</f>
        <v>#DIV/0!</v>
      </c>
      <c r="W24" s="1211" t="e">
        <f>(S24*'Расчет базового уровня'!$D$35+'Список мероприятий'!U24*'Расчет базового уровня'!$D$15)/'Расчет базового уровня'!$D$9</f>
        <v>#DIV/0!</v>
      </c>
      <c r="X24" s="1211"/>
      <c r="Y24" s="1211"/>
      <c r="Z24" s="74">
        <f>IF(AB24-H24=1,1,0)</f>
        <v>0</v>
      </c>
      <c r="AA24" s="1203">
        <f>IF(AND('Ввод исходных данных'!$D$12&lt;2000,списки!$D$32=0,списки!$D$31=1),1,0)</f>
        <v>0</v>
      </c>
      <c r="AB24" s="1175">
        <f>IF(AND(AA24=1,AC24=TRUE),1,0)</f>
        <v>0</v>
      </c>
      <c r="AC24" s="1176" t="b">
        <v>0</v>
      </c>
      <c r="AD24" s="1203">
        <f>IF(AND(AA24=1,A24="ОШИБКА"),1,0)</f>
        <v>0</v>
      </c>
      <c r="AE24" s="75" t="str">
        <f>IF(AB24=1,CONCATENATE(D24,CHAR(10)),"")</f>
        <v/>
      </c>
      <c r="AF24" s="74"/>
      <c r="AG24" s="74"/>
      <c r="AH24" s="74"/>
      <c r="AI24" s="74"/>
      <c r="AJ24" s="74"/>
      <c r="AK24" s="74"/>
      <c r="AL24" s="74"/>
      <c r="AM24" s="74"/>
      <c r="AN24" s="74"/>
      <c r="AO24" s="74"/>
      <c r="AP24" s="74"/>
      <c r="AQ24" s="74"/>
      <c r="AR24" s="74"/>
      <c r="AS24" s="74"/>
    </row>
    <row r="25" spans="1:45" x14ac:dyDescent="0.25">
      <c r="A25" s="74"/>
      <c r="B25" s="74"/>
      <c r="C25" s="74"/>
      <c r="D25" s="74"/>
      <c r="E25" s="74"/>
      <c r="F25" s="1213"/>
      <c r="G25" s="1213"/>
      <c r="H25" s="1213"/>
      <c r="I25" s="1213"/>
      <c r="J25" s="1213"/>
      <c r="K25" s="1213"/>
      <c r="L25" s="74"/>
      <c r="M25" s="74"/>
      <c r="N25" s="74"/>
      <c r="O25" s="1207"/>
      <c r="P25" s="1207"/>
      <c r="Q25" s="1207"/>
      <c r="R25" s="1189"/>
      <c r="S25" s="1189"/>
      <c r="T25" s="1189"/>
      <c r="U25" s="1189"/>
      <c r="V25" s="1189"/>
      <c r="W25" s="1189"/>
      <c r="X25" s="1189"/>
      <c r="Y25" s="1189"/>
      <c r="Z25" s="74"/>
      <c r="AA25" s="74"/>
      <c r="AB25" s="1171"/>
      <c r="AC25" s="1172"/>
      <c r="AD25" s="74"/>
      <c r="AF25" s="74"/>
      <c r="AG25" s="74"/>
      <c r="AH25" s="74"/>
      <c r="AI25" s="74"/>
      <c r="AJ25" s="74"/>
      <c r="AK25" s="74"/>
      <c r="AL25" s="74"/>
      <c r="AM25" s="74"/>
      <c r="AN25" s="74"/>
      <c r="AO25" s="74"/>
      <c r="AP25" s="74"/>
      <c r="AQ25" s="74"/>
      <c r="AR25" s="74"/>
      <c r="AS25" s="74"/>
    </row>
    <row r="26" spans="1:45" ht="24" customHeight="1" x14ac:dyDescent="0.25">
      <c r="A26" s="1204" t="str">
        <f>IF(AND(AA26=0,AB26=1),"Ошибка","")</f>
        <v/>
      </c>
      <c r="B26" s="74"/>
      <c r="C26" s="1205"/>
      <c r="D26" s="1214" t="s">
        <v>1292</v>
      </c>
      <c r="E26" s="1619" t="s">
        <v>1849</v>
      </c>
      <c r="F26" s="1380" t="s">
        <v>1845</v>
      </c>
      <c r="G26" s="1380" t="s">
        <v>1310</v>
      </c>
      <c r="H26" s="1380" t="s">
        <v>1309</v>
      </c>
      <c r="I26" s="1380" t="s">
        <v>1309</v>
      </c>
      <c r="J26" s="1380" t="s">
        <v>1309</v>
      </c>
      <c r="K26" s="1380" t="s">
        <v>1309</v>
      </c>
      <c r="L26" s="1622" t="s">
        <v>1479</v>
      </c>
      <c r="M26" s="74"/>
      <c r="N26" s="74"/>
      <c r="O26" s="1207"/>
      <c r="P26" s="1207"/>
      <c r="Q26" s="1207"/>
      <c r="R26" s="1189"/>
      <c r="S26" s="1189"/>
      <c r="T26" s="1189"/>
      <c r="U26" s="1189"/>
      <c r="V26" s="1189"/>
      <c r="W26" s="1189"/>
      <c r="X26" s="1189"/>
      <c r="Y26" s="1189"/>
      <c r="Z26" s="74"/>
      <c r="AA26" s="74"/>
      <c r="AB26" s="1171"/>
      <c r="AC26" s="1171"/>
      <c r="AD26" s="74"/>
      <c r="AF26" s="74"/>
      <c r="AG26" s="74"/>
      <c r="AH26" s="74"/>
      <c r="AI26" s="74"/>
      <c r="AJ26" s="74"/>
      <c r="AK26" s="74"/>
      <c r="AL26" s="74"/>
      <c r="AM26" s="74"/>
      <c r="AN26" s="74"/>
      <c r="AO26" s="74"/>
      <c r="AP26" s="74"/>
      <c r="AQ26" s="74"/>
      <c r="AR26" s="74"/>
      <c r="AS26" s="74"/>
    </row>
    <row r="27" spans="1:45" x14ac:dyDescent="0.25">
      <c r="A27" s="1204" t="str">
        <f>IF(AND(AA27=0,AC27=TRUE),"Ошибка","")</f>
        <v/>
      </c>
      <c r="B27" s="74"/>
      <c r="C27" s="1205"/>
      <c r="D27" s="1208" t="s">
        <v>1927</v>
      </c>
      <c r="E27" s="1620"/>
      <c r="F27" s="1639">
        <f>'Расчет базового уровня'!B139+'Расчет базового уровня'!B140</f>
        <v>0</v>
      </c>
      <c r="G27" s="1639"/>
      <c r="H27" s="1631">
        <f>I27+J27+K27</f>
        <v>0</v>
      </c>
      <c r="I27" s="1632"/>
      <c r="J27" s="1632">
        <f>IF(AB27=1,G27*F27,0)</f>
        <v>0</v>
      </c>
      <c r="K27" s="1632"/>
      <c r="L27" s="1623"/>
      <c r="M27" s="74"/>
      <c r="N27" s="74"/>
      <c r="O27" s="1207">
        <f>IF(AB27=1,0.024*'Расчет после реализации'!$D$147*('Расчет базового уровня'!B139*'Расчет базового уровня'!D139/'Расчет базового уровня'!C139+'Расчет базового уровня'!B140*'Расчет базового уровня'!D140/'Расчет базового уровня'!C140-'Расчет после реализации'!B139*'Расчет после реализации'!D139/'Расчет после реализации'!C139-'Расчет после реализации'!B140*'Расчет после реализации'!D140/'Расчет после реализации'!C140),0)*0.86/1000</f>
        <v>0</v>
      </c>
      <c r="P27" s="1207"/>
      <c r="Q27" s="1207"/>
      <c r="R27" s="1209" t="e">
        <f>O27/'Расчет базового уровня'!$D$35/0.86*1000</f>
        <v>#DIV/0!</v>
      </c>
      <c r="S27" s="1210" t="e">
        <f>R27</f>
        <v>#DIV/0!</v>
      </c>
      <c r="T27" s="1189"/>
      <c r="U27" s="1189"/>
      <c r="V27" s="1209" t="e">
        <f>(O27+P27)/'Расчет базового уровня'!$D$9*1163</f>
        <v>#DIV/0!</v>
      </c>
      <c r="W27" s="1211" t="e">
        <f>(S27*'Расчет базового уровня'!$D$35+'Список мероприятий'!U27*'Расчет базового уровня'!$D$15)/'Расчет базового уровня'!$D$9</f>
        <v>#DIV/0!</v>
      </c>
      <c r="X27" s="1211"/>
      <c r="Y27" s="1211"/>
      <c r="Z27" s="74">
        <f>IF(AB27-H27=1,1,0)</f>
        <v>0</v>
      </c>
      <c r="AA27" s="1203">
        <f>IF(AND(списки!$D$31=1,списки!$D$36=0),1,0)</f>
        <v>0</v>
      </c>
      <c r="AB27" s="1175">
        <f>IF(AND(AA27=1,AC27=TRUE,AB28=1,AB29=1),1,0)</f>
        <v>0</v>
      </c>
      <c r="AC27" s="1176" t="b">
        <v>0</v>
      </c>
      <c r="AD27" s="1203">
        <f>IF(AND(AA27=1,A27="ОШИБКА"),1,0)</f>
        <v>0</v>
      </c>
      <c r="AE27" s="75" t="str">
        <f>IF(AB27=1,CONCATENATE(D26," - ",D28," - ",D29,"см",CHAR(10)),"")</f>
        <v/>
      </c>
      <c r="AF27" s="74"/>
      <c r="AG27" s="74"/>
      <c r="AH27" s="74"/>
      <c r="AI27" s="74"/>
      <c r="AJ27" s="74"/>
      <c r="AK27" s="74"/>
      <c r="AL27" s="74"/>
      <c r="AM27" s="74"/>
      <c r="AN27" s="74"/>
      <c r="AO27" s="74"/>
      <c r="AP27" s="74"/>
      <c r="AQ27" s="74"/>
      <c r="AR27" s="74"/>
      <c r="AS27" s="74"/>
    </row>
    <row r="28" spans="1:45" x14ac:dyDescent="0.25">
      <c r="A28" s="1204" t="str">
        <f>IF(OR(AND(AA28=0,AB28=1),AND(AA28=1,AB28=0)),"Ошибка","")</f>
        <v/>
      </c>
      <c r="B28" s="74"/>
      <c r="C28" s="1205"/>
      <c r="D28" s="1279" t="s">
        <v>1269</v>
      </c>
      <c r="E28" s="1620"/>
      <c r="F28" s="1632"/>
      <c r="G28" s="1632"/>
      <c r="H28" s="1631"/>
      <c r="I28" s="1632"/>
      <c r="J28" s="1632"/>
      <c r="K28" s="1632"/>
      <c r="L28" s="1623"/>
      <c r="M28" s="74"/>
      <c r="N28" s="74"/>
      <c r="O28" s="1207"/>
      <c r="P28" s="1207"/>
      <c r="Q28" s="1207"/>
      <c r="R28" s="1189"/>
      <c r="S28" s="1189"/>
      <c r="T28" s="1189"/>
      <c r="U28" s="1189"/>
      <c r="V28" s="1189"/>
      <c r="W28" s="1189"/>
      <c r="X28" s="1189"/>
      <c r="Y28" s="1189"/>
      <c r="Z28" s="74"/>
      <c r="AA28" s="1203">
        <f>IF(AND(списки!$D$31=1,списки!$D$36=0,$AB$24=0,AC27=TRUE),1,0)</f>
        <v>0</v>
      </c>
      <c r="AB28" s="1175">
        <f>IF(D28="Пожалуйста, выберите технологию",0,1)</f>
        <v>0</v>
      </c>
      <c r="AC28" s="1176"/>
      <c r="AD28" s="1203">
        <f>IF(AND(AA28=1,A28="ОШИБКА"),1,0)</f>
        <v>0</v>
      </c>
      <c r="AF28" s="74"/>
      <c r="AG28" s="74"/>
      <c r="AH28" s="74"/>
      <c r="AI28" s="74"/>
      <c r="AJ28" s="74"/>
      <c r="AK28" s="74"/>
      <c r="AL28" s="74"/>
      <c r="AM28" s="74"/>
      <c r="AN28" s="74"/>
      <c r="AO28" s="74"/>
      <c r="AP28" s="74"/>
      <c r="AQ28" s="74"/>
      <c r="AR28" s="74"/>
      <c r="AS28" s="74"/>
    </row>
    <row r="29" spans="1:45" ht="15.6" customHeight="1" x14ac:dyDescent="0.25">
      <c r="A29" s="1204" t="str">
        <f>IF(OR(AND(AA29=0,AB29=1),AND(AA29=1,AB29=0)),"Ошибка","")</f>
        <v/>
      </c>
      <c r="B29" s="74"/>
      <c r="C29" s="1205"/>
      <c r="D29" s="1279" t="s">
        <v>1268</v>
      </c>
      <c r="E29" s="1621"/>
      <c r="F29" s="1632"/>
      <c r="G29" s="1632"/>
      <c r="H29" s="1631"/>
      <c r="I29" s="1632"/>
      <c r="J29" s="1632"/>
      <c r="K29" s="1632"/>
      <c r="L29" s="1624"/>
      <c r="M29" s="74"/>
      <c r="N29" s="74"/>
      <c r="O29" s="1207"/>
      <c r="P29" s="1207"/>
      <c r="Q29" s="1207"/>
      <c r="R29" s="1189"/>
      <c r="S29" s="1189"/>
      <c r="T29" s="1189"/>
      <c r="U29" s="1189"/>
      <c r="V29" s="1189"/>
      <c r="W29" s="1189"/>
      <c r="X29" s="1189"/>
      <c r="Y29" s="1189"/>
      <c r="Z29" s="74"/>
      <c r="AA29" s="1203">
        <f>IF(AND(списки!$D$31=1,списки!$D$36=0,$AB$24=0,AC27=TRUE),1,0)</f>
        <v>0</v>
      </c>
      <c r="AB29" s="1175">
        <f>IF(D29&lt;&gt;списки!$O$16,1,0)</f>
        <v>0</v>
      </c>
      <c r="AC29" s="1176"/>
      <c r="AD29" s="1203">
        <f>IF(AND(AA29=1,A29="ОШИБКА"),1,0)</f>
        <v>0</v>
      </c>
      <c r="AF29" s="74"/>
      <c r="AG29" s="74"/>
      <c r="AH29" s="74"/>
      <c r="AI29" s="74"/>
      <c r="AJ29" s="74"/>
      <c r="AK29" s="74"/>
      <c r="AL29" s="74"/>
      <c r="AM29" s="74"/>
      <c r="AN29" s="74"/>
      <c r="AO29" s="74"/>
      <c r="AP29" s="74"/>
      <c r="AQ29" s="74"/>
      <c r="AR29" s="74"/>
      <c r="AS29" s="74"/>
    </row>
    <row r="30" spans="1:45" x14ac:dyDescent="0.25">
      <c r="A30" s="74"/>
      <c r="B30" s="74"/>
      <c r="C30" s="74"/>
      <c r="D30" s="74"/>
      <c r="E30" s="74"/>
      <c r="F30" s="1213"/>
      <c r="G30" s="1213"/>
      <c r="H30" s="1213"/>
      <c r="I30" s="1213"/>
      <c r="J30" s="1213"/>
      <c r="K30" s="1213"/>
      <c r="L30" s="74"/>
      <c r="M30" s="74"/>
      <c r="N30" s="74"/>
      <c r="O30" s="1207"/>
      <c r="P30" s="1207"/>
      <c r="Q30" s="1207"/>
      <c r="R30" s="1189"/>
      <c r="S30" s="1189"/>
      <c r="T30" s="1189"/>
      <c r="U30" s="1189"/>
      <c r="V30" s="1189"/>
      <c r="W30" s="1189"/>
      <c r="X30" s="1189"/>
      <c r="Y30" s="1189"/>
      <c r="Z30" s="74"/>
      <c r="AA30" s="74"/>
      <c r="AB30" s="1171"/>
      <c r="AC30" s="1172"/>
      <c r="AD30" s="74"/>
      <c r="AF30" s="74"/>
      <c r="AG30" s="74"/>
      <c r="AH30" s="74"/>
      <c r="AI30" s="74"/>
      <c r="AJ30" s="74"/>
      <c r="AK30" s="74"/>
      <c r="AL30" s="74"/>
      <c r="AM30" s="74"/>
      <c r="AN30" s="74"/>
      <c r="AO30" s="74"/>
      <c r="AP30" s="74"/>
      <c r="AQ30" s="74"/>
      <c r="AR30" s="74"/>
      <c r="AS30" s="74"/>
    </row>
    <row r="31" spans="1:45" ht="30" x14ac:dyDescent="0.25">
      <c r="A31" s="1220" t="str">
        <f>IF(SUM(AD32:AD35)&gt;0,"Ошибка","")</f>
        <v/>
      </c>
      <c r="B31" s="74"/>
      <c r="C31" s="1221"/>
      <c r="D31" s="1222" t="s">
        <v>1275</v>
      </c>
      <c r="E31" s="1221"/>
      <c r="F31" s="1380" t="s">
        <v>858</v>
      </c>
      <c r="G31" s="1380" t="s">
        <v>1310</v>
      </c>
      <c r="H31" s="1380" t="s">
        <v>1309</v>
      </c>
      <c r="I31" s="1380" t="s">
        <v>1309</v>
      </c>
      <c r="J31" s="1380" t="s">
        <v>1309</v>
      </c>
      <c r="K31" s="1380" t="s">
        <v>1309</v>
      </c>
      <c r="L31" s="1221"/>
      <c r="M31" s="74"/>
      <c r="N31" s="74"/>
      <c r="O31" s="1223"/>
      <c r="P31" s="1223"/>
      <c r="Q31" s="1223">
        <f>Q32</f>
        <v>0</v>
      </c>
      <c r="R31" s="1224" t="e">
        <f>R32+R34+R35</f>
        <v>#VALUE!</v>
      </c>
      <c r="S31" s="1224" t="e">
        <f>S32+S34+S35</f>
        <v>#VALUE!</v>
      </c>
      <c r="T31" s="1225"/>
      <c r="U31" s="1224" t="e">
        <f>U32+U34+U35</f>
        <v>#DIV/0!</v>
      </c>
      <c r="V31" s="1225"/>
      <c r="W31" s="1224" t="e">
        <f>W32+W34+W35</f>
        <v>#VALUE!</v>
      </c>
      <c r="X31" s="1224" t="e">
        <f>X32</f>
        <v>#DIV/0!</v>
      </c>
      <c r="Y31" s="1224" t="e">
        <f>Y32</f>
        <v>#DIV/0!</v>
      </c>
      <c r="Z31" s="74"/>
      <c r="AA31" s="1226"/>
      <c r="AB31" s="1177"/>
      <c r="AC31" s="1178"/>
      <c r="AD31" s="1226"/>
      <c r="AE31" s="1227"/>
      <c r="AF31" s="74"/>
      <c r="AG31" s="74"/>
      <c r="AH31" s="74"/>
      <c r="AI31" s="74"/>
      <c r="AJ31" s="74"/>
      <c r="AK31" s="74"/>
      <c r="AL31" s="74"/>
      <c r="AM31" s="74"/>
      <c r="AN31" s="74"/>
      <c r="AO31" s="74"/>
      <c r="AP31" s="74"/>
      <c r="AQ31" s="74"/>
      <c r="AR31" s="74"/>
      <c r="AS31" s="74"/>
    </row>
    <row r="32" spans="1:45" ht="66.75" customHeight="1" x14ac:dyDescent="0.25">
      <c r="A32" s="1204" t="str">
        <f>IF(AND(AA32=0,AB32=1),"Ошибка","")</f>
        <v/>
      </c>
      <c r="B32" s="74"/>
      <c r="C32" s="1221"/>
      <c r="D32" s="1228" t="s">
        <v>1928</v>
      </c>
      <c r="E32" s="1643" t="s">
        <v>1850</v>
      </c>
      <c r="F32" s="1632"/>
      <c r="G32" s="1639"/>
      <c r="H32" s="1631">
        <f>I32+J32+K32</f>
        <v>0</v>
      </c>
      <c r="I32" s="1632"/>
      <c r="J32" s="1632">
        <f>IF(AB32=1,G32*F32,0)</f>
        <v>0</v>
      </c>
      <c r="K32" s="1632"/>
      <c r="L32" s="1660" t="s">
        <v>1625</v>
      </c>
      <c r="M32" s="74"/>
      <c r="N32" s="74"/>
      <c r="O32" s="1207" t="e">
        <f>IF(AND(AB32=1,'Расчет базового уровня'!E13&gt;'Расчет базового уровня'!C13),('Расчет базового уровня'!E35-'Расчет базового уровня'!C35)/'Расчет базового уровня'!D147*'Расчет после реализации'!D147,0)/1163</f>
        <v>#VALUE!</v>
      </c>
      <c r="P32" s="1207">
        <f>(IF(AND(AB32=1,D33=списки!N46),MAX(0,'Расчет после реализации'!C85-('Расчет после реализации'!D90*(60-'Расчет после реализации'!E173))*1.163*(1+'Расчет базового уровня'!D176)-'Ввод исходных данных'!D113*1.163*'Ввод исходных данных'!E218),0))/1163</f>
        <v>0</v>
      </c>
      <c r="Q32" s="1207">
        <f>-IF(AND(AB32=1,'Ввод исходных данных'!D144=0),'Расчет после реализации'!D108,0)-IF(AND(AB32=1,'Ввод исходных данных'!D148=0),'Расчет после реализации'!D109,0)+IF(AND(AB32=1,'Ввод исходных данных'!D144&lt;&gt;0),'Расчет базового уровня'!D108-'Расчет после реализации'!D108,0)</f>
        <v>0</v>
      </c>
      <c r="R32" s="1209" t="e">
        <f>O32/'Расчет базового уровня'!$D$35*1163</f>
        <v>#VALUE!</v>
      </c>
      <c r="S32" s="1210" t="e">
        <f>R32</f>
        <v>#VALUE!</v>
      </c>
      <c r="T32" s="1209" t="e">
        <f>IF('Система ГВС'!F3=2,0,P32/'Расчет базового уровня'!$D$85*1163)</f>
        <v>#DIV/0!</v>
      </c>
      <c r="U32" s="1210" t="e">
        <f>T32*(1-U39)</f>
        <v>#DIV/0!</v>
      </c>
      <c r="V32" s="1209" t="e">
        <f>(O32+P32)/'Расчет базового уровня'!$D$9*1163</f>
        <v>#VALUE!</v>
      </c>
      <c r="W32" s="1211" t="e">
        <f>(S32*'Расчет базового уровня'!$D$35+'Список мероприятий'!U32*'Расчет базового уровня'!$D$15)/'Расчет базового уровня'!$D$9</f>
        <v>#VALUE!</v>
      </c>
      <c r="X32" s="1209" t="e">
        <f>Q32/'Расчет базового уровня'!$D$100</f>
        <v>#DIV/0!</v>
      </c>
      <c r="Y32" s="1211" t="e">
        <f>X32</f>
        <v>#DIV/0!</v>
      </c>
      <c r="Z32" s="74">
        <f>IF(AB32-H32=1,1,0)</f>
        <v>0</v>
      </c>
      <c r="AA32" s="1203">
        <v>1</v>
      </c>
      <c r="AB32" s="1175">
        <f>IF(AND(AA32=1,AB33=1,AC32=TRUE),1,0)</f>
        <v>0</v>
      </c>
      <c r="AC32" s="1176" t="b">
        <v>0</v>
      </c>
      <c r="AD32" s="1203">
        <f>IF(AND(AA32=1,A32="ОШИБКА"),1,0)</f>
        <v>0</v>
      </c>
      <c r="AE32" s="75" t="str">
        <f>IF(AB32=1,CONCATENATE(D33,CHAR(10)),"")</f>
        <v/>
      </c>
      <c r="AF32" s="74"/>
      <c r="AG32" s="74"/>
      <c r="AH32" s="74"/>
      <c r="AI32" s="74"/>
      <c r="AJ32" s="74"/>
      <c r="AK32" s="74"/>
      <c r="AL32" s="74"/>
      <c r="AM32" s="74"/>
      <c r="AN32" s="74"/>
      <c r="AO32" s="74"/>
      <c r="AP32" s="74"/>
      <c r="AQ32" s="74"/>
      <c r="AR32" s="74"/>
      <c r="AS32" s="74"/>
    </row>
    <row r="33" spans="1:45" ht="61.5" customHeight="1" x14ac:dyDescent="0.25">
      <c r="A33" s="1204" t="str">
        <f>IF(AND(AB32=1,AB33=0),"Ошибка","")</f>
        <v/>
      </c>
      <c r="B33" s="74"/>
      <c r="C33" s="1429" t="str">
        <f>IF(AB32=1,"Выберите тип узла","")</f>
        <v/>
      </c>
      <c r="D33" s="1278" t="s">
        <v>1266</v>
      </c>
      <c r="E33" s="1644"/>
      <c r="F33" s="1632"/>
      <c r="G33" s="1632"/>
      <c r="H33" s="1631"/>
      <c r="I33" s="1632"/>
      <c r="J33" s="1632"/>
      <c r="K33" s="1632"/>
      <c r="L33" s="1661"/>
      <c r="M33" s="74"/>
      <c r="N33" s="74"/>
      <c r="O33" s="1207"/>
      <c r="P33" s="1207"/>
      <c r="Q33" s="1207"/>
      <c r="R33" s="1189"/>
      <c r="S33" s="1189"/>
      <c r="T33" s="1189"/>
      <c r="U33" s="1189"/>
      <c r="V33" s="1189"/>
      <c r="W33" s="1189"/>
      <c r="X33" s="1189"/>
      <c r="Y33" s="1189"/>
      <c r="Z33" s="74"/>
      <c r="AA33" s="74">
        <f>IF(AA32=1,1,0)</f>
        <v>1</v>
      </c>
      <c r="AB33" s="1171">
        <f>IF(D33&lt;&gt;"пожалуйста, выберите оборудование",1,0)</f>
        <v>1</v>
      </c>
      <c r="AC33" s="1171"/>
      <c r="AD33" s="74"/>
      <c r="AF33" s="74"/>
      <c r="AG33" s="74"/>
      <c r="AH33" s="74"/>
      <c r="AI33" s="74"/>
      <c r="AJ33" s="74"/>
      <c r="AK33" s="74"/>
      <c r="AL33" s="74"/>
      <c r="AM33" s="74"/>
      <c r="AN33" s="74"/>
      <c r="AO33" s="74"/>
      <c r="AP33" s="74"/>
      <c r="AQ33" s="74"/>
      <c r="AR33" s="74"/>
      <c r="AS33" s="74"/>
    </row>
    <row r="34" spans="1:45" ht="72" x14ac:dyDescent="0.25">
      <c r="A34" s="1204" t="str">
        <f>IF(AND(AA34=0,AC34=TRUE),"Ошибка","")</f>
        <v/>
      </c>
      <c r="B34" s="74"/>
      <c r="C34" s="1221"/>
      <c r="D34" s="1229" t="s">
        <v>1942</v>
      </c>
      <c r="E34" s="1230" t="s">
        <v>1482</v>
      </c>
      <c r="F34" s="1275"/>
      <c r="G34" s="1275"/>
      <c r="H34" s="1277">
        <f>I34+J34+K34</f>
        <v>0</v>
      </c>
      <c r="I34" s="1275"/>
      <c r="J34" s="1275"/>
      <c r="K34" s="1275"/>
      <c r="L34" s="1231" t="s">
        <v>1851</v>
      </c>
      <c r="M34" s="74"/>
      <c r="N34" s="74"/>
      <c r="O34" s="1207"/>
      <c r="P34" s="1207">
        <f>(IF(AB34=1,MAX(0,'Расчет после реализации'!$C$85-('Расчет после реализации'!$D$90*(60-'Расчет после реализации'!$E$173))*1.163*(1+'Расчет базового уровня'!$D$176)-'Ввод исходных данных'!D113*1.163*'Ввод исходных данных'!E218),0))/1163</f>
        <v>0</v>
      </c>
      <c r="Q34" s="1207"/>
      <c r="R34" s="1209"/>
      <c r="S34" s="1210"/>
      <c r="T34" s="1209" t="e">
        <f>IF('Система ГВС'!F3=2,0,P34/'Расчет базового уровня'!$D$85*1163)</f>
        <v>#DIV/0!</v>
      </c>
      <c r="U34" s="1210" t="e">
        <f>T34</f>
        <v>#DIV/0!</v>
      </c>
      <c r="V34" s="1209" t="e">
        <f>(O34+P34)/'Расчет базового уровня'!$D$9/0.86*1000</f>
        <v>#DIV/0!</v>
      </c>
      <c r="W34" s="1211" t="e">
        <f>(S34*'Расчет базового уровня'!$D$35+'Список мероприятий'!U34*'Расчет базового уровня'!$D$15)/'Расчет базового уровня'!$D$9</f>
        <v>#DIV/0!</v>
      </c>
      <c r="X34" s="1211"/>
      <c r="Y34" s="1211"/>
      <c r="Z34" s="74">
        <f>IF(AB34-H34=1,1,0)</f>
        <v>0</v>
      </c>
      <c r="AA34" s="1203">
        <f>IF(AND('Система ГВС'!$F$3=1,D33&lt;&gt;списки!N46,AC35=FALSE),1,0)</f>
        <v>1</v>
      </c>
      <c r="AB34" s="1175">
        <f>IF(AND(AA34=1,AC34=TRUE),1,0)</f>
        <v>0</v>
      </c>
      <c r="AC34" s="1176" t="b">
        <v>0</v>
      </c>
      <c r="AD34" s="1203">
        <f>IF(AND(AA34=1,A34="ОШИБКА"),1,0)</f>
        <v>0</v>
      </c>
      <c r="AE34" s="75" t="str">
        <f>IF(AB34=1,CONCATENATE(D34,CHAR(10)),"")</f>
        <v/>
      </c>
      <c r="AF34" s="74"/>
      <c r="AG34" s="74"/>
      <c r="AH34" s="74"/>
      <c r="AI34" s="74"/>
      <c r="AJ34" s="74"/>
      <c r="AK34" s="74"/>
      <c r="AL34" s="74"/>
      <c r="AM34" s="74"/>
      <c r="AN34" s="74"/>
      <c r="AO34" s="74"/>
      <c r="AP34" s="74"/>
      <c r="AQ34" s="74"/>
      <c r="AR34" s="74"/>
      <c r="AS34" s="74"/>
    </row>
    <row r="35" spans="1:45" ht="88.5" customHeight="1" x14ac:dyDescent="0.25">
      <c r="A35" s="1204" t="str">
        <f>IF(AND(AA35=0,AB35=1),"Ошибка","")</f>
        <v/>
      </c>
      <c r="B35" s="74"/>
      <c r="C35" s="1221"/>
      <c r="D35" s="1232" t="s">
        <v>1929</v>
      </c>
      <c r="E35" s="1230" t="s">
        <v>1483</v>
      </c>
      <c r="F35" s="1275"/>
      <c r="G35" s="1275"/>
      <c r="H35" s="1509">
        <f>I35+J35+K35</f>
        <v>0</v>
      </c>
      <c r="I35" s="1275"/>
      <c r="J35" s="1275">
        <f>F35*G35</f>
        <v>0</v>
      </c>
      <c r="K35" s="1275"/>
      <c r="L35" s="1231" t="s">
        <v>1852</v>
      </c>
      <c r="M35" s="74"/>
      <c r="N35" s="74"/>
      <c r="O35" s="1207"/>
      <c r="P35" s="1207">
        <f>(IF(AB35=1,MAX(0,'Расчет после реализации'!$C$85-('Расчет после реализации'!$D$90*(60-'Расчет после реализации'!$E$173))*1.163*(1+'Расчет базового уровня'!$D$176)-'Ввод исходных данных'!D113*1.163*'Ввод исходных данных'!E218),0))/1163</f>
        <v>0</v>
      </c>
      <c r="Q35" s="1207"/>
      <c r="R35" s="1209"/>
      <c r="S35" s="1210"/>
      <c r="T35" s="1209" t="e">
        <f>IF('Система ГВС'!F3=2,0,P35/'Расчет базового уровня'!$D$85*1163)</f>
        <v>#DIV/0!</v>
      </c>
      <c r="U35" s="1210" t="e">
        <f>T35</f>
        <v>#DIV/0!</v>
      </c>
      <c r="V35" s="1209" t="e">
        <f>(O35+P35)/'Расчет базового уровня'!$D$9/0.86*1000</f>
        <v>#DIV/0!</v>
      </c>
      <c r="W35" s="1211" t="e">
        <f>(S35*'Расчет базового уровня'!$D$35+'Список мероприятий'!U35*'Расчет базового уровня'!$D$15)/'Расчет базового уровня'!$D$9</f>
        <v>#DIV/0!</v>
      </c>
      <c r="X35" s="1211"/>
      <c r="Y35" s="1211"/>
      <c r="Z35" s="74">
        <f>IF(AB35-H35=1,1,0)</f>
        <v>0</v>
      </c>
      <c r="AA35" s="1203">
        <f>IF(AND('Система ГВС'!$F$3=1,D33&lt;&gt;списки!N46,'Список мероприятий'!AC34=FALSE),1,0)</f>
        <v>1</v>
      </c>
      <c r="AB35" s="1175">
        <f>IF(AND(AA35=1,AC35=TRUE),1,0)</f>
        <v>0</v>
      </c>
      <c r="AC35" s="1176" t="b">
        <v>0</v>
      </c>
      <c r="AD35" s="1203">
        <f>IF(AND(AA35=1,A35="ОШИБКА"),1,0)</f>
        <v>0</v>
      </c>
      <c r="AE35" s="75" t="str">
        <f>IF(AB35=1,CONCATENATE(D35,CHAR(10)),"")</f>
        <v/>
      </c>
      <c r="AF35" s="74"/>
      <c r="AG35" s="74"/>
      <c r="AH35" s="74"/>
      <c r="AI35" s="74"/>
      <c r="AJ35" s="74"/>
      <c r="AK35" s="74"/>
      <c r="AL35" s="74"/>
      <c r="AM35" s="74"/>
      <c r="AN35" s="74"/>
      <c r="AO35" s="74"/>
      <c r="AP35" s="74"/>
      <c r="AQ35" s="74"/>
      <c r="AR35" s="74"/>
      <c r="AS35" s="74"/>
    </row>
    <row r="36" spans="1:45" x14ac:dyDescent="0.25">
      <c r="A36" s="1233" t="str">
        <f>IF(SUM(AD37:AD52)&gt;0,"Ошибка","")</f>
        <v/>
      </c>
      <c r="B36" s="74"/>
      <c r="C36" s="1221"/>
      <c r="D36" s="1222" t="s">
        <v>1445</v>
      </c>
      <c r="E36" s="1221"/>
      <c r="F36" s="1234"/>
      <c r="G36" s="1234"/>
      <c r="H36" s="1234"/>
      <c r="I36" s="1234"/>
      <c r="J36" s="1234"/>
      <c r="K36" s="1234"/>
      <c r="L36" s="1221"/>
      <c r="M36" s="74"/>
      <c r="N36" s="74"/>
      <c r="O36" s="1223"/>
      <c r="P36" s="1223"/>
      <c r="Q36" s="1223"/>
      <c r="R36" s="1225"/>
      <c r="S36" s="1235" t="e">
        <f>S37+S38+S39</f>
        <v>#DIV/0!</v>
      </c>
      <c r="T36" s="1225"/>
      <c r="U36" s="1235" t="e">
        <f>U37+U38+U39</f>
        <v>#DIV/0!</v>
      </c>
      <c r="V36" s="1225"/>
      <c r="W36" s="1235" t="e">
        <f>W37+W38+W39</f>
        <v>#DIV/0!</v>
      </c>
      <c r="X36" s="1235"/>
      <c r="Y36" s="1235"/>
      <c r="Z36" s="74"/>
      <c r="AA36" s="1226"/>
      <c r="AB36" s="1177"/>
      <c r="AC36" s="1178"/>
      <c r="AD36" s="1226"/>
      <c r="AE36" s="1227"/>
      <c r="AF36" s="74"/>
      <c r="AG36" s="74"/>
      <c r="AH36" s="74"/>
      <c r="AI36" s="74"/>
      <c r="AJ36" s="74"/>
      <c r="AK36" s="74"/>
      <c r="AL36" s="74"/>
      <c r="AM36" s="74"/>
      <c r="AN36" s="74"/>
      <c r="AO36" s="74"/>
      <c r="AP36" s="74"/>
      <c r="AQ36" s="74"/>
      <c r="AR36" s="74"/>
      <c r="AS36" s="74"/>
    </row>
    <row r="37" spans="1:45" ht="52.5" customHeight="1" x14ac:dyDescent="0.25">
      <c r="A37" s="1204" t="str">
        <f>IF(AND(AA37=0,AB37=1),"Ошибка","")</f>
        <v/>
      </c>
      <c r="B37" s="74"/>
      <c r="C37" s="1221"/>
      <c r="D37" s="1236" t="s">
        <v>1295</v>
      </c>
      <c r="E37" s="1230" t="s">
        <v>1854</v>
      </c>
      <c r="F37" s="1276"/>
      <c r="G37" s="1275"/>
      <c r="H37" s="1382">
        <f>I37+J37+K37</f>
        <v>0</v>
      </c>
      <c r="I37" s="1276"/>
      <c r="J37" s="1508">
        <f>IF(AB37=1,G37*F37,0)</f>
        <v>0</v>
      </c>
      <c r="K37" s="1276"/>
      <c r="L37" s="946"/>
      <c r="M37" s="74"/>
      <c r="N37" s="74"/>
      <c r="O37" s="1207">
        <f>IF(AB37=1,('Расчет базового уровня'!D158-'Расчет после реализации'!D158)*'Расчет базового уровня'!D13,0)</f>
        <v>0</v>
      </c>
      <c r="P37" s="1237"/>
      <c r="Q37" s="1237"/>
      <c r="R37" s="1211" t="e">
        <f>O37/'Расчет базового уровня'!$D$35/0.86*1000</f>
        <v>#DIV/0!</v>
      </c>
      <c r="S37" s="1211" t="e">
        <f>R37*(1-R31-S18-S7-S60-S71)</f>
        <v>#DIV/0!</v>
      </c>
      <c r="T37" s="1189"/>
      <c r="U37" s="1189"/>
      <c r="V37" s="1209" t="e">
        <f>(O37+P37)/'Расчет базового уровня'!$D$9/0.86*1000</f>
        <v>#DIV/0!</v>
      </c>
      <c r="W37" s="1211" t="e">
        <f>(S37*'Расчет базового уровня'!$D$35+'Список мероприятий'!U37*'Расчет базового уровня'!$D$15)/'Расчет базового уровня'!$D$9</f>
        <v>#DIV/0!</v>
      </c>
      <c r="X37" s="1211"/>
      <c r="Y37" s="1211"/>
      <c r="Z37" s="74">
        <f>IF(AB37-H37=1,1,0)</f>
        <v>0</v>
      </c>
      <c r="AA37" s="1203">
        <v>1</v>
      </c>
      <c r="AB37" s="1175">
        <f>IF(AC37=TRUE,1,0)</f>
        <v>0</v>
      </c>
      <c r="AC37" s="1176" t="b">
        <v>0</v>
      </c>
      <c r="AD37" s="1203">
        <f>IF(AND(AA37=1,A37="ОШИБКА"),1,0)</f>
        <v>0</v>
      </c>
      <c r="AE37" s="75" t="str">
        <f>IF(AB37=1,CONCATENATE(D37,CHAR(10)),"")</f>
        <v/>
      </c>
      <c r="AF37" s="74"/>
      <c r="AG37" s="74"/>
      <c r="AH37" s="74"/>
      <c r="AI37" s="74"/>
      <c r="AJ37" s="74"/>
      <c r="AK37" s="74"/>
      <c r="AL37" s="74"/>
      <c r="AM37" s="74"/>
      <c r="AN37" s="74"/>
      <c r="AO37" s="74"/>
      <c r="AP37" s="74"/>
      <c r="AQ37" s="74"/>
      <c r="AR37" s="74"/>
      <c r="AS37" s="74"/>
    </row>
    <row r="38" spans="1:45" ht="101.45" customHeight="1" x14ac:dyDescent="0.25">
      <c r="A38" s="1204" t="str">
        <f>IF(AND(AA38=0,AC38=TRUE),"Ошибка","")</f>
        <v/>
      </c>
      <c r="B38" s="74"/>
      <c r="C38" s="1221"/>
      <c r="D38" s="1238" t="s">
        <v>1930</v>
      </c>
      <c r="E38" s="1230" t="s">
        <v>1855</v>
      </c>
      <c r="F38" s="1275"/>
      <c r="G38" s="1275"/>
      <c r="H38" s="1382">
        <f>I38+J38+K38</f>
        <v>0</v>
      </c>
      <c r="I38" s="1276"/>
      <c r="J38" s="1276"/>
      <c r="K38" s="1276"/>
      <c r="L38" s="946"/>
      <c r="M38" s="74"/>
      <c r="N38" s="74"/>
      <c r="O38" s="1207"/>
      <c r="P38" s="1207">
        <f>IF(AB38=1,-'Расчет базового уровня'!D85*(1+'Расчет после реализации'!D174)/(1+'Расчет базового уровня'!D176)+'Расчет базового уровня'!D85,0)*0.86/1000</f>
        <v>0</v>
      </c>
      <c r="Q38" s="1207"/>
      <c r="R38" s="1209"/>
      <c r="S38" s="1209"/>
      <c r="T38" s="1209" t="e">
        <f>IF('Система ГВС'!F3=2,0,P38/'Расчет базового уровня'!$D$85/0.86*1000)</f>
        <v>#DIV/0!</v>
      </c>
      <c r="U38" s="1209" t="e">
        <f>IF('Система ГВС'!F3=2,0,T38*(1-T32-T39))</f>
        <v>#DIV/0!</v>
      </c>
      <c r="V38" s="1209" t="e">
        <f>(O38+P38)/'Расчет базового уровня'!$D$9/0.86*1000</f>
        <v>#DIV/0!</v>
      </c>
      <c r="W38" s="1211" t="e">
        <f>(S38*'Расчет базового уровня'!$D$35+'Список мероприятий'!U38*'Расчет базового уровня'!$D$15)/'Расчет базового уровня'!$D$9</f>
        <v>#DIV/0!</v>
      </c>
      <c r="X38" s="1211"/>
      <c r="Y38" s="1211"/>
      <c r="Z38" s="74">
        <f>IF(AB38-H38=1,1,0)</f>
        <v>0</v>
      </c>
      <c r="AA38" s="1203">
        <f>IF(AND('Система ГВС'!$F$3=1),1,0)</f>
        <v>1</v>
      </c>
      <c r="AB38" s="1175">
        <f>IF(AND(AA38=1,AC38=TRUE),1,0)</f>
        <v>0</v>
      </c>
      <c r="AC38" s="1176" t="b">
        <v>0</v>
      </c>
      <c r="AD38" s="1203">
        <f>IF(AND(AA38=1,A38="ОШИБКА"),1,0)</f>
        <v>0</v>
      </c>
      <c r="AE38" s="75" t="str">
        <f>IF(AB38=1,CONCATENATE(D38,CHAR(10)),"")</f>
        <v/>
      </c>
      <c r="AF38" s="74"/>
      <c r="AG38" s="74"/>
      <c r="AH38" s="74"/>
      <c r="AI38" s="74"/>
      <c r="AJ38" s="74"/>
      <c r="AK38" s="74"/>
      <c r="AL38" s="74"/>
      <c r="AM38" s="74"/>
      <c r="AN38" s="74"/>
      <c r="AO38" s="74"/>
      <c r="AP38" s="74"/>
      <c r="AQ38" s="74"/>
      <c r="AR38" s="74"/>
      <c r="AS38" s="74"/>
    </row>
    <row r="39" spans="1:45" ht="45.75" customHeight="1" x14ac:dyDescent="0.25">
      <c r="A39" s="1204" t="str">
        <f>IF(AND(AA39=0,AC39=TRUE),"Ошибка","")</f>
        <v/>
      </c>
      <c r="B39" s="74"/>
      <c r="C39" s="1221"/>
      <c r="D39" s="1228" t="s">
        <v>1931</v>
      </c>
      <c r="E39" s="1239" t="s">
        <v>1273</v>
      </c>
      <c r="F39" s="1275"/>
      <c r="G39" s="1275"/>
      <c r="H39" s="1277">
        <f>I39+J39+K39</f>
        <v>0</v>
      </c>
      <c r="I39" s="1275"/>
      <c r="J39" s="1275"/>
      <c r="K39" s="1275"/>
      <c r="L39" s="1231" t="s">
        <v>1877</v>
      </c>
      <c r="M39" s="74"/>
      <c r="N39" s="74"/>
      <c r="O39" s="1207"/>
      <c r="P39" s="1207">
        <f>IF(AB39=1,'Расчет базового уровня'!D85*0.1-'Расчет после реализации'!D178/0.86*1000,0)*0.86/1000</f>
        <v>0</v>
      </c>
      <c r="Q39" s="1207"/>
      <c r="R39" s="1209"/>
      <c r="S39" s="1210"/>
      <c r="T39" s="1209" t="e">
        <f>IF('Система ГВС'!F3=2,0,P39/'Расчет базового уровня'!$D$85/0.86*1000)</f>
        <v>#DIV/0!</v>
      </c>
      <c r="U39" s="1209" t="e">
        <f>T39</f>
        <v>#DIV/0!</v>
      </c>
      <c r="V39" s="1209" t="e">
        <f>(O39+P39)/'Расчет базового уровня'!$D$9/0.86*1000</f>
        <v>#DIV/0!</v>
      </c>
      <c r="W39" s="1211" t="e">
        <f>(S39*'Расчет базового уровня'!$D$35+'Список мероприятий'!U39*'Расчет базового уровня'!$D$15)/'Расчет базового уровня'!$D$9</f>
        <v>#DIV/0!</v>
      </c>
      <c r="X39" s="1211"/>
      <c r="Y39" s="1211"/>
      <c r="Z39" s="74">
        <f>IF(AB39-H39=1,1,0)</f>
        <v>0</v>
      </c>
      <c r="AA39" s="1203">
        <f>IF(AND('Система ГВС'!$F$3=1,'Система ГВС'!F17=0),1,0)</f>
        <v>1</v>
      </c>
      <c r="AB39" s="1175">
        <f>IF(AND(AA39=1,AC39=TRUE),1,0)</f>
        <v>0</v>
      </c>
      <c r="AC39" s="1176" t="b">
        <v>0</v>
      </c>
      <c r="AD39" s="1203">
        <f>IF(AND(AA39=1,A39="ОШИБКА"),1,0)</f>
        <v>0</v>
      </c>
      <c r="AE39" s="75" t="str">
        <f>IF(AB39=1,CONCATENATE(D39,CHAR(10)),"")</f>
        <v/>
      </c>
      <c r="AF39" s="74"/>
      <c r="AG39" s="74"/>
      <c r="AH39" s="74"/>
      <c r="AI39" s="74"/>
      <c r="AJ39" s="74"/>
      <c r="AK39" s="74"/>
      <c r="AL39" s="74"/>
      <c r="AM39" s="74"/>
      <c r="AN39" s="74"/>
      <c r="AO39" s="74"/>
      <c r="AP39" s="74"/>
      <c r="AQ39" s="74"/>
      <c r="AR39" s="74"/>
      <c r="AS39" s="74"/>
    </row>
    <row r="40" spans="1:45" ht="33" customHeight="1" x14ac:dyDescent="0.25">
      <c r="A40" s="1240"/>
      <c r="B40" s="74"/>
      <c r="C40" s="1221"/>
      <c r="D40" s="1241" t="s">
        <v>1562</v>
      </c>
      <c r="E40" s="74"/>
      <c r="F40" s="74"/>
      <c r="G40" s="74"/>
      <c r="H40" s="74"/>
      <c r="I40" s="74"/>
      <c r="J40" s="74"/>
      <c r="K40" s="74"/>
      <c r="L40" s="74"/>
      <c r="M40" s="74"/>
      <c r="N40" s="74"/>
      <c r="O40" s="1207"/>
      <c r="P40" s="1207"/>
      <c r="Q40" s="1207"/>
      <c r="R40" s="1209"/>
      <c r="S40" s="1210"/>
      <c r="T40" s="1209"/>
      <c r="U40" s="1209"/>
      <c r="V40" s="1209"/>
      <c r="W40" s="1211"/>
      <c r="X40" s="1211"/>
      <c r="Y40" s="1211"/>
      <c r="Z40" s="74"/>
      <c r="AA40" s="1203"/>
      <c r="AB40" s="1175"/>
      <c r="AC40" s="1176"/>
      <c r="AD40" s="1203"/>
      <c r="AF40" s="74"/>
      <c r="AG40" s="74"/>
      <c r="AH40" s="74"/>
      <c r="AI40" s="74"/>
      <c r="AJ40" s="74"/>
      <c r="AK40" s="74"/>
      <c r="AL40" s="74"/>
      <c r="AM40" s="74"/>
      <c r="AN40" s="74"/>
      <c r="AO40" s="74"/>
      <c r="AP40" s="74"/>
      <c r="AQ40" s="74"/>
      <c r="AR40" s="74"/>
      <c r="AS40" s="74"/>
    </row>
    <row r="41" spans="1:45" x14ac:dyDescent="0.25">
      <c r="A41" s="1240"/>
      <c r="B41" s="74"/>
      <c r="C41" s="1221"/>
      <c r="D41" s="1273">
        <f>'Ввод исходных данных'!G49+'Серии планировка'!AB76</f>
        <v>0</v>
      </c>
      <c r="E41" s="74"/>
      <c r="F41" s="74"/>
      <c r="G41" s="74"/>
      <c r="H41" s="74"/>
      <c r="I41" s="74"/>
      <c r="J41" s="74"/>
      <c r="K41" s="74"/>
      <c r="L41" s="74"/>
      <c r="M41" s="74"/>
      <c r="N41" s="74"/>
      <c r="O41" s="1207"/>
      <c r="P41" s="1207"/>
      <c r="Q41" s="1207"/>
      <c r="R41" s="1209"/>
      <c r="S41" s="1210"/>
      <c r="T41" s="1209"/>
      <c r="U41" s="1209"/>
      <c r="V41" s="1209"/>
      <c r="W41" s="1211"/>
      <c r="X41" s="1211"/>
      <c r="Y41" s="1211"/>
      <c r="Z41" s="74"/>
      <c r="AA41" s="1203"/>
      <c r="AB41" s="1175"/>
      <c r="AC41" s="1176"/>
      <c r="AD41" s="1203"/>
      <c r="AF41" s="74"/>
      <c r="AG41" s="74"/>
      <c r="AH41" s="74"/>
      <c r="AI41" s="74"/>
      <c r="AJ41" s="74"/>
      <c r="AK41" s="74"/>
      <c r="AL41" s="74"/>
      <c r="AM41" s="74"/>
      <c r="AN41" s="74"/>
      <c r="AO41" s="74"/>
      <c r="AP41" s="74"/>
      <c r="AQ41" s="74"/>
      <c r="AR41" s="74"/>
      <c r="AS41" s="74"/>
    </row>
    <row r="42" spans="1:45" ht="48.75" customHeight="1" x14ac:dyDescent="0.25">
      <c r="A42" s="1242" t="str">
        <f>IF(AND(AA42=0,AB42=1),"Ошибка","")</f>
        <v/>
      </c>
      <c r="B42" s="74"/>
      <c r="C42" s="1221"/>
      <c r="D42" s="1214" t="s">
        <v>1276</v>
      </c>
      <c r="E42" s="1383" t="s">
        <v>1853</v>
      </c>
      <c r="F42" s="1275"/>
      <c r="G42" s="1275"/>
      <c r="H42" s="1277">
        <f>H43+H44+H45</f>
        <v>0</v>
      </c>
      <c r="I42" s="1275"/>
      <c r="J42" s="1275"/>
      <c r="K42" s="1275"/>
      <c r="L42" s="1680" t="s">
        <v>1878</v>
      </c>
      <c r="M42" s="74"/>
      <c r="N42" s="74"/>
      <c r="O42" s="1207"/>
      <c r="P42" s="1207"/>
      <c r="Q42" s="1207"/>
      <c r="R42" s="1189"/>
      <c r="S42" s="1189"/>
      <c r="T42" s="1189"/>
      <c r="U42" s="1189"/>
      <c r="V42" s="1189"/>
      <c r="W42" s="1189"/>
      <c r="X42" s="1189"/>
      <c r="Y42" s="1210" t="e">
        <f>SUM(Y43:Y45)</f>
        <v>#DIV/0!</v>
      </c>
      <c r="Z42" s="74"/>
      <c r="AA42" s="1203">
        <f>IF(SUM(AA43:AA45)&gt;0,1,0)</f>
        <v>0</v>
      </c>
      <c r="AB42" s="1175">
        <f>IF(SUM(AB43:AB45)&gt;0,1,0)</f>
        <v>0</v>
      </c>
      <c r="AC42" s="1175"/>
      <c r="AD42" s="1203">
        <f>IF(AND(AA42=1,A42="ОШИБКА"),1,0)</f>
        <v>0</v>
      </c>
      <c r="AE42" s="75" t="str">
        <f>IF(AB43=1,CONCATENATE(D42,CHAR(10)),"")</f>
        <v/>
      </c>
      <c r="AF42" s="74"/>
      <c r="AG42" s="74"/>
      <c r="AH42" s="74"/>
      <c r="AI42" s="74"/>
      <c r="AJ42" s="74"/>
      <c r="AK42" s="74"/>
      <c r="AL42" s="74"/>
      <c r="AM42" s="74"/>
      <c r="AN42" s="74"/>
      <c r="AO42" s="74"/>
      <c r="AP42" s="74"/>
      <c r="AQ42" s="74"/>
      <c r="AR42" s="74"/>
      <c r="AS42" s="74"/>
    </row>
    <row r="43" spans="1:45" ht="16.5" customHeight="1" x14ac:dyDescent="0.25">
      <c r="A43" s="1242" t="str">
        <f>IF(AND(AA43=0,AC43=TRUE),"Ошибка","")</f>
        <v/>
      </c>
      <c r="B43" s="74"/>
      <c r="C43" s="1243"/>
      <c r="D43" s="1244" t="s">
        <v>1350</v>
      </c>
      <c r="E43" s="1245"/>
      <c r="F43" s="1275"/>
      <c r="G43" s="1275"/>
      <c r="H43" s="1430">
        <f t="shared" ref="H43:H45" si="0">I43+J43+K43</f>
        <v>0</v>
      </c>
      <c r="I43" s="1275"/>
      <c r="J43" s="1275"/>
      <c r="K43" s="1275"/>
      <c r="L43" s="1681"/>
      <c r="M43" s="74"/>
      <c r="N43" s="74"/>
      <c r="O43" s="1207"/>
      <c r="P43" s="1207"/>
      <c r="Q43" s="1189">
        <f>IF(AB43=1,'Расчет после реализации'!$D$108/(IF($AB$52=1,0.9572,1))-'Расчет после реализации'!$C$108,0)</f>
        <v>0</v>
      </c>
      <c r="R43" s="1189"/>
      <c r="S43" s="1189"/>
      <c r="T43" s="1189"/>
      <c r="U43" s="1189"/>
      <c r="V43" s="1189"/>
      <c r="W43" s="1189"/>
      <c r="X43" s="1209" t="e">
        <f>Q43/'Расчет базового уровня'!$D$100</f>
        <v>#DIV/0!</v>
      </c>
      <c r="Y43" s="1210" t="e">
        <f>X43</f>
        <v>#DIV/0!</v>
      </c>
      <c r="Z43" s="74">
        <f>IF(AB43-H43=1,1,0)</f>
        <v>0</v>
      </c>
      <c r="AA43" s="74">
        <f>IF(AND('Ввод исходных данных'!D144&gt;0,AC48=FALSE,AB32=0),1,0)</f>
        <v>0</v>
      </c>
      <c r="AB43" s="1175">
        <f>IF(AND(AA43=1,AC43=TRUE),1,0)</f>
        <v>0</v>
      </c>
      <c r="AC43" s="1176" t="b">
        <v>0</v>
      </c>
      <c r="AD43" s="1203">
        <f>IF(AND(AA43=1,A43="ОШИБКА"),1,0)</f>
        <v>0</v>
      </c>
      <c r="AF43" s="74"/>
      <c r="AG43" s="74"/>
      <c r="AH43" s="74"/>
      <c r="AI43" s="74"/>
      <c r="AJ43" s="74"/>
      <c r="AK43" s="74"/>
      <c r="AL43" s="74"/>
      <c r="AM43" s="74"/>
      <c r="AN43" s="74"/>
      <c r="AO43" s="74"/>
      <c r="AP43" s="74"/>
      <c r="AQ43" s="74"/>
      <c r="AR43" s="74"/>
      <c r="AS43" s="74"/>
    </row>
    <row r="44" spans="1:45" ht="19.5" customHeight="1" x14ac:dyDescent="0.25">
      <c r="A44" s="1242" t="str">
        <f>IF(AND(AA44=0,AC44=TRUE),"Ошибка","")</f>
        <v/>
      </c>
      <c r="B44" s="74"/>
      <c r="C44" s="1243"/>
      <c r="D44" s="1244" t="s">
        <v>541</v>
      </c>
      <c r="E44" s="1245"/>
      <c r="F44" s="1275"/>
      <c r="G44" s="1275"/>
      <c r="H44" s="1430">
        <f t="shared" si="0"/>
        <v>0</v>
      </c>
      <c r="I44" s="1275"/>
      <c r="J44" s="1275"/>
      <c r="K44" s="1275"/>
      <c r="L44" s="1681"/>
      <c r="M44" s="74"/>
      <c r="N44" s="74"/>
      <c r="O44" s="1207"/>
      <c r="P44" s="1207"/>
      <c r="Q44" s="1189">
        <f>IF(AB44=1,'Расчет после реализации'!$D$109/(IF($AB$52=1,0.9572,1))-'Расчет после реализации'!$C$109,0)</f>
        <v>0</v>
      </c>
      <c r="R44" s="1189"/>
      <c r="S44" s="1189"/>
      <c r="T44" s="1189"/>
      <c r="U44" s="1189"/>
      <c r="V44" s="1189"/>
      <c r="W44" s="1189"/>
      <c r="X44" s="1209" t="e">
        <f>Q44/'Расчет базового уровня'!$D$100</f>
        <v>#DIV/0!</v>
      </c>
      <c r="Y44" s="1210" t="e">
        <f t="shared" ref="Y44:Y45" si="1">X44</f>
        <v>#DIV/0!</v>
      </c>
      <c r="Z44" s="74">
        <f>IF(AB44-H44=1,1,0)</f>
        <v>0</v>
      </c>
      <c r="AA44" s="74">
        <f>IF(AND('Ввод исходных данных'!D148&gt;0,AC49=FALSE,D33&lt;&gt;списки!N46),1,0)</f>
        <v>0</v>
      </c>
      <c r="AB44" s="1175">
        <f>IF(AND(AA44=1,AC44=TRUE),1,0)</f>
        <v>0</v>
      </c>
      <c r="AC44" s="1176" t="b">
        <v>0</v>
      </c>
      <c r="AD44" s="1203">
        <f>IF(AND(AA44=1,A44="ОШИБКА"),1,0)</f>
        <v>0</v>
      </c>
      <c r="AF44" s="74"/>
      <c r="AG44" s="74"/>
      <c r="AH44" s="74"/>
      <c r="AI44" s="74"/>
      <c r="AJ44" s="74"/>
      <c r="AK44" s="74"/>
      <c r="AL44" s="74"/>
      <c r="AM44" s="74"/>
      <c r="AN44" s="74"/>
      <c r="AO44" s="74"/>
      <c r="AP44" s="74"/>
      <c r="AQ44" s="74"/>
      <c r="AR44" s="74"/>
      <c r="AS44" s="74"/>
    </row>
    <row r="45" spans="1:45" ht="18" customHeight="1" x14ac:dyDescent="0.25">
      <c r="A45" s="1242" t="str">
        <f>IF(AND(AA45=0,AC45=TRUE),"Ошибка","")</f>
        <v/>
      </c>
      <c r="B45" s="74"/>
      <c r="C45" s="1243"/>
      <c r="D45" s="1244" t="s">
        <v>1351</v>
      </c>
      <c r="E45" s="1245"/>
      <c r="F45" s="1275"/>
      <c r="G45" s="1275"/>
      <c r="H45" s="1430">
        <f t="shared" si="0"/>
        <v>0</v>
      </c>
      <c r="I45" s="1275"/>
      <c r="J45" s="1275"/>
      <c r="K45" s="1275"/>
      <c r="L45" s="1682"/>
      <c r="M45" s="74"/>
      <c r="N45" s="74"/>
      <c r="O45" s="1207"/>
      <c r="P45" s="1207"/>
      <c r="Q45" s="1189">
        <f>IF(AB45=1,'Расчет после реализации'!$D$110/(IF($AB$52=1,0.9572,1))-'Расчет после реализации'!$C$110,0)</f>
        <v>0</v>
      </c>
      <c r="R45" s="1189"/>
      <c r="S45" s="1189"/>
      <c r="T45" s="1189"/>
      <c r="U45" s="1189"/>
      <c r="V45" s="1189"/>
      <c r="W45" s="1189"/>
      <c r="X45" s="1209" t="e">
        <f>Q45/'Расчет базового уровня'!$D$100</f>
        <v>#DIV/0!</v>
      </c>
      <c r="Y45" s="1210" t="e">
        <f t="shared" si="1"/>
        <v>#DIV/0!</v>
      </c>
      <c r="Z45" s="74">
        <f>IF(AB45-H45=1,1,0)</f>
        <v>0</v>
      </c>
      <c r="AA45" s="74">
        <f>IF(AND('Ввод исходных данных'!D152&gt;0,AC50=FALSE),1,0)</f>
        <v>0</v>
      </c>
      <c r="AB45" s="1175">
        <f>IF(AND(AA45=1,AC45=TRUE),1,0)</f>
        <v>0</v>
      </c>
      <c r="AC45" s="1176" t="b">
        <v>0</v>
      </c>
      <c r="AD45" s="1203">
        <f>IF(AND(AA45=1,A45="ОШИБКА"),1,0)</f>
        <v>0</v>
      </c>
      <c r="AF45" s="74"/>
      <c r="AG45" s="74"/>
      <c r="AH45" s="74"/>
      <c r="AI45" s="74"/>
      <c r="AJ45" s="74"/>
      <c r="AK45" s="74"/>
      <c r="AL45" s="74"/>
      <c r="AM45" s="74"/>
      <c r="AN45" s="74"/>
      <c r="AO45" s="74"/>
      <c r="AP45" s="74"/>
      <c r="AQ45" s="74"/>
      <c r="AR45" s="74"/>
      <c r="AS45" s="74"/>
    </row>
    <row r="46" spans="1:45" x14ac:dyDescent="0.25">
      <c r="A46" s="74"/>
      <c r="B46" s="74"/>
      <c r="C46" s="74"/>
      <c r="D46" s="74"/>
      <c r="E46" s="74"/>
      <c r="F46" s="1213"/>
      <c r="G46" s="1213"/>
      <c r="H46" s="1213"/>
      <c r="I46" s="1213"/>
      <c r="J46" s="1213"/>
      <c r="K46" s="1213"/>
      <c r="L46" s="74"/>
      <c r="M46" s="74"/>
      <c r="N46" s="74"/>
      <c r="O46" s="1207"/>
      <c r="P46" s="1207"/>
      <c r="Q46" s="1207"/>
      <c r="R46" s="1189"/>
      <c r="S46" s="1189"/>
      <c r="T46" s="1189"/>
      <c r="U46" s="1189"/>
      <c r="V46" s="1189"/>
      <c r="W46" s="1189"/>
      <c r="X46" s="1189"/>
      <c r="Y46" s="1189"/>
      <c r="Z46" s="74"/>
      <c r="AA46" s="74"/>
      <c r="AB46" s="1171"/>
      <c r="AC46" s="1172"/>
      <c r="AD46" s="74"/>
      <c r="AF46" s="74"/>
      <c r="AG46" s="74"/>
      <c r="AH46" s="74"/>
      <c r="AI46" s="74"/>
      <c r="AJ46" s="74"/>
      <c r="AK46" s="74"/>
      <c r="AL46" s="74"/>
      <c r="AM46" s="74"/>
      <c r="AN46" s="74"/>
      <c r="AO46" s="74"/>
      <c r="AP46" s="74"/>
      <c r="AQ46" s="74"/>
      <c r="AR46" s="74"/>
      <c r="AS46" s="74"/>
    </row>
    <row r="47" spans="1:45" ht="60" x14ac:dyDescent="0.25">
      <c r="A47" s="1242" t="str">
        <f>IF(AND(AA47=0,AB47=1),"Ошибка","")</f>
        <v/>
      </c>
      <c r="B47" s="74"/>
      <c r="C47" s="1221"/>
      <c r="D47" s="1246" t="s">
        <v>1383</v>
      </c>
      <c r="E47" s="1383" t="s">
        <v>1853</v>
      </c>
      <c r="F47" s="1275"/>
      <c r="G47" s="1275"/>
      <c r="H47" s="1430">
        <f>H48+H49+H50</f>
        <v>0</v>
      </c>
      <c r="I47" s="1275"/>
      <c r="J47" s="1275"/>
      <c r="K47" s="1275"/>
      <c r="L47" s="1655" t="s">
        <v>1879</v>
      </c>
      <c r="M47" s="74"/>
      <c r="N47" s="74"/>
      <c r="O47" s="1207"/>
      <c r="P47" s="1207"/>
      <c r="Q47" s="1207"/>
      <c r="R47" s="1189"/>
      <c r="S47" s="1189"/>
      <c r="T47" s="1189"/>
      <c r="U47" s="1189"/>
      <c r="V47" s="1189"/>
      <c r="W47" s="1189"/>
      <c r="X47" s="1189"/>
      <c r="Y47" s="1210" t="e">
        <f>SUM(Y48:Y50)</f>
        <v>#DIV/0!</v>
      </c>
      <c r="Z47" s="74"/>
      <c r="AA47" s="1203">
        <f>IF(SUM(AA48:AA50)&gt;0,1,0)</f>
        <v>0</v>
      </c>
      <c r="AB47" s="1175">
        <f>IF(SUM(AB48:AB50)&gt;0,1,0)</f>
        <v>0</v>
      </c>
      <c r="AC47" s="1175"/>
      <c r="AD47" s="1203"/>
      <c r="AE47" s="75" t="str">
        <f>IF(AB47=1,CONCATENATE(D47,CHAR(10)),"")</f>
        <v/>
      </c>
      <c r="AF47" s="74"/>
      <c r="AG47" s="74"/>
      <c r="AH47" s="74"/>
      <c r="AI47" s="74"/>
      <c r="AJ47" s="74"/>
      <c r="AK47" s="74"/>
      <c r="AL47" s="74"/>
      <c r="AM47" s="74"/>
      <c r="AN47" s="74"/>
      <c r="AO47" s="74"/>
      <c r="AP47" s="74"/>
      <c r="AQ47" s="74"/>
      <c r="AR47" s="74"/>
      <c r="AS47" s="74"/>
    </row>
    <row r="48" spans="1:45" ht="16.5" customHeight="1" x14ac:dyDescent="0.25">
      <c r="A48" s="1242" t="str">
        <f>IF(AND(AA48=0,AC48=TRUE),"Ошибка","")</f>
        <v/>
      </c>
      <c r="B48" s="74"/>
      <c r="C48" s="1243"/>
      <c r="D48" s="1244" t="s">
        <v>1350</v>
      </c>
      <c r="E48" s="1245"/>
      <c r="F48" s="1275"/>
      <c r="G48" s="1275"/>
      <c r="H48" s="1430">
        <f t="shared" ref="H48:H50" si="2">I48+J48+K48</f>
        <v>0</v>
      </c>
      <c r="I48" s="1275"/>
      <c r="J48" s="1275"/>
      <c r="K48" s="1275"/>
      <c r="L48" s="1656"/>
      <c r="M48" s="74"/>
      <c r="N48" s="74"/>
      <c r="O48" s="1189"/>
      <c r="P48" s="1189"/>
      <c r="Q48" s="1189">
        <f>IF(AB48=1,'Расчет после реализации'!$D$108/(IF($AB$52=1,0.9572,1))-'Расчет после реализации'!$C$108,0)</f>
        <v>0</v>
      </c>
      <c r="R48" s="1189"/>
      <c r="S48" s="1189"/>
      <c r="T48" s="1189"/>
      <c r="U48" s="1189"/>
      <c r="V48" s="1189"/>
      <c r="W48" s="1189"/>
      <c r="X48" s="1209" t="e">
        <f>Q48/'Расчет базового уровня'!$D$100</f>
        <v>#DIV/0!</v>
      </c>
      <c r="Y48" s="1210" t="e">
        <f>X48</f>
        <v>#DIV/0!</v>
      </c>
      <c r="Z48" s="74">
        <f>IF(AB48-H48=1,1,0)</f>
        <v>0</v>
      </c>
      <c r="AA48" s="74">
        <f>IF(AND('Ввод исходных данных'!D144&gt;0,AC43=FALSE,AB32=0),1,0)</f>
        <v>0</v>
      </c>
      <c r="AB48" s="1175">
        <f>IF(AND(AA48=1,AC48=TRUE),1,0)</f>
        <v>0</v>
      </c>
      <c r="AC48" s="1176" t="b">
        <v>0</v>
      </c>
      <c r="AD48" s="1203">
        <f>IF(AND(AA48=1,A48="ОШИБКА"),1,0)</f>
        <v>0</v>
      </c>
      <c r="AF48" s="74"/>
      <c r="AG48" s="74"/>
      <c r="AH48" s="74"/>
      <c r="AI48" s="74"/>
      <c r="AJ48" s="74"/>
      <c r="AK48" s="74"/>
      <c r="AL48" s="74"/>
      <c r="AM48" s="74"/>
      <c r="AN48" s="74"/>
      <c r="AO48" s="74"/>
      <c r="AP48" s="74"/>
      <c r="AQ48" s="74"/>
      <c r="AR48" s="74"/>
      <c r="AS48" s="74"/>
    </row>
    <row r="49" spans="1:45" ht="19.5" customHeight="1" x14ac:dyDescent="0.25">
      <c r="A49" s="1242" t="str">
        <f>IF(AND(AA49=0,AC49=TRUE),"Ошибка","")</f>
        <v/>
      </c>
      <c r="B49" s="74"/>
      <c r="C49" s="1243"/>
      <c r="D49" s="1244" t="s">
        <v>541</v>
      </c>
      <c r="E49" s="1245"/>
      <c r="F49" s="1275"/>
      <c r="G49" s="1275"/>
      <c r="H49" s="1430">
        <f t="shared" si="2"/>
        <v>0</v>
      </c>
      <c r="I49" s="1275"/>
      <c r="J49" s="1275"/>
      <c r="K49" s="1275"/>
      <c r="L49" s="1656"/>
      <c r="M49" s="74"/>
      <c r="N49" s="74"/>
      <c r="O49" s="1189"/>
      <c r="P49" s="1189"/>
      <c r="Q49" s="1189">
        <f>IF(AB49=1,'Расчет после реализации'!$D$109/(IF($AB$52=1,0.9572,1))-'Расчет после реализации'!$C$109,0)</f>
        <v>0</v>
      </c>
      <c r="R49" s="1189"/>
      <c r="S49" s="1189"/>
      <c r="T49" s="1189"/>
      <c r="U49" s="1189"/>
      <c r="V49" s="1189"/>
      <c r="W49" s="1189"/>
      <c r="X49" s="1209" t="e">
        <f>Q49/'Расчет базового уровня'!$D$100</f>
        <v>#DIV/0!</v>
      </c>
      <c r="Y49" s="1210" t="e">
        <f t="shared" ref="Y49:Y50" si="3">X49</f>
        <v>#DIV/0!</v>
      </c>
      <c r="Z49" s="74">
        <f>IF(AB49-H49=1,1,0)</f>
        <v>0</v>
      </c>
      <c r="AA49" s="74">
        <f>IF(AND('Ввод исходных данных'!D148&gt;0,AC44=FALSE,D33&lt;&gt;списки!N46),1,0)</f>
        <v>0</v>
      </c>
      <c r="AB49" s="1175">
        <f>IF(AND(AA49=1,AC49=TRUE),1,0)</f>
        <v>0</v>
      </c>
      <c r="AC49" s="1176" t="b">
        <v>0</v>
      </c>
      <c r="AD49" s="1203">
        <f>IF(AND(AA49=1,A49="ОШИБКА"),1,0)</f>
        <v>0</v>
      </c>
      <c r="AF49" s="74"/>
      <c r="AG49" s="74"/>
      <c r="AH49" s="74"/>
      <c r="AI49" s="74"/>
      <c r="AJ49" s="74"/>
      <c r="AK49" s="74"/>
      <c r="AL49" s="74"/>
      <c r="AM49" s="74"/>
      <c r="AN49" s="74"/>
      <c r="AO49" s="74"/>
      <c r="AP49" s="74"/>
      <c r="AQ49" s="74"/>
      <c r="AR49" s="74"/>
      <c r="AS49" s="74"/>
    </row>
    <row r="50" spans="1:45" ht="18" customHeight="1" x14ac:dyDescent="0.25">
      <c r="A50" s="1242" t="str">
        <f>IF(AND(AA50=0,AC50=TRUE),"Ошибка","")</f>
        <v/>
      </c>
      <c r="B50" s="74"/>
      <c r="C50" s="1243"/>
      <c r="D50" s="1244" t="s">
        <v>1351</v>
      </c>
      <c r="E50" s="1245"/>
      <c r="F50" s="1275"/>
      <c r="G50" s="1275"/>
      <c r="H50" s="1430">
        <f t="shared" si="2"/>
        <v>0</v>
      </c>
      <c r="I50" s="1275"/>
      <c r="J50" s="1275"/>
      <c r="K50" s="1275"/>
      <c r="L50" s="1657"/>
      <c r="M50" s="74"/>
      <c r="N50" s="74"/>
      <c r="O50" s="1189"/>
      <c r="P50" s="1189"/>
      <c r="Q50" s="1189">
        <f>IF(AB50=1,'Расчет после реализации'!$D$110/(IF($AB$52=1,0.9572,1))-'Расчет после реализации'!$C$110,0)</f>
        <v>0</v>
      </c>
      <c r="R50" s="1189"/>
      <c r="S50" s="1189"/>
      <c r="T50" s="1189"/>
      <c r="U50" s="1189"/>
      <c r="V50" s="1189"/>
      <c r="W50" s="1189"/>
      <c r="X50" s="1209" t="e">
        <f>Q50/'Расчет базового уровня'!$D$100</f>
        <v>#DIV/0!</v>
      </c>
      <c r="Y50" s="1210" t="e">
        <f t="shared" si="3"/>
        <v>#DIV/0!</v>
      </c>
      <c r="Z50" s="74">
        <f>IF(AB50-H50=1,1,0)</f>
        <v>0</v>
      </c>
      <c r="AA50" s="74">
        <f>IF(AND('Ввод исходных данных'!D152&gt;0,AC45=FALSE),1,0)</f>
        <v>0</v>
      </c>
      <c r="AB50" s="1175">
        <f>IF(AND(AA50=1,AC50=TRUE),1,0)</f>
        <v>0</v>
      </c>
      <c r="AC50" s="1176" t="b">
        <v>0</v>
      </c>
      <c r="AD50" s="1203">
        <f>IF(AND(AA50=1,A50="ОШИБКА"),1,0)</f>
        <v>0</v>
      </c>
      <c r="AF50" s="74"/>
      <c r="AG50" s="74"/>
      <c r="AH50" s="74"/>
      <c r="AI50" s="74"/>
      <c r="AJ50" s="74"/>
      <c r="AK50" s="74"/>
      <c r="AL50" s="74"/>
      <c r="AM50" s="74"/>
      <c r="AN50" s="74"/>
      <c r="AO50" s="74"/>
      <c r="AP50" s="74"/>
      <c r="AQ50" s="74"/>
      <c r="AR50" s="74"/>
      <c r="AS50" s="74"/>
    </row>
    <row r="51" spans="1:45" x14ac:dyDescent="0.25">
      <c r="A51" s="74"/>
      <c r="B51" s="74"/>
      <c r="C51" s="74"/>
      <c r="D51" s="74"/>
      <c r="E51" s="74"/>
      <c r="F51" s="1213"/>
      <c r="G51" s="1213"/>
      <c r="H51" s="1213"/>
      <c r="I51" s="1213"/>
      <c r="J51" s="1213"/>
      <c r="K51" s="1213"/>
      <c r="L51" s="74"/>
      <c r="M51" s="74"/>
      <c r="N51" s="74"/>
      <c r="O51" s="1189"/>
      <c r="P51" s="1189"/>
      <c r="Q51" s="1189"/>
      <c r="R51" s="1189"/>
      <c r="S51" s="1189"/>
      <c r="T51" s="1189"/>
      <c r="U51" s="1189"/>
      <c r="V51" s="1189"/>
      <c r="W51" s="1189"/>
      <c r="X51" s="1189"/>
      <c r="Y51" s="1189"/>
      <c r="Z51" s="74"/>
      <c r="AA51" s="74"/>
      <c r="AB51" s="1171"/>
      <c r="AC51" s="1172"/>
      <c r="AD51" s="74"/>
      <c r="AF51" s="74"/>
      <c r="AG51" s="74"/>
      <c r="AH51" s="74"/>
      <c r="AI51" s="74"/>
      <c r="AJ51" s="74"/>
      <c r="AK51" s="74"/>
      <c r="AL51" s="74"/>
      <c r="AM51" s="74"/>
      <c r="AN51" s="74"/>
      <c r="AO51" s="74"/>
      <c r="AP51" s="74"/>
      <c r="AQ51" s="74"/>
      <c r="AR51" s="74"/>
      <c r="AS51" s="74"/>
    </row>
    <row r="52" spans="1:45" ht="30" x14ac:dyDescent="0.25">
      <c r="A52" s="1242" t="str">
        <f>IF(AND(AA52=0,AC52=TRUE),"Ошибка","")</f>
        <v/>
      </c>
      <c r="B52" s="74"/>
      <c r="C52" s="1221"/>
      <c r="D52" s="1247" t="s">
        <v>1932</v>
      </c>
      <c r="E52" s="1230" t="s">
        <v>1298</v>
      </c>
      <c r="F52" s="1275"/>
      <c r="G52" s="1275"/>
      <c r="H52" s="1430">
        <f>I52+J52+K52</f>
        <v>0</v>
      </c>
      <c r="I52" s="1275"/>
      <c r="J52" s="1275"/>
      <c r="K52" s="1275"/>
      <c r="L52" s="1231" t="s">
        <v>1491</v>
      </c>
      <c r="M52" s="74"/>
      <c r="N52" s="74"/>
      <c r="O52" s="1189"/>
      <c r="P52" s="1189"/>
      <c r="Q52" s="1189">
        <f>IF(AB52=1,(1-0.9572)*'Расчет после реализации'!C106,0)</f>
        <v>0</v>
      </c>
      <c r="R52" s="1189"/>
      <c r="S52" s="1189"/>
      <c r="T52" s="1189"/>
      <c r="U52" s="1189"/>
      <c r="V52" s="1189"/>
      <c r="W52" s="1189"/>
      <c r="X52" s="1209" t="e">
        <f>Q52/'Расчет базового уровня'!$D$100</f>
        <v>#DIV/0!</v>
      </c>
      <c r="Y52" s="1209" t="e">
        <f>(1-Y48-Y49-Y50)*X52</f>
        <v>#DIV/0!</v>
      </c>
      <c r="Z52" s="74">
        <f>IF(AB52-H52=1,1,0)</f>
        <v>0</v>
      </c>
      <c r="AA52" s="1203">
        <f>IF(AND('Ввод исходных данных'!D144+'Ввод исходных данных'!D148+'Ввод исходных данных'!D152&gt;0),1,0)</f>
        <v>0</v>
      </c>
      <c r="AB52" s="1175">
        <f>IF(AND(AA52=1,AC52=TRUE),1,0)</f>
        <v>0</v>
      </c>
      <c r="AC52" s="1176" t="b">
        <v>0</v>
      </c>
      <c r="AD52" s="1203">
        <f>IF(AND(AA52=1,A52="ОШИБКА"),1,0)</f>
        <v>0</v>
      </c>
      <c r="AE52" s="75" t="str">
        <f>IF(AB52=1,CONCATENATE(D52,CHAR(10)),"")</f>
        <v/>
      </c>
      <c r="AF52" s="74"/>
      <c r="AG52" s="74"/>
      <c r="AH52" s="74"/>
      <c r="AI52" s="74"/>
      <c r="AJ52" s="74"/>
      <c r="AK52" s="74"/>
      <c r="AL52" s="74"/>
      <c r="AM52" s="74"/>
      <c r="AN52" s="74"/>
      <c r="AO52" s="74"/>
      <c r="AP52" s="74"/>
      <c r="AQ52" s="74"/>
      <c r="AR52" s="74"/>
      <c r="AS52" s="74"/>
    </row>
    <row r="53" spans="1:45" x14ac:dyDescent="0.25">
      <c r="A53" s="74"/>
      <c r="B53" s="74"/>
      <c r="C53" s="74"/>
      <c r="D53" s="74"/>
      <c r="E53" s="74"/>
      <c r="F53" s="1213"/>
      <c r="G53" s="1213"/>
      <c r="H53" s="1213"/>
      <c r="I53" s="1213"/>
      <c r="J53" s="1213"/>
      <c r="K53" s="1213"/>
      <c r="L53" s="74"/>
      <c r="M53" s="74"/>
      <c r="N53" s="74"/>
      <c r="O53" s="1207"/>
      <c r="P53" s="1207"/>
      <c r="Q53" s="1207"/>
      <c r="R53" s="1189"/>
      <c r="S53" s="1189"/>
      <c r="T53" s="1189"/>
      <c r="U53" s="1189"/>
      <c r="V53" s="1189"/>
      <c r="W53" s="1189"/>
      <c r="X53" s="1189"/>
      <c r="Y53" s="1189"/>
      <c r="Z53" s="74"/>
      <c r="AA53" s="74"/>
      <c r="AB53" s="1171"/>
      <c r="AC53" s="1172"/>
      <c r="AD53" s="74"/>
      <c r="AF53" s="74"/>
      <c r="AG53" s="74"/>
      <c r="AH53" s="74"/>
      <c r="AI53" s="74"/>
      <c r="AJ53" s="74"/>
      <c r="AK53" s="74"/>
      <c r="AL53" s="74"/>
      <c r="AM53" s="74"/>
      <c r="AN53" s="74"/>
      <c r="AO53" s="74"/>
      <c r="AP53" s="74"/>
      <c r="AQ53" s="74"/>
      <c r="AR53" s="74"/>
      <c r="AS53" s="74"/>
    </row>
    <row r="54" spans="1:45" ht="15.75" x14ac:dyDescent="0.25">
      <c r="A54" s="1248" t="str">
        <f>IF(SUM(AD55:AD58)&gt;0,"Ошибка","")</f>
        <v/>
      </c>
      <c r="B54" s="74"/>
      <c r="C54" s="1249"/>
      <c r="D54" s="1386" t="s">
        <v>1446</v>
      </c>
      <c r="E54" s="1249"/>
      <c r="F54" s="1250"/>
      <c r="G54" s="1250"/>
      <c r="H54" s="1250"/>
      <c r="I54" s="1250"/>
      <c r="J54" s="1250"/>
      <c r="K54" s="1250"/>
      <c r="L54" s="1249"/>
      <c r="M54" s="74"/>
      <c r="N54" s="74"/>
      <c r="O54" s="1251"/>
      <c r="P54" s="1251"/>
      <c r="Q54" s="1252">
        <f>Q55+Q56+Q58</f>
        <v>0</v>
      </c>
      <c r="R54" s="1253"/>
      <c r="S54" s="1253"/>
      <c r="T54" s="1253"/>
      <c r="U54" s="1253"/>
      <c r="V54" s="1253"/>
      <c r="W54" s="1253"/>
      <c r="X54" s="1253"/>
      <c r="Y54" s="1254" t="e">
        <f>Y55+Y56+Y58</f>
        <v>#DIV/0!</v>
      </c>
      <c r="Z54" s="74"/>
      <c r="AA54" s="1249"/>
      <c r="AB54" s="1179"/>
      <c r="AC54" s="1180"/>
      <c r="AD54" s="1249"/>
      <c r="AF54" s="74"/>
      <c r="AG54" s="74"/>
      <c r="AH54" s="74"/>
      <c r="AI54" s="74"/>
      <c r="AJ54" s="74"/>
      <c r="AK54" s="74"/>
      <c r="AL54" s="74"/>
      <c r="AM54" s="74"/>
      <c r="AN54" s="74"/>
      <c r="AO54" s="74"/>
      <c r="AP54" s="74"/>
      <c r="AQ54" s="74"/>
      <c r="AR54" s="74"/>
      <c r="AS54" s="74"/>
    </row>
    <row r="55" spans="1:45" ht="47.45" customHeight="1" x14ac:dyDescent="0.25">
      <c r="A55" s="1242" t="str">
        <f>IF(AND(AA55=0,AC55=TRUE),"Ошибка","")</f>
        <v/>
      </c>
      <c r="B55" s="74"/>
      <c r="C55" s="1249"/>
      <c r="D55" s="1247" t="s">
        <v>1933</v>
      </c>
      <c r="E55" s="1619" t="s">
        <v>1856</v>
      </c>
      <c r="F55" s="1282"/>
      <c r="G55" s="1282"/>
      <c r="H55" s="1430">
        <f>I55+J55+K55</f>
        <v>0</v>
      </c>
      <c r="I55" s="1282"/>
      <c r="J55" s="1282"/>
      <c r="K55" s="1282"/>
      <c r="L55" s="1667" t="s">
        <v>1277</v>
      </c>
      <c r="M55" s="74"/>
      <c r="N55" s="74"/>
      <c r="O55" s="1207"/>
      <c r="P55" s="1207"/>
      <c r="Q55" s="1207">
        <f>IF(AB55=1,'Расчет базового уровня'!D104-'Ввод исходных данных'!D140*IF('Ввод исходных данных'!D138&gt;1,1460,'Ввод исходных данных'!D141)*0.8,0)</f>
        <v>0</v>
      </c>
      <c r="R55" s="1189"/>
      <c r="S55" s="1189"/>
      <c r="T55" s="1189"/>
      <c r="U55" s="1189"/>
      <c r="V55" s="1189"/>
      <c r="W55" s="1189"/>
      <c r="X55" s="1209" t="e">
        <f>Q55/'Расчет базового уровня'!$D$100</f>
        <v>#DIV/0!</v>
      </c>
      <c r="Y55" s="1209" t="e">
        <f>X55</f>
        <v>#DIV/0!</v>
      </c>
      <c r="Z55" s="74">
        <f>IF(AB55-H55=1,1,0)</f>
        <v>0</v>
      </c>
      <c r="AA55" s="1203">
        <f>IF(AND('Ввод исходных данных'!D138&gt;0,AC56=FALSE),1,0)</f>
        <v>0</v>
      </c>
      <c r="AB55" s="1175">
        <f>IF(AND(AA55=1,AC55=TRUE),1,0)</f>
        <v>0</v>
      </c>
      <c r="AC55" s="1176" t="b">
        <v>0</v>
      </c>
      <c r="AD55" s="1203">
        <f>IF(AND(AA55=1,A55="ОШИБКА"),1,0)</f>
        <v>0</v>
      </c>
      <c r="AE55" s="75" t="str">
        <f>IF(AB55=1,CONCATENATE(D55,CHAR(10)),"")</f>
        <v/>
      </c>
      <c r="AF55" s="74"/>
      <c r="AG55" s="74"/>
      <c r="AH55" s="74"/>
      <c r="AI55" s="74"/>
      <c r="AJ55" s="74"/>
      <c r="AK55" s="74"/>
      <c r="AL55" s="74"/>
      <c r="AM55" s="74"/>
      <c r="AN55" s="74"/>
      <c r="AO55" s="74"/>
      <c r="AP55" s="74"/>
      <c r="AQ55" s="74"/>
      <c r="AR55" s="74"/>
      <c r="AS55" s="74"/>
    </row>
    <row r="56" spans="1:45" ht="33" customHeight="1" x14ac:dyDescent="0.25">
      <c r="A56" s="1242" t="str">
        <f>IF(AND(AA56=0,AC56=TRUE),"Ошибка","")</f>
        <v/>
      </c>
      <c r="B56" s="74"/>
      <c r="C56" s="1249"/>
      <c r="D56" s="1247" t="s">
        <v>1934</v>
      </c>
      <c r="E56" s="1621"/>
      <c r="F56" s="1628"/>
      <c r="G56" s="1628"/>
      <c r="H56" s="1686">
        <f>I56+J56+K56</f>
        <v>0</v>
      </c>
      <c r="I56" s="1628"/>
      <c r="J56" s="1628"/>
      <c r="K56" s="1628"/>
      <c r="L56" s="1668"/>
      <c r="M56" s="74"/>
      <c r="N56" s="74"/>
      <c r="O56" s="1207"/>
      <c r="P56" s="1207"/>
      <c r="Q56" s="1207">
        <f>IF(AB56=1,'Расчет базового уровня'!D104-'Список мероприятий'!D57*IF('Ввод исходных данных'!D138&gt;1,1460,'Ввод исходных данных'!D141)*0.8*IF('Список мероприятий'!AB58=1,0.957,1),0)</f>
        <v>0</v>
      </c>
      <c r="R56" s="1189"/>
      <c r="S56" s="1189"/>
      <c r="T56" s="1189"/>
      <c r="U56" s="1189"/>
      <c r="V56" s="1189"/>
      <c r="W56" s="1189"/>
      <c r="X56" s="1209" t="e">
        <f>Q56/'Расчет базового уровня'!$D$100</f>
        <v>#DIV/0!</v>
      </c>
      <c r="Y56" s="1209" t="e">
        <f>X56</f>
        <v>#DIV/0!</v>
      </c>
      <c r="Z56" s="74">
        <f>IF(AB56-H56=1,1,0)</f>
        <v>0</v>
      </c>
      <c r="AA56" s="1203">
        <f>IF(AND('Ввод исходных данных'!D138&gt;0,AC55=FALSE),1,0)</f>
        <v>0</v>
      </c>
      <c r="AB56" s="1175">
        <f>IF(AND(AA56=1,AC56=TRUE),1,0)</f>
        <v>0</v>
      </c>
      <c r="AC56" s="1176" t="b">
        <v>0</v>
      </c>
      <c r="AD56" s="1203">
        <f>IF(AND(AA56=1,A56="ОШИБКА"),1,0)</f>
        <v>0</v>
      </c>
      <c r="AE56" s="75" t="str">
        <f>IF(AB56=1,CONCATENATE(D56,CHAR(10)),"")</f>
        <v/>
      </c>
      <c r="AF56" s="74"/>
      <c r="AG56" s="74"/>
      <c r="AH56" s="74"/>
      <c r="AI56" s="74"/>
      <c r="AJ56" s="74"/>
      <c r="AK56" s="74"/>
      <c r="AL56" s="74"/>
      <c r="AM56" s="74"/>
      <c r="AN56" s="74"/>
      <c r="AO56" s="74"/>
      <c r="AP56" s="74"/>
      <c r="AQ56" s="74"/>
      <c r="AR56" s="74"/>
      <c r="AS56" s="74"/>
    </row>
    <row r="57" spans="1:45" ht="56.25" customHeight="1" x14ac:dyDescent="0.25">
      <c r="A57" s="1242"/>
      <c r="B57" s="74"/>
      <c r="C57" s="1384" t="s">
        <v>1862</v>
      </c>
      <c r="D57" s="1385"/>
      <c r="E57" s="1245" t="s">
        <v>1880</v>
      </c>
      <c r="F57" s="1630"/>
      <c r="G57" s="1630"/>
      <c r="H57" s="1687"/>
      <c r="I57" s="1630"/>
      <c r="J57" s="1630"/>
      <c r="K57" s="1630"/>
      <c r="L57" s="1255"/>
      <c r="M57" s="74"/>
      <c r="N57" s="74"/>
      <c r="O57" s="1207"/>
      <c r="P57" s="1207"/>
      <c r="Q57" s="1207"/>
      <c r="R57" s="1189"/>
      <c r="S57" s="1189"/>
      <c r="T57" s="1189"/>
      <c r="U57" s="1189"/>
      <c r="V57" s="1189"/>
      <c r="W57" s="1189"/>
      <c r="X57" s="1209"/>
      <c r="Y57" s="1209"/>
      <c r="Z57" s="74"/>
      <c r="AA57" s="74"/>
      <c r="AB57" s="1171"/>
      <c r="AC57" s="1171"/>
      <c r="AD57" s="74"/>
      <c r="AF57" s="74"/>
      <c r="AG57" s="74"/>
      <c r="AH57" s="74"/>
      <c r="AI57" s="74"/>
      <c r="AJ57" s="74"/>
      <c r="AK57" s="74"/>
      <c r="AL57" s="74"/>
      <c r="AM57" s="74"/>
      <c r="AN57" s="74"/>
      <c r="AO57" s="74"/>
      <c r="AP57" s="74"/>
      <c r="AQ57" s="74"/>
      <c r="AR57" s="74"/>
      <c r="AS57" s="74"/>
    </row>
    <row r="58" spans="1:45" ht="30" x14ac:dyDescent="0.25">
      <c r="A58" s="1242" t="str">
        <f>IF(AND(AA58=0,AC58=TRUE),"Ошибка","")</f>
        <v/>
      </c>
      <c r="B58" s="74"/>
      <c r="C58" s="1249"/>
      <c r="D58" s="1247" t="s">
        <v>1935</v>
      </c>
      <c r="E58" s="1230" t="s">
        <v>1298</v>
      </c>
      <c r="F58" s="1274"/>
      <c r="G58" s="1274"/>
      <c r="H58" s="1430">
        <f>I58+J58+K58</f>
        <v>0</v>
      </c>
      <c r="I58" s="1274"/>
      <c r="J58" s="1274"/>
      <c r="K58" s="1274"/>
      <c r="L58" s="1231" t="s">
        <v>1492</v>
      </c>
      <c r="M58" s="74"/>
      <c r="N58" s="74"/>
      <c r="O58" s="1207"/>
      <c r="P58" s="1207"/>
      <c r="Q58" s="1207">
        <f>IF(AB58=1,0.042*'Расчет базового уровня'!D104,0)</f>
        <v>0</v>
      </c>
      <c r="R58" s="1189"/>
      <c r="S58" s="1189"/>
      <c r="T58" s="1189"/>
      <c r="U58" s="1189"/>
      <c r="V58" s="1189"/>
      <c r="W58" s="1189"/>
      <c r="X58" s="1209" t="e">
        <f>Q58/'Расчет базового уровня'!$D$100</f>
        <v>#DIV/0!</v>
      </c>
      <c r="Y58" s="1209" t="e">
        <f>(1-Y55-Y56)*X58</f>
        <v>#DIV/0!</v>
      </c>
      <c r="Z58" s="74">
        <f>IF(AB58-H58=1,1,0)</f>
        <v>0</v>
      </c>
      <c r="AA58" s="1203">
        <f>IF('Ввод исходных данных'!D138&gt;0,1,0)</f>
        <v>0</v>
      </c>
      <c r="AB58" s="1175">
        <f>IF(AND(AA58=1,AC58=TRUE),1,0)</f>
        <v>0</v>
      </c>
      <c r="AC58" s="1176" t="b">
        <v>0</v>
      </c>
      <c r="AD58" s="1203">
        <f>IF(AND(AA58=1,A58="ОШИБКА"),1,0)</f>
        <v>0</v>
      </c>
      <c r="AE58" s="75" t="str">
        <f>IF(AB58=1,CONCATENATE(D58,CHAR(10)),"")</f>
        <v/>
      </c>
      <c r="AF58" s="74"/>
      <c r="AG58" s="74"/>
      <c r="AH58" s="74"/>
      <c r="AI58" s="74"/>
      <c r="AJ58" s="74"/>
      <c r="AK58" s="74"/>
      <c r="AL58" s="74"/>
      <c r="AM58" s="74"/>
      <c r="AN58" s="74"/>
      <c r="AO58" s="74"/>
      <c r="AP58" s="74"/>
      <c r="AQ58" s="74"/>
      <c r="AR58" s="74"/>
      <c r="AS58" s="74"/>
    </row>
    <row r="59" spans="1:45" x14ac:dyDescent="0.25">
      <c r="A59" s="74"/>
      <c r="B59" s="74"/>
      <c r="C59" s="74"/>
      <c r="D59" s="74"/>
      <c r="E59" s="74"/>
      <c r="F59" s="1213"/>
      <c r="G59" s="1213"/>
      <c r="H59" s="1213"/>
      <c r="I59" s="1213"/>
      <c r="J59" s="1213"/>
      <c r="K59" s="1213"/>
      <c r="L59" s="74"/>
      <c r="M59" s="74"/>
      <c r="N59" s="74"/>
      <c r="O59" s="1207"/>
      <c r="P59" s="1207"/>
      <c r="Q59" s="1207"/>
      <c r="R59" s="1189"/>
      <c r="S59" s="1189"/>
      <c r="T59" s="1189"/>
      <c r="U59" s="1189"/>
      <c r="V59" s="1189"/>
      <c r="W59" s="1189"/>
      <c r="X59" s="1189"/>
      <c r="Y59" s="1189"/>
      <c r="Z59" s="74"/>
      <c r="AA59" s="74"/>
      <c r="AB59" s="1171"/>
      <c r="AC59" s="1172"/>
      <c r="AD59" s="74"/>
      <c r="AF59" s="74"/>
      <c r="AG59" s="74"/>
      <c r="AH59" s="74"/>
      <c r="AI59" s="74"/>
      <c r="AJ59" s="74"/>
      <c r="AK59" s="74"/>
      <c r="AL59" s="74"/>
      <c r="AM59" s="74"/>
      <c r="AN59" s="74"/>
      <c r="AO59" s="74"/>
      <c r="AP59" s="74"/>
      <c r="AQ59" s="74"/>
      <c r="AR59" s="74"/>
      <c r="AS59" s="74"/>
    </row>
    <row r="60" spans="1:45" ht="15.75" x14ac:dyDescent="0.25">
      <c r="A60" s="1190" t="str">
        <f>IF(SUM(AD62:AD70)&gt;0,"Ошибка","")</f>
        <v/>
      </c>
      <c r="B60" s="74"/>
      <c r="C60" s="1191"/>
      <c r="D60" s="1192" t="s">
        <v>1444</v>
      </c>
      <c r="E60" s="1182"/>
      <c r="F60" s="1193"/>
      <c r="G60" s="1193"/>
      <c r="H60" s="1193"/>
      <c r="I60" s="1193"/>
      <c r="J60" s="1193"/>
      <c r="K60" s="1193"/>
      <c r="L60" s="1182"/>
      <c r="M60" s="74"/>
      <c r="N60" s="74"/>
      <c r="O60" s="1198">
        <f>O62+O67</f>
        <v>0</v>
      </c>
      <c r="P60" s="1198"/>
      <c r="Q60" s="1198"/>
      <c r="R60" s="1199" t="e">
        <f>O60/'Расчет базового уровня'!$D$35/0.86*1000</f>
        <v>#DIV/0!</v>
      </c>
      <c r="S60" s="1200" t="e">
        <f>R60</f>
        <v>#DIV/0!</v>
      </c>
      <c r="T60" s="1201"/>
      <c r="U60" s="1201"/>
      <c r="V60" s="1199" t="e">
        <f>(O60+P60)/'Расчет базового уровня'!$D$9/0.86*1000</f>
        <v>#DIV/0!</v>
      </c>
      <c r="W60" s="1202" t="e">
        <f>(S60*'Расчет базового уровня'!$D$35+'Список мероприятий'!U60*'Расчет базового уровня'!$D$15)/'Расчет базового уровня'!$D$9</f>
        <v>#DIV/0!</v>
      </c>
      <c r="X60" s="1201"/>
      <c r="Y60" s="1201"/>
      <c r="Z60" s="74"/>
      <c r="AA60" s="74"/>
      <c r="AB60" s="1171"/>
      <c r="AC60" s="1172"/>
      <c r="AF60" s="74"/>
      <c r="AG60" s="74"/>
      <c r="AH60" s="74"/>
      <c r="AI60" s="74"/>
      <c r="AJ60" s="74"/>
      <c r="AK60" s="74"/>
      <c r="AL60" s="74"/>
      <c r="AM60" s="74"/>
      <c r="AN60" s="74"/>
      <c r="AO60" s="74"/>
      <c r="AP60" s="74"/>
      <c r="AQ60" s="74"/>
      <c r="AR60" s="74"/>
      <c r="AS60" s="74"/>
    </row>
    <row r="61" spans="1:45" ht="17.25" customHeight="1" x14ac:dyDescent="0.25">
      <c r="A61" s="1204" t="str">
        <f>IF(AND(AA61=0,AB61=1),"Ошибка","")</f>
        <v/>
      </c>
      <c r="B61" s="74"/>
      <c r="C61" s="1205"/>
      <c r="D61" s="1214" t="s">
        <v>1293</v>
      </c>
      <c r="E61" s="1619" t="s">
        <v>1857</v>
      </c>
      <c r="F61" s="1380" t="s">
        <v>1845</v>
      </c>
      <c r="G61" s="1380" t="s">
        <v>1310</v>
      </c>
      <c r="H61" s="1380" t="s">
        <v>1309</v>
      </c>
      <c r="I61" s="1380" t="s">
        <v>1309</v>
      </c>
      <c r="J61" s="1380" t="s">
        <v>1309</v>
      </c>
      <c r="K61" s="1380" t="s">
        <v>1309</v>
      </c>
      <c r="L61" s="1667" t="s">
        <v>1426</v>
      </c>
      <c r="M61" s="74"/>
      <c r="N61" s="74"/>
      <c r="O61" s="1207"/>
      <c r="P61" s="1207"/>
      <c r="Q61" s="1207"/>
      <c r="R61" s="1189"/>
      <c r="S61" s="1189"/>
      <c r="T61" s="1189"/>
      <c r="U61" s="1189"/>
      <c r="V61" s="1189"/>
      <c r="W61" s="1189"/>
      <c r="X61" s="1189"/>
      <c r="Y61" s="1189"/>
      <c r="Z61" s="74"/>
      <c r="AA61" s="74"/>
      <c r="AB61" s="1171"/>
      <c r="AC61" s="1171"/>
      <c r="AD61" s="74"/>
      <c r="AF61" s="74"/>
      <c r="AG61" s="74"/>
      <c r="AH61" s="74"/>
      <c r="AI61" s="74"/>
      <c r="AJ61" s="74"/>
      <c r="AK61" s="74"/>
      <c r="AL61" s="74"/>
      <c r="AM61" s="74"/>
      <c r="AN61" s="74"/>
      <c r="AO61" s="74"/>
      <c r="AP61" s="74"/>
      <c r="AQ61" s="74"/>
      <c r="AR61" s="74"/>
      <c r="AS61" s="74"/>
    </row>
    <row r="62" spans="1:45" x14ac:dyDescent="0.25">
      <c r="A62" s="1204" t="str">
        <f>IF(AND(AA62=0,AC62=TRUE),"Ошибка","")</f>
        <v/>
      </c>
      <c r="B62" s="74"/>
      <c r="C62" s="1205"/>
      <c r="D62" s="1208" t="s">
        <v>1936</v>
      </c>
      <c r="E62" s="1620"/>
      <c r="F62" s="1639">
        <f>'Расчет базового уровня'!B141</f>
        <v>0</v>
      </c>
      <c r="G62" s="1639"/>
      <c r="H62" s="1631">
        <f>I62+J62+K62</f>
        <v>0</v>
      </c>
      <c r="I62" s="1632"/>
      <c r="J62" s="1632">
        <f>IF(AB62=1,G62*F62,0)</f>
        <v>0</v>
      </c>
      <c r="K62" s="1632"/>
      <c r="L62" s="1669"/>
      <c r="M62" s="74"/>
      <c r="N62" s="74"/>
      <c r="O62" s="1207">
        <f>IF(AB62=1,0.024*'Расчет после реализации'!$D$147*'Расчет после реализации'!B141*(1/'Расчет базового уровня'!C141-1/'Расчет после реализации'!C141),0)/1163</f>
        <v>0</v>
      </c>
      <c r="P62" s="1207"/>
      <c r="Q62" s="1207"/>
      <c r="R62" s="1209" t="e">
        <f>O62/'Расчет базового уровня'!$D$35/0.86*1000</f>
        <v>#DIV/0!</v>
      </c>
      <c r="S62" s="1210" t="e">
        <f>R62</f>
        <v>#DIV/0!</v>
      </c>
      <c r="T62" s="1189"/>
      <c r="U62" s="1189"/>
      <c r="V62" s="1209" t="e">
        <f>(O62+P62)/'Расчет базового уровня'!$D$9/0.86*1000</f>
        <v>#DIV/0!</v>
      </c>
      <c r="W62" s="1211" t="e">
        <f>(S62*'Расчет базового уровня'!$D$35+'Список мероприятий'!U62*'Расчет базового уровня'!$D$15)/'Расчет базового уровня'!$D$9</f>
        <v>#DIV/0!</v>
      </c>
      <c r="X62" s="1211"/>
      <c r="Y62" s="1211"/>
      <c r="Z62" s="74">
        <f>IF(AB62-H62=1,1,0)</f>
        <v>0</v>
      </c>
      <c r="AA62" s="1203">
        <f>IF(OR(AND('Ввод исходных данных'!$D$12&lt;2000,списки!$D$33=0),AND('Ввод исходных данных'!$D$12&lt;2000,списки!$D$33=1,списки!$D$34=1)),1,0)</f>
        <v>1</v>
      </c>
      <c r="AB62" s="1175">
        <f>IF(AND(AA62=1,AC62=TRUE,AB63=1,AB64=1),1,0)</f>
        <v>0</v>
      </c>
      <c r="AC62" s="1176" t="b">
        <v>0</v>
      </c>
      <c r="AD62" s="1203">
        <f>IF(AND(AA62=1,A62="ОШИБКА"),1,0)</f>
        <v>0</v>
      </c>
      <c r="AE62" s="75" t="str">
        <f>IF(AB62=1,CONCATENATE(D61," - ",D63," - ",D64,"см",CHAR(10)),"")</f>
        <v/>
      </c>
      <c r="AF62" s="74"/>
      <c r="AG62" s="74"/>
      <c r="AH62" s="74"/>
      <c r="AI62" s="74"/>
      <c r="AJ62" s="74"/>
      <c r="AK62" s="74"/>
      <c r="AL62" s="74"/>
      <c r="AM62" s="74"/>
      <c r="AN62" s="74"/>
      <c r="AO62" s="74"/>
      <c r="AP62" s="74"/>
      <c r="AQ62" s="74"/>
      <c r="AR62" s="74"/>
      <c r="AS62" s="74"/>
    </row>
    <row r="63" spans="1:45" x14ac:dyDescent="0.25">
      <c r="A63" s="1204" t="str">
        <f>IF(OR(AND(AA63=0,AB63=1),AND(AA63=1,AB63=0)),"Ошибка","")</f>
        <v/>
      </c>
      <c r="B63" s="74"/>
      <c r="C63" s="1205"/>
      <c r="D63" s="1279" t="s">
        <v>1269</v>
      </c>
      <c r="E63" s="1620"/>
      <c r="F63" s="1632"/>
      <c r="G63" s="1632"/>
      <c r="H63" s="1631"/>
      <c r="I63" s="1632"/>
      <c r="J63" s="1632"/>
      <c r="K63" s="1632"/>
      <c r="L63" s="1669"/>
      <c r="M63" s="74"/>
      <c r="N63" s="74"/>
      <c r="O63" s="1207"/>
      <c r="P63" s="1207"/>
      <c r="Q63" s="1207"/>
      <c r="R63" s="1189"/>
      <c r="S63" s="1189"/>
      <c r="T63" s="1189"/>
      <c r="U63" s="1189"/>
      <c r="V63" s="1189"/>
      <c r="W63" s="1189"/>
      <c r="X63" s="1189"/>
      <c r="Y63" s="1189"/>
      <c r="Z63" s="74"/>
      <c r="AA63" s="1203">
        <f>IF(OR(AND('Ввод исходных данных'!$D$12&lt;2000,списки!$D$33=0,$AC$62=TRUE),AND('Ввод исходных данных'!$D$12&lt;2000,списки!$D$33=1,списки!$D$34=1,$AC$62=TRUE)),1,0)</f>
        <v>0</v>
      </c>
      <c r="AB63" s="1175">
        <f>IF(D63="Пожалуйста, выберите технологию",0,1)</f>
        <v>0</v>
      </c>
      <c r="AC63" s="1176"/>
      <c r="AD63" s="1203">
        <f>IF(AND(AA63=1,A63="ОШИБКА"),1,0)</f>
        <v>0</v>
      </c>
      <c r="AF63" s="74"/>
      <c r="AG63" s="74"/>
      <c r="AH63" s="74"/>
      <c r="AI63" s="74"/>
      <c r="AJ63" s="74"/>
      <c r="AK63" s="74"/>
      <c r="AL63" s="74"/>
      <c r="AM63" s="74"/>
      <c r="AN63" s="74"/>
      <c r="AO63" s="74"/>
      <c r="AP63" s="74"/>
      <c r="AQ63" s="74"/>
      <c r="AR63" s="74"/>
      <c r="AS63" s="74"/>
    </row>
    <row r="64" spans="1:45" x14ac:dyDescent="0.25">
      <c r="A64" s="1204" t="str">
        <f>IF(OR(AND(AA64=0,AB64=1),AND(AA64=1,AB64=0)),"Ошибка","")</f>
        <v/>
      </c>
      <c r="B64" s="74"/>
      <c r="C64" s="1205"/>
      <c r="D64" s="1279" t="s">
        <v>1268</v>
      </c>
      <c r="E64" s="1621"/>
      <c r="F64" s="1632"/>
      <c r="G64" s="1632"/>
      <c r="H64" s="1631"/>
      <c r="I64" s="1632"/>
      <c r="J64" s="1632"/>
      <c r="K64" s="1632"/>
      <c r="L64" s="1661"/>
      <c r="M64" s="74"/>
      <c r="N64" s="74"/>
      <c r="O64" s="1207"/>
      <c r="P64" s="1207"/>
      <c r="Q64" s="1207"/>
      <c r="R64" s="1189"/>
      <c r="S64" s="1189"/>
      <c r="T64" s="1189"/>
      <c r="U64" s="1189"/>
      <c r="V64" s="1189"/>
      <c r="W64" s="1189"/>
      <c r="X64" s="1189"/>
      <c r="Y64" s="1189"/>
      <c r="Z64" s="74"/>
      <c r="AA64" s="1203">
        <f>IF(OR(AND('Ввод исходных данных'!$D$12&lt;2000,списки!$D$33=0,$AC$62=TRUE),AND('Ввод исходных данных'!$D$12&lt;2000,списки!$D$33=1,списки!$D$34=1,$AC$62=TRUE)),1,0)</f>
        <v>0</v>
      </c>
      <c r="AB64" s="1175">
        <f>IF(D64&lt;&gt;списки!$O$16,1,0)</f>
        <v>0</v>
      </c>
      <c r="AC64" s="1176"/>
      <c r="AD64" s="1203">
        <f>IF(AND(AA64=1,A64="ОШИБКА"),1,0)</f>
        <v>0</v>
      </c>
      <c r="AF64" s="74"/>
      <c r="AG64" s="74"/>
      <c r="AH64" s="74"/>
      <c r="AI64" s="74"/>
      <c r="AJ64" s="74"/>
      <c r="AK64" s="74"/>
      <c r="AL64" s="74"/>
      <c r="AM64" s="74"/>
      <c r="AN64" s="74"/>
      <c r="AO64" s="74"/>
      <c r="AP64" s="74"/>
      <c r="AQ64" s="74"/>
      <c r="AR64" s="74"/>
      <c r="AS64" s="74"/>
    </row>
    <row r="65" spans="1:45" x14ac:dyDescent="0.25">
      <c r="A65" s="74"/>
      <c r="B65" s="74"/>
      <c r="C65" s="74"/>
      <c r="D65" s="74"/>
      <c r="E65" s="74"/>
      <c r="F65" s="1213"/>
      <c r="G65" s="1213"/>
      <c r="H65" s="1213"/>
      <c r="I65" s="1213"/>
      <c r="J65" s="1213"/>
      <c r="K65" s="1213"/>
      <c r="L65" s="74"/>
      <c r="M65" s="74"/>
      <c r="N65" s="74"/>
      <c r="O65" s="1207"/>
      <c r="P65" s="1207"/>
      <c r="Q65" s="1207"/>
      <c r="R65" s="1189"/>
      <c r="S65" s="1189"/>
      <c r="T65" s="1189"/>
      <c r="U65" s="1189"/>
      <c r="V65" s="1189"/>
      <c r="W65" s="1189"/>
      <c r="X65" s="1189"/>
      <c r="Y65" s="1189"/>
      <c r="Z65" s="74"/>
      <c r="AA65" s="74"/>
      <c r="AB65" s="1171"/>
      <c r="AC65" s="1172"/>
      <c r="AD65" s="74"/>
      <c r="AF65" s="74"/>
      <c r="AG65" s="74"/>
      <c r="AH65" s="74"/>
      <c r="AI65" s="74"/>
      <c r="AJ65" s="74"/>
      <c r="AK65" s="74"/>
      <c r="AL65" s="74"/>
      <c r="AM65" s="74"/>
      <c r="AN65" s="74"/>
      <c r="AO65" s="74"/>
      <c r="AP65" s="74"/>
      <c r="AQ65" s="74"/>
      <c r="AR65" s="74"/>
      <c r="AS65" s="74"/>
    </row>
    <row r="66" spans="1:45" ht="15" customHeight="1" x14ac:dyDescent="0.25">
      <c r="A66" s="1204" t="str">
        <f>IF(AND(AA66=0,AB66=1),"Ошибка","")</f>
        <v/>
      </c>
      <c r="B66" s="74"/>
      <c r="C66" s="1205"/>
      <c r="D66" s="1206" t="s">
        <v>1294</v>
      </c>
      <c r="E66" s="1619" t="s">
        <v>1272</v>
      </c>
      <c r="F66" s="1380" t="s">
        <v>1845</v>
      </c>
      <c r="G66" s="1380" t="s">
        <v>1310</v>
      </c>
      <c r="H66" s="1380" t="s">
        <v>1309</v>
      </c>
      <c r="I66" s="1380" t="s">
        <v>1309</v>
      </c>
      <c r="J66" s="1380" t="s">
        <v>1309</v>
      </c>
      <c r="K66" s="1380" t="s">
        <v>1309</v>
      </c>
      <c r="L66" s="1667" t="s">
        <v>1427</v>
      </c>
      <c r="M66" s="74"/>
      <c r="N66" s="74"/>
      <c r="O66" s="1207"/>
      <c r="P66" s="1207"/>
      <c r="Q66" s="1207"/>
      <c r="R66" s="1189"/>
      <c r="S66" s="1189"/>
      <c r="T66" s="1189"/>
      <c r="U66" s="1189"/>
      <c r="V66" s="1189"/>
      <c r="W66" s="1189"/>
      <c r="X66" s="1189"/>
      <c r="Y66" s="1189"/>
      <c r="Z66" s="74"/>
      <c r="AA66" s="74"/>
      <c r="AB66" s="1171"/>
      <c r="AC66" s="1171"/>
      <c r="AD66" s="74"/>
      <c r="AF66" s="74"/>
      <c r="AG66" s="74"/>
      <c r="AH66" s="74"/>
      <c r="AI66" s="74"/>
      <c r="AJ66" s="74"/>
      <c r="AK66" s="74"/>
      <c r="AL66" s="74"/>
      <c r="AM66" s="74"/>
      <c r="AN66" s="74"/>
      <c r="AO66" s="74"/>
      <c r="AP66" s="74"/>
      <c r="AQ66" s="74"/>
      <c r="AR66" s="74"/>
      <c r="AS66" s="74"/>
    </row>
    <row r="67" spans="1:45" x14ac:dyDescent="0.25">
      <c r="A67" s="1204" t="str">
        <f>IF(AND(AA67=0,AC67=TRUE),"Ошибка","")</f>
        <v/>
      </c>
      <c r="B67" s="74"/>
      <c r="C67" s="1205"/>
      <c r="D67" s="1216" t="str">
        <f>IF(AA67=1,"Повышение теплозащиты перекрытия над подвалом","неприменимо для данного МКД")</f>
        <v>неприменимо для данного МКД</v>
      </c>
      <c r="E67" s="1620"/>
      <c r="F67" s="1639">
        <f>'Расчет базового уровня'!B142</f>
        <v>0</v>
      </c>
      <c r="G67" s="1639"/>
      <c r="H67" s="1631">
        <f>I67+J67+K67</f>
        <v>0</v>
      </c>
      <c r="I67" s="1632"/>
      <c r="J67" s="1632">
        <f>IF(AB67=1,G67*F67,0)</f>
        <v>0</v>
      </c>
      <c r="K67" s="1632"/>
      <c r="L67" s="1669"/>
      <c r="M67" s="74"/>
      <c r="N67" s="74"/>
      <c r="O67" s="1207">
        <f>IF(AB67=1,0.024*'Расчет после реализации'!$D$147*'Расчет после реализации'!B142*'Расчет базового уровня'!D142*(1/'Расчет базового уровня'!C142-1/'Расчет после реализации'!C142),0)/1163</f>
        <v>0</v>
      </c>
      <c r="P67" s="1207"/>
      <c r="Q67" s="1207"/>
      <c r="R67" s="1209" t="e">
        <f>O67/'Расчет базового уровня'!$D$35/0.86*1000</f>
        <v>#DIV/0!</v>
      </c>
      <c r="S67" s="1210" t="e">
        <f>R67</f>
        <v>#DIV/0!</v>
      </c>
      <c r="T67" s="1189"/>
      <c r="U67" s="1189"/>
      <c r="V67" s="1209" t="e">
        <f>(O67+P67)/'Расчет базового уровня'!$D$9/0.86*1000</f>
        <v>#DIV/0!</v>
      </c>
      <c r="W67" s="1211" t="e">
        <f>(S67*'Расчет базового уровня'!$D$35+'Список мероприятий'!U67*'Расчет базового уровня'!$D$15)/'Расчет базового уровня'!$D$9</f>
        <v>#DIV/0!</v>
      </c>
      <c r="X67" s="1211"/>
      <c r="Y67" s="1211"/>
      <c r="Z67" s="74">
        <f>IF(AB67-H67=1,1,0)</f>
        <v>0</v>
      </c>
      <c r="AA67" s="1203">
        <f>IF(AND('Ввод исходных данных'!$D$12&lt;2000,списки!$D$33=1,списки!$D$34=0,списки!$D$37=0),1,0)</f>
        <v>0</v>
      </c>
      <c r="AB67" s="1175">
        <f>IF(AND(AB68=1,AB69=1,AA67=1,AC67=TRUE),1,0)</f>
        <v>0</v>
      </c>
      <c r="AC67" s="1181" t="b">
        <v>0</v>
      </c>
      <c r="AD67" s="1203">
        <f>IF(AND(AA67=1,A67="ОШИБКА"),1,0)</f>
        <v>0</v>
      </c>
      <c r="AE67" s="75" t="str">
        <f>IF(AB67=1,CONCATENATE(D66," - ",D68," - ",D69,"см",CHAR(10)),"")</f>
        <v/>
      </c>
      <c r="AF67" s="74"/>
      <c r="AG67" s="74"/>
      <c r="AH67" s="74"/>
      <c r="AI67" s="74"/>
      <c r="AJ67" s="74"/>
      <c r="AK67" s="74"/>
      <c r="AL67" s="74"/>
      <c r="AM67" s="74"/>
      <c r="AN67" s="74"/>
      <c r="AO67" s="74"/>
      <c r="AP67" s="74"/>
      <c r="AQ67" s="74"/>
      <c r="AR67" s="74"/>
      <c r="AS67" s="74"/>
    </row>
    <row r="68" spans="1:45" x14ac:dyDescent="0.25">
      <c r="A68" s="1204" t="str">
        <f>IF(OR(AND(AA68=0,AB68=1),AND(AA68=1,AB68=0)),"Ошибка","")</f>
        <v/>
      </c>
      <c r="B68" s="74"/>
      <c r="C68" s="1205"/>
      <c r="D68" s="1280" t="s">
        <v>1269</v>
      </c>
      <c r="E68" s="1620"/>
      <c r="F68" s="1632"/>
      <c r="G68" s="1632"/>
      <c r="H68" s="1631"/>
      <c r="I68" s="1632"/>
      <c r="J68" s="1632"/>
      <c r="K68" s="1632"/>
      <c r="L68" s="1669"/>
      <c r="M68" s="74"/>
      <c r="N68" s="74"/>
      <c r="O68" s="1207"/>
      <c r="P68" s="1207"/>
      <c r="Q68" s="1207"/>
      <c r="R68" s="1189"/>
      <c r="S68" s="1189"/>
      <c r="T68" s="1189"/>
      <c r="U68" s="1189"/>
      <c r="V68" s="1189"/>
      <c r="W68" s="1189"/>
      <c r="X68" s="1189"/>
      <c r="Y68" s="1189"/>
      <c r="Z68" s="74"/>
      <c r="AA68" s="1203">
        <f>IF(AND('Ввод исходных данных'!$D$12&lt;2000,списки!$D$33=1,списки!$D$34=0,AC67=TRUE),1,0)</f>
        <v>0</v>
      </c>
      <c r="AB68" s="1175">
        <f>IF(D68="Пожалуйста, выберите технологию",0,1)</f>
        <v>0</v>
      </c>
      <c r="AC68" s="1176"/>
      <c r="AD68" s="1203">
        <f>IF(AND(AA68=1,A68="ОШИБКА"),1,0)</f>
        <v>0</v>
      </c>
      <c r="AF68" s="74"/>
      <c r="AG68" s="74"/>
      <c r="AH68" s="74"/>
      <c r="AI68" s="74"/>
      <c r="AJ68" s="74"/>
      <c r="AK68" s="74"/>
      <c r="AL68" s="74"/>
      <c r="AM68" s="74"/>
      <c r="AN68" s="74"/>
      <c r="AO68" s="74"/>
      <c r="AP68" s="74"/>
      <c r="AQ68" s="74"/>
      <c r="AR68" s="74"/>
      <c r="AS68" s="74"/>
    </row>
    <row r="69" spans="1:45" x14ac:dyDescent="0.25">
      <c r="A69" s="1204" t="str">
        <f>IF(OR(AND(AA69=0,AB69=1),AND(AA69=1,AB69=0)),"Ошибка","")</f>
        <v/>
      </c>
      <c r="B69" s="74"/>
      <c r="C69" s="1205"/>
      <c r="D69" s="1279" t="s">
        <v>1268</v>
      </c>
      <c r="E69" s="1621"/>
      <c r="F69" s="1632"/>
      <c r="G69" s="1632"/>
      <c r="H69" s="1631"/>
      <c r="I69" s="1632"/>
      <c r="J69" s="1632"/>
      <c r="K69" s="1632"/>
      <c r="L69" s="1661"/>
      <c r="M69" s="74"/>
      <c r="N69" s="74"/>
      <c r="O69" s="1207"/>
      <c r="P69" s="1207"/>
      <c r="Q69" s="1207"/>
      <c r="R69" s="1189"/>
      <c r="S69" s="1189"/>
      <c r="T69" s="1189"/>
      <c r="U69" s="1189"/>
      <c r="V69" s="1189"/>
      <c r="W69" s="1189"/>
      <c r="X69" s="1189"/>
      <c r="Y69" s="1189"/>
      <c r="Z69" s="74"/>
      <c r="AA69" s="1203">
        <f>IF(AND('Ввод исходных данных'!$D$12&lt;2000,списки!$D$33=1,списки!$D$34=0,AC67=TRUE),1,0)</f>
        <v>0</v>
      </c>
      <c r="AB69" s="1175">
        <f>IF(D69&lt;&gt;списки!$O$16,1,0)</f>
        <v>0</v>
      </c>
      <c r="AC69" s="1176"/>
      <c r="AD69" s="1203">
        <f>IF(AND(AA69=1,A69="ОШИБКА"),1,0)</f>
        <v>0</v>
      </c>
      <c r="AF69" s="74"/>
      <c r="AG69" s="74"/>
      <c r="AH69" s="74"/>
      <c r="AI69" s="74"/>
      <c r="AJ69" s="74"/>
      <c r="AK69" s="74"/>
      <c r="AL69" s="74"/>
      <c r="AM69" s="74"/>
      <c r="AN69" s="74"/>
      <c r="AO69" s="74"/>
      <c r="AP69" s="74"/>
      <c r="AQ69" s="74"/>
      <c r="AR69" s="74"/>
      <c r="AS69" s="74"/>
    </row>
    <row r="70" spans="1:45" x14ac:dyDescent="0.25">
      <c r="A70" s="74"/>
      <c r="B70" s="74"/>
      <c r="C70" s="74"/>
      <c r="D70" s="74"/>
      <c r="E70" s="74"/>
      <c r="F70" s="1213"/>
      <c r="G70" s="1213"/>
      <c r="H70" s="1213"/>
      <c r="I70" s="1213"/>
      <c r="J70" s="1213"/>
      <c r="K70" s="1213"/>
      <c r="L70" s="74"/>
      <c r="M70" s="74"/>
      <c r="N70" s="74"/>
      <c r="O70" s="1207"/>
      <c r="P70" s="1207"/>
      <c r="Q70" s="1207"/>
      <c r="R70" s="1189"/>
      <c r="S70" s="1189"/>
      <c r="T70" s="1189"/>
      <c r="U70" s="1189"/>
      <c r="V70" s="1189"/>
      <c r="W70" s="1189"/>
      <c r="X70" s="1189"/>
      <c r="Y70" s="1189"/>
      <c r="Z70" s="74"/>
      <c r="AA70" s="74"/>
      <c r="AB70" s="1171"/>
      <c r="AC70" s="1172"/>
      <c r="AD70" s="74"/>
      <c r="AF70" s="74"/>
      <c r="AG70" s="74"/>
      <c r="AH70" s="74"/>
      <c r="AI70" s="74"/>
      <c r="AJ70" s="74"/>
      <c r="AK70" s="74"/>
      <c r="AL70" s="74"/>
      <c r="AM70" s="74"/>
      <c r="AN70" s="74"/>
      <c r="AO70" s="74"/>
      <c r="AP70" s="74"/>
      <c r="AQ70" s="74"/>
      <c r="AR70" s="74"/>
      <c r="AS70" s="74"/>
    </row>
    <row r="71" spans="1:45" ht="15.75" x14ac:dyDescent="0.25">
      <c r="A71" s="1248" t="str">
        <f>IF(SUM(AD73:AD73)&gt;0,"Ошибка","")</f>
        <v/>
      </c>
      <c r="B71" s="74"/>
      <c r="C71" s="1249"/>
      <c r="D71" s="1386" t="s">
        <v>1447</v>
      </c>
      <c r="E71" s="1249"/>
      <c r="F71" s="1250"/>
      <c r="G71" s="1250"/>
      <c r="H71" s="1250"/>
      <c r="I71" s="1250"/>
      <c r="J71" s="1250"/>
      <c r="K71" s="1250"/>
      <c r="L71" s="1249"/>
      <c r="M71" s="74"/>
      <c r="N71" s="74"/>
      <c r="O71" s="1251">
        <f>O73</f>
        <v>0</v>
      </c>
      <c r="P71" s="1251"/>
      <c r="Q71" s="1251"/>
      <c r="R71" s="1254" t="e">
        <f>O71/'Расчет базового уровня'!$D$35/0.86*1000</f>
        <v>#DIV/0!</v>
      </c>
      <c r="S71" s="1256" t="e">
        <f>R71</f>
        <v>#DIV/0!</v>
      </c>
      <c r="T71" s="1253"/>
      <c r="U71" s="1253"/>
      <c r="V71" s="1254" t="e">
        <f>(O71+P71)/'Расчет базового уровня'!$D$9/0.86*1000</f>
        <v>#DIV/0!</v>
      </c>
      <c r="W71" s="1254" t="e">
        <f>(S71*'Расчет базового уровня'!$D$35+'Список мероприятий'!U71*'Расчет базового уровня'!$D$15)/'Расчет базового уровня'!$D$9</f>
        <v>#DIV/0!</v>
      </c>
      <c r="X71" s="1253"/>
      <c r="Y71" s="1256" t="e">
        <f>Y74+Y76</f>
        <v>#DIV/0!</v>
      </c>
      <c r="Z71" s="74"/>
      <c r="AA71" s="1249"/>
      <c r="AB71" s="1179"/>
      <c r="AC71" s="1180"/>
      <c r="AD71" s="1249"/>
      <c r="AF71" s="74"/>
      <c r="AG71" s="74"/>
      <c r="AH71" s="74"/>
      <c r="AI71" s="74"/>
      <c r="AJ71" s="74"/>
      <c r="AK71" s="74"/>
      <c r="AL71" s="74"/>
      <c r="AM71" s="74"/>
      <c r="AN71" s="74"/>
      <c r="AO71" s="74"/>
      <c r="AP71" s="74"/>
      <c r="AQ71" s="74"/>
      <c r="AR71" s="74"/>
      <c r="AS71" s="74"/>
    </row>
    <row r="72" spans="1:45" x14ac:dyDescent="0.25">
      <c r="A72" s="74"/>
      <c r="B72" s="74"/>
      <c r="C72" s="74"/>
      <c r="D72" s="74"/>
      <c r="E72" s="74"/>
      <c r="F72" s="1387" t="s">
        <v>858</v>
      </c>
      <c r="G72" s="1387" t="s">
        <v>1310</v>
      </c>
      <c r="H72" s="1387" t="s">
        <v>1309</v>
      </c>
      <c r="I72" s="1387"/>
      <c r="J72" s="1387"/>
      <c r="K72" s="1387"/>
      <c r="L72" s="74"/>
      <c r="M72" s="74"/>
      <c r="N72" s="74"/>
      <c r="O72" s="1207"/>
      <c r="P72" s="1207"/>
      <c r="Q72" s="1207"/>
      <c r="R72" s="1189"/>
      <c r="S72" s="1189"/>
      <c r="T72" s="1189"/>
      <c r="U72" s="1189"/>
      <c r="V72" s="1189"/>
      <c r="W72" s="1189"/>
      <c r="X72" s="1189"/>
      <c r="Y72" s="1189"/>
      <c r="Z72" s="74"/>
      <c r="AA72" s="74"/>
      <c r="AB72" s="1171"/>
      <c r="AC72" s="1172"/>
      <c r="AD72" s="74"/>
      <c r="AF72" s="74"/>
      <c r="AG72" s="74"/>
      <c r="AH72" s="74"/>
      <c r="AI72" s="74"/>
      <c r="AJ72" s="74"/>
      <c r="AK72" s="74"/>
      <c r="AL72" s="74"/>
      <c r="AM72" s="74"/>
      <c r="AN72" s="74"/>
      <c r="AO72" s="74"/>
      <c r="AP72" s="74"/>
      <c r="AQ72" s="74"/>
      <c r="AR72" s="74"/>
      <c r="AS72" s="74"/>
    </row>
    <row r="73" spans="1:45" ht="79.5" customHeight="1" x14ac:dyDescent="0.25">
      <c r="A73" s="1204" t="str">
        <f>IF(AND(AA73=0,AC73=TRUE),"Ошибка","")</f>
        <v/>
      </c>
      <c r="B73" s="74"/>
      <c r="C73" s="1003"/>
      <c r="D73" s="1214" t="s">
        <v>1937</v>
      </c>
      <c r="E73" s="1218" t="s">
        <v>1858</v>
      </c>
      <c r="F73" s="1275">
        <f>'Ввод исходных данных'!G65</f>
        <v>0</v>
      </c>
      <c r="G73" s="1275"/>
      <c r="H73" s="1277">
        <f>I73+J73+K73</f>
        <v>0</v>
      </c>
      <c r="I73" s="1275"/>
      <c r="J73" s="1418">
        <f>IF(AB73=1,G73*F73,0)</f>
        <v>0</v>
      </c>
      <c r="K73" s="1275"/>
      <c r="L73" s="946"/>
      <c r="M73" s="74"/>
      <c r="N73" s="74"/>
      <c r="O73" s="1207">
        <f>IF(AB73=1,'Расчет после реализации'!B143*'Расчет после реализации'!D143*(1/'Расчет базового уровня'!C143-1/'Расчет после реализации'!C143)*0.024*'Расчет после реализации'!D147+'Расчет базового уровня'!D191-'Расчет после реализации'!D189,0)*0.86/1000</f>
        <v>0</v>
      </c>
      <c r="P73" s="1207"/>
      <c r="Q73" s="1207"/>
      <c r="R73" s="1209" t="e">
        <f>O73/'Расчет базового уровня'!$D$35/0.86*1000</f>
        <v>#DIV/0!</v>
      </c>
      <c r="S73" s="1210" t="e">
        <f>R73</f>
        <v>#DIV/0!</v>
      </c>
      <c r="T73" s="1189"/>
      <c r="U73" s="1189"/>
      <c r="V73" s="1209" t="e">
        <f>(O73+P73)/'Расчет базового уровня'!$D$9/0.86*1000</f>
        <v>#DIV/0!</v>
      </c>
      <c r="W73" s="1257" t="e">
        <f>V73</f>
        <v>#DIV/0!</v>
      </c>
      <c r="X73" s="1189"/>
      <c r="Y73" s="1189"/>
      <c r="Z73" s="74">
        <f>IF(AB73-H73=1,1,0)</f>
        <v>0</v>
      </c>
      <c r="AA73" s="1203">
        <f>IF(AND('Ввод исходных данных'!$D$12&lt;2000,списки!D35=0),1,0)</f>
        <v>1</v>
      </c>
      <c r="AB73" s="1175">
        <f>IF(AND(AA73=1,AC73=TRUE),1,0)</f>
        <v>0</v>
      </c>
      <c r="AC73" s="1176" t="b">
        <v>0</v>
      </c>
      <c r="AD73" s="1203">
        <f>IF(AND(AA73=1,A73="ОШИБКА"),1,0)</f>
        <v>0</v>
      </c>
      <c r="AE73" s="75" t="str">
        <f>IF(AB73=1,CONCATENATE(D73,CHAR(10)),"")</f>
        <v/>
      </c>
      <c r="AF73" s="74"/>
      <c r="AG73" s="74"/>
      <c r="AH73" s="74"/>
      <c r="AI73" s="74"/>
      <c r="AJ73" s="74"/>
      <c r="AK73" s="74"/>
      <c r="AL73" s="74"/>
      <c r="AM73" s="74"/>
      <c r="AN73" s="74"/>
      <c r="AO73" s="74"/>
      <c r="AP73" s="74"/>
      <c r="AQ73" s="74"/>
      <c r="AR73" s="74"/>
      <c r="AS73" s="74"/>
    </row>
    <row r="74" spans="1:45" ht="45" x14ac:dyDescent="0.25">
      <c r="A74" s="1204" t="str">
        <f>IF(AND(AA74=0,AC74=TRUE),"Ошибка","")</f>
        <v/>
      </c>
      <c r="B74" s="74"/>
      <c r="C74" s="1003"/>
      <c r="D74" s="1206" t="s">
        <v>1938</v>
      </c>
      <c r="E74" s="1619" t="s">
        <v>1296</v>
      </c>
      <c r="F74" s="1632"/>
      <c r="G74" s="1632"/>
      <c r="H74" s="1631">
        <f>I74+J74+K74</f>
        <v>0</v>
      </c>
      <c r="I74" s="1632"/>
      <c r="J74" s="1632">
        <f>IF(AB74=1,G74*F74,0)</f>
        <v>0</v>
      </c>
      <c r="K74" s="1632"/>
      <c r="L74" s="1684"/>
      <c r="M74" s="74"/>
      <c r="N74" s="74"/>
      <c r="O74" s="1207"/>
      <c r="P74" s="1207"/>
      <c r="Q74" s="1207">
        <f>IF(AB74=1,'Расчет базового уровня'!D102*(1-VLOOKUP('Список мероприятий'!D75,'Система электроснабжения'!B6:F10,5,0)),0)</f>
        <v>0</v>
      </c>
      <c r="R74" s="1209"/>
      <c r="S74" s="1189"/>
      <c r="T74" s="1189"/>
      <c r="U74" s="1189"/>
      <c r="V74" s="1209"/>
      <c r="W74" s="1189"/>
      <c r="X74" s="1209" t="e">
        <f>Q74/'Расчет базового уровня'!$D$100</f>
        <v>#DIV/0!</v>
      </c>
      <c r="Y74" s="1210" t="e">
        <f>X74</f>
        <v>#DIV/0!</v>
      </c>
      <c r="Z74" s="74">
        <f>IF(AB74-H74=1,1,0)</f>
        <v>0</v>
      </c>
      <c r="AA74" s="1203">
        <v>1</v>
      </c>
      <c r="AB74" s="1175">
        <f>IF(AC74=TRUE,1,0)</f>
        <v>0</v>
      </c>
      <c r="AC74" s="1176" t="b">
        <v>0</v>
      </c>
      <c r="AD74" s="1203">
        <f>IF(AND(AA74=1,A74="ОШИБКА"),1,0)</f>
        <v>0</v>
      </c>
      <c r="AE74" s="75" t="str">
        <f>IF(AB74=1,CONCATENATE(D74,CHAR(10)),"")</f>
        <v/>
      </c>
      <c r="AF74" s="74"/>
      <c r="AG74" s="74"/>
      <c r="AH74" s="74"/>
      <c r="AI74" s="74"/>
      <c r="AJ74" s="74"/>
      <c r="AK74" s="74"/>
      <c r="AL74" s="74"/>
      <c r="AM74" s="74"/>
      <c r="AN74" s="74"/>
      <c r="AO74" s="74"/>
      <c r="AP74" s="74"/>
      <c r="AQ74" s="74"/>
      <c r="AR74" s="74"/>
      <c r="AS74" s="74"/>
    </row>
    <row r="75" spans="1:45" x14ac:dyDescent="0.25">
      <c r="A75" s="1242"/>
      <c r="B75" s="74"/>
      <c r="C75" s="1003"/>
      <c r="D75" s="1283" t="s">
        <v>461</v>
      </c>
      <c r="E75" s="1621"/>
      <c r="F75" s="1632"/>
      <c r="G75" s="1632"/>
      <c r="H75" s="1631"/>
      <c r="I75" s="1632"/>
      <c r="J75" s="1632"/>
      <c r="K75" s="1632"/>
      <c r="L75" s="1685"/>
      <c r="M75" s="74"/>
      <c r="N75" s="74"/>
      <c r="O75" s="1207"/>
      <c r="P75" s="1207"/>
      <c r="Q75" s="1207"/>
      <c r="R75" s="1189"/>
      <c r="S75" s="1189"/>
      <c r="T75" s="1189"/>
      <c r="U75" s="1189"/>
      <c r="V75" s="1189"/>
      <c r="W75" s="1189"/>
      <c r="X75" s="1189"/>
      <c r="Y75" s="1189"/>
      <c r="Z75" s="74"/>
      <c r="AA75" s="74"/>
      <c r="AB75" s="1171"/>
      <c r="AC75" s="1171"/>
      <c r="AD75" s="74"/>
      <c r="AF75" s="74"/>
      <c r="AG75" s="74"/>
      <c r="AH75" s="74"/>
      <c r="AI75" s="74"/>
      <c r="AJ75" s="74"/>
      <c r="AK75" s="74"/>
      <c r="AL75" s="74"/>
      <c r="AM75" s="74"/>
      <c r="AN75" s="74"/>
      <c r="AO75" s="74"/>
      <c r="AP75" s="74"/>
      <c r="AQ75" s="74"/>
      <c r="AR75" s="74"/>
      <c r="AS75" s="74"/>
    </row>
    <row r="76" spans="1:45" ht="31.5" customHeight="1" x14ac:dyDescent="0.25">
      <c r="A76" s="1204" t="str">
        <f>IF(AND(AA76=0,AC76=TRUE),"Ошибка","")</f>
        <v/>
      </c>
      <c r="B76" s="74"/>
      <c r="C76" s="1003"/>
      <c r="D76" s="1206" t="s">
        <v>1939</v>
      </c>
      <c r="E76" s="1230" t="s">
        <v>1297</v>
      </c>
      <c r="F76" s="1275"/>
      <c r="G76" s="1275"/>
      <c r="H76" s="1277">
        <f>I76+J76+K76</f>
        <v>0</v>
      </c>
      <c r="I76" s="1275"/>
      <c r="J76" s="1275">
        <f>IF(AB76=1,G76*F76,0)</f>
        <v>0</v>
      </c>
      <c r="K76" s="1275"/>
      <c r="L76" s="947"/>
      <c r="M76" s="74"/>
      <c r="N76" s="74"/>
      <c r="O76" s="1207"/>
      <c r="P76" s="1207"/>
      <c r="Q76" s="1207">
        <f>IF(AB76=1,'Расчет базового уровня'!D102-('Ввод исходных данных'!G131*'Ввод исходных данных'!H131*400+'Ввод исходных данных'!G132*'Ввод исходных данных'!H132*400+'Ввод исходных данных'!G133*'Ввод исходных данных'!H133*400+'Ввод исходных данных'!G134*'Ввод исходных данных'!H134*300+'Ввод исходных данных'!G135*'Ввод исходных данных'!H135*100)/1000,0)</f>
        <v>0</v>
      </c>
      <c r="R76" s="1189"/>
      <c r="S76" s="1189"/>
      <c r="T76" s="1189"/>
      <c r="U76" s="1189"/>
      <c r="V76" s="1189"/>
      <c r="W76" s="1189"/>
      <c r="X76" s="1209" t="e">
        <f>Q76/'Расчет базового уровня'!$D$100</f>
        <v>#DIV/0!</v>
      </c>
      <c r="Y76" s="1209" t="e">
        <f>X76*(1-X74/'Расчет базового уровня'!D103)</f>
        <v>#DIV/0!</v>
      </c>
      <c r="Z76" s="74">
        <f>IF(AB76-H76=1,1,0)</f>
        <v>0</v>
      </c>
      <c r="AA76" s="1203">
        <v>1</v>
      </c>
      <c r="AB76" s="1175">
        <f>IF(AC76=TRUE,1,0)</f>
        <v>0</v>
      </c>
      <c r="AC76" s="1176" t="b">
        <v>0</v>
      </c>
      <c r="AD76" s="1203">
        <f>IF(AND(AA76=1,A76="ОШИБКА"),1,0)</f>
        <v>0</v>
      </c>
      <c r="AE76" s="75" t="str">
        <f>IF(AB76=1,CONCATENATE(D76,CHAR(10)),"")</f>
        <v/>
      </c>
      <c r="AF76" s="74"/>
      <c r="AG76" s="74"/>
      <c r="AH76" s="74"/>
      <c r="AI76" s="74"/>
      <c r="AJ76" s="74"/>
      <c r="AK76" s="74"/>
      <c r="AL76" s="74"/>
      <c r="AM76" s="74"/>
      <c r="AN76" s="74"/>
      <c r="AO76" s="74"/>
      <c r="AP76" s="74"/>
      <c r="AQ76" s="74"/>
      <c r="AR76" s="74"/>
      <c r="AS76" s="74"/>
    </row>
    <row r="77" spans="1:45" x14ac:dyDescent="0.25">
      <c r="A77" s="74"/>
      <c r="B77" s="74"/>
      <c r="C77" s="74"/>
      <c r="D77" s="74"/>
      <c r="E77" s="74"/>
      <c r="F77" s="1213"/>
      <c r="G77" s="1213"/>
      <c r="H77" s="1213"/>
      <c r="I77" s="1213"/>
      <c r="J77" s="1213"/>
      <c r="K77" s="1213"/>
      <c r="L77" s="74"/>
      <c r="M77" s="74"/>
      <c r="N77" s="74"/>
      <c r="O77" s="1207"/>
      <c r="P77" s="1207"/>
      <c r="Q77" s="1207"/>
      <c r="R77" s="1189"/>
      <c r="S77" s="1189"/>
      <c r="T77" s="1189"/>
      <c r="U77" s="1189"/>
      <c r="V77" s="1189"/>
      <c r="W77" s="1189"/>
      <c r="X77" s="1189"/>
      <c r="Y77" s="1189"/>
      <c r="Z77" s="74"/>
      <c r="AA77" s="74"/>
      <c r="AB77" s="1171"/>
      <c r="AC77" s="1172"/>
      <c r="AD77" s="74"/>
      <c r="AF77" s="74"/>
      <c r="AG77" s="74"/>
      <c r="AH77" s="74"/>
      <c r="AI77" s="74"/>
      <c r="AJ77" s="74"/>
      <c r="AK77" s="74"/>
      <c r="AL77" s="74"/>
      <c r="AM77" s="74"/>
      <c r="AN77" s="74"/>
      <c r="AO77" s="74"/>
      <c r="AP77" s="74"/>
      <c r="AQ77" s="74"/>
      <c r="AR77" s="74"/>
      <c r="AS77" s="74"/>
    </row>
    <row r="78" spans="1:45" x14ac:dyDescent="0.25">
      <c r="A78" s="74"/>
      <c r="B78" s="74"/>
      <c r="C78" s="74"/>
      <c r="D78" s="74"/>
      <c r="E78" s="74"/>
      <c r="F78" s="74"/>
      <c r="G78" s="74"/>
      <c r="H78" s="74"/>
      <c r="I78" s="1213"/>
      <c r="J78" s="1213"/>
      <c r="K78" s="1213"/>
      <c r="L78" s="74"/>
      <c r="M78" s="74"/>
      <c r="N78" s="1187"/>
      <c r="O78" s="74"/>
      <c r="P78" s="74"/>
      <c r="Q78" s="74"/>
      <c r="R78" s="74"/>
      <c r="S78" s="74"/>
      <c r="T78" s="74"/>
      <c r="U78" s="74"/>
      <c r="V78" s="74"/>
      <c r="W78" s="74"/>
      <c r="X78" s="74"/>
      <c r="Y78" s="74"/>
      <c r="Z78" s="74"/>
      <c r="AA78" s="74"/>
      <c r="AB78" s="1171"/>
      <c r="AC78" s="1171"/>
      <c r="AD78" s="74"/>
      <c r="AE78" s="74"/>
      <c r="AF78" s="74"/>
      <c r="AG78" s="74"/>
      <c r="AH78" s="74"/>
      <c r="AI78" s="74"/>
      <c r="AJ78" s="74"/>
      <c r="AK78" s="74"/>
      <c r="AL78" s="74"/>
      <c r="AM78" s="74"/>
      <c r="AN78" s="74"/>
      <c r="AO78" s="74"/>
      <c r="AP78" s="74"/>
      <c r="AQ78" s="74"/>
      <c r="AR78" s="74"/>
      <c r="AS78" s="74"/>
    </row>
    <row r="79" spans="1:45" ht="23.25" x14ac:dyDescent="0.35">
      <c r="A79" s="74"/>
      <c r="B79" s="1618" t="str">
        <f>IF(AND('Список мероприятий'!$AB$32=0,'Система отопления'!F5=0,'Система отопления'!F6=0),"Необходимо выбрать установку АУУ СО или АИТП","")</f>
        <v>Необходимо выбрать установку АУУ СО или АИТП</v>
      </c>
      <c r="C79" s="1618"/>
      <c r="D79" s="1618"/>
      <c r="E79" s="1618"/>
      <c r="F79" s="1618"/>
      <c r="G79" s="1618"/>
      <c r="H79" s="1618"/>
      <c r="I79" s="1618"/>
      <c r="J79" s="1618"/>
      <c r="K79" s="1618"/>
      <c r="L79" s="74"/>
      <c r="M79" s="74"/>
      <c r="N79" s="1187"/>
      <c r="O79" s="74"/>
      <c r="P79" s="74"/>
      <c r="Q79" s="74"/>
      <c r="R79" s="74"/>
      <c r="S79" s="74"/>
      <c r="T79" s="74"/>
      <c r="U79" s="74"/>
      <c r="V79" s="74"/>
      <c r="W79" s="74"/>
      <c r="X79" s="74"/>
      <c r="Y79" s="74"/>
      <c r="Z79" s="74"/>
      <c r="AA79" s="74"/>
      <c r="AB79" s="1171"/>
      <c r="AC79" s="1171"/>
      <c r="AD79" s="74"/>
      <c r="AE79" s="74"/>
      <c r="AF79" s="74"/>
      <c r="AG79" s="74"/>
      <c r="AH79" s="74"/>
      <c r="AI79" s="74"/>
      <c r="AJ79" s="74"/>
      <c r="AK79" s="74"/>
      <c r="AL79" s="74"/>
      <c r="AM79" s="74"/>
      <c r="AN79" s="74"/>
      <c r="AO79" s="74"/>
      <c r="AP79" s="74"/>
      <c r="AQ79" s="74"/>
      <c r="AR79" s="74"/>
      <c r="AS79" s="74"/>
    </row>
    <row r="80" spans="1:45" ht="44.25" customHeight="1" thickBot="1" x14ac:dyDescent="0.4">
      <c r="A80" s="74"/>
      <c r="B80" s="1666" t="str">
        <f>CONCATENATE(IF(AD6&gt;0,"Проверьте выбор мероприятий и технологий. ",""),IF(SUM(Z6:Z77)&gt;0,"Без ввода стоимостей мероприятий не будут рассчитаны срок окупаемости и размер поддержки. ",""),IF(списки!C51=0,"ВЫБРАННЫЕ МЕРОПРИЯТИЯ: ",""),IF('Ввод исходных данных'!E289="Исправьте ошибки ввода","Есть ошибки ввода исходных данных",""))</f>
        <v>Есть ошибки ввода исходных данных</v>
      </c>
      <c r="C80" s="1666"/>
      <c r="D80" s="1666"/>
      <c r="E80" s="1666"/>
      <c r="F80" s="1666"/>
      <c r="G80" s="1666"/>
      <c r="H80" s="1666"/>
      <c r="I80" s="1666"/>
      <c r="J80" s="1666"/>
      <c r="K80" s="1666"/>
      <c r="L80" s="74"/>
      <c r="M80" s="74"/>
      <c r="N80" s="1187"/>
      <c r="O80" s="74"/>
      <c r="P80" s="74"/>
      <c r="Q80" s="74"/>
      <c r="R80" s="74"/>
      <c r="S80" s="74"/>
      <c r="T80" s="74"/>
      <c r="U80" s="74"/>
      <c r="V80" s="74"/>
      <c r="W80" s="74"/>
      <c r="X80" s="74"/>
      <c r="Y80" s="74"/>
      <c r="Z80" s="74"/>
      <c r="AA80" s="74"/>
      <c r="AB80" s="1171"/>
      <c r="AC80" s="1171"/>
      <c r="AD80" s="74"/>
      <c r="AE80" s="74"/>
      <c r="AF80" s="74"/>
      <c r="AG80" s="74"/>
      <c r="AH80" s="74"/>
      <c r="AI80" s="74"/>
      <c r="AJ80" s="74"/>
      <c r="AK80" s="74"/>
      <c r="AL80" s="74"/>
      <c r="AM80" s="74"/>
      <c r="AN80" s="74"/>
      <c r="AO80" s="74"/>
      <c r="AP80" s="74"/>
      <c r="AQ80" s="74"/>
      <c r="AR80" s="74"/>
      <c r="AS80" s="74"/>
    </row>
    <row r="81" spans="1:45" ht="171" customHeight="1" thickBot="1" x14ac:dyDescent="0.3">
      <c r="A81" s="74"/>
      <c r="B81" s="1663" t="str">
        <f>IF(списки!C53=1,CONCATENATE(AE9,AE12,AE14,AE20,AE24,AE27,AE37,AE38,AE39,AE42,AE47,AE52,AE32,AE34,AE35,AE55,AE56,AE58,AE62,AE67,AE73,AE74,AE76),"")</f>
        <v/>
      </c>
      <c r="C81" s="1664"/>
      <c r="D81" s="1664"/>
      <c r="E81" s="1664"/>
      <c r="F81" s="1664"/>
      <c r="G81" s="1664"/>
      <c r="H81" s="1664"/>
      <c r="I81" s="1664"/>
      <c r="J81" s="1664"/>
      <c r="K81" s="1665"/>
      <c r="L81" s="1258" t="str">
        <f>IFERROR(IF(AND(AB32=0,'Система отопления'!F4=0,'Система отопления'!F5=0,'Система отопления'!F6=0,'Расчет базового уровня'!E35&gt;1.1*'Расчет базового уровня'!C35),"Внимание! Вы не выбрали мероприятий, связанных с установкой узлов регулирования подачи теплоэнергии (АУУ/АИТП). Экономия от остальных мероприятий будет достигнута только в случае обеспечения регулирования подачи теплоэнергии в МКД",""),"")</f>
        <v/>
      </c>
      <c r="M81" s="74"/>
      <c r="N81" s="1187"/>
      <c r="O81" s="74"/>
      <c r="P81" s="74"/>
      <c r="Q81" s="74"/>
      <c r="R81" s="74"/>
      <c r="S81" s="74"/>
      <c r="T81" s="74"/>
      <c r="U81" s="74"/>
      <c r="V81" s="74"/>
      <c r="W81" s="74"/>
      <c r="X81" s="74"/>
      <c r="Y81" s="74"/>
      <c r="Z81" s="74"/>
      <c r="AA81" s="74"/>
      <c r="AB81" s="1171"/>
      <c r="AC81" s="1171"/>
      <c r="AD81" s="74"/>
      <c r="AE81" s="74"/>
      <c r="AF81" s="74"/>
      <c r="AG81" s="74"/>
      <c r="AH81" s="74"/>
      <c r="AI81" s="74"/>
      <c r="AJ81" s="74"/>
      <c r="AK81" s="74"/>
      <c r="AL81" s="74"/>
      <c r="AM81" s="74"/>
      <c r="AN81" s="74"/>
      <c r="AO81" s="74"/>
      <c r="AP81" s="74"/>
      <c r="AQ81" s="74"/>
      <c r="AR81" s="74"/>
      <c r="AS81" s="74"/>
    </row>
    <row r="82" spans="1:45" x14ac:dyDescent="0.25">
      <c r="A82" s="74"/>
      <c r="B82" s="74"/>
      <c r="C82" s="74"/>
      <c r="D82" s="74"/>
      <c r="E82" s="74"/>
      <c r="F82" s="74"/>
      <c r="G82" s="74"/>
      <c r="H82" s="74"/>
      <c r="I82" s="1213"/>
      <c r="J82" s="1213"/>
      <c r="K82" s="1213"/>
      <c r="L82" s="74"/>
      <c r="M82" s="74"/>
      <c r="N82" s="1187"/>
      <c r="O82" s="74"/>
      <c r="P82" s="74"/>
      <c r="Q82" s="74"/>
      <c r="R82" s="74"/>
      <c r="S82" s="74"/>
      <c r="T82" s="74"/>
      <c r="U82" s="74"/>
      <c r="V82" s="74"/>
      <c r="W82" s="74"/>
      <c r="X82" s="74"/>
      <c r="Y82" s="74"/>
      <c r="Z82" s="74"/>
      <c r="AA82" s="74"/>
      <c r="AB82" s="1171"/>
      <c r="AC82" s="1171"/>
      <c r="AD82" s="74"/>
      <c r="AE82" s="74"/>
      <c r="AF82" s="74"/>
      <c r="AG82" s="74"/>
      <c r="AH82" s="74"/>
      <c r="AI82" s="74"/>
      <c r="AJ82" s="74"/>
      <c r="AK82" s="74"/>
      <c r="AL82" s="74"/>
      <c r="AM82" s="74"/>
      <c r="AN82" s="74"/>
      <c r="AO82" s="74"/>
      <c r="AP82" s="74"/>
      <c r="AQ82" s="74"/>
      <c r="AR82" s="74"/>
      <c r="AS82" s="74"/>
    </row>
    <row r="83" spans="1:45" ht="15" customHeight="1" thickBot="1" x14ac:dyDescent="0.3">
      <c r="A83" s="74"/>
      <c r="B83" s="74"/>
      <c r="C83" s="74"/>
      <c r="D83" s="1259" t="s">
        <v>1352</v>
      </c>
      <c r="E83" s="1260"/>
      <c r="F83" s="1260"/>
      <c r="G83" s="1260"/>
      <c r="H83" s="1260"/>
      <c r="I83" s="1260"/>
      <c r="J83" s="1260"/>
      <c r="K83" s="1213"/>
      <c r="L83" s="74"/>
      <c r="M83" s="74"/>
      <c r="N83" s="1187"/>
      <c r="O83" s="74"/>
      <c r="P83" s="74"/>
      <c r="Q83" s="74"/>
      <c r="R83" s="74"/>
      <c r="S83" s="74"/>
      <c r="T83" s="74"/>
      <c r="U83" s="74"/>
      <c r="V83" s="74"/>
      <c r="W83" s="74"/>
      <c r="X83" s="74"/>
      <c r="Y83" s="74"/>
      <c r="Z83" s="74"/>
      <c r="AA83" s="74"/>
      <c r="AB83" s="1171"/>
      <c r="AC83" s="1171"/>
      <c r="AD83" s="74"/>
      <c r="AE83" s="74"/>
      <c r="AF83" s="74"/>
      <c r="AG83" s="74"/>
      <c r="AH83" s="74"/>
      <c r="AI83" s="74"/>
      <c r="AJ83" s="74"/>
      <c r="AK83" s="74"/>
      <c r="AL83" s="74"/>
      <c r="AM83" s="74"/>
      <c r="AN83" s="74"/>
      <c r="AO83" s="74"/>
      <c r="AP83" s="74"/>
      <c r="AQ83" s="74"/>
      <c r="AR83" s="74"/>
      <c r="AS83" s="74"/>
    </row>
    <row r="84" spans="1:45" x14ac:dyDescent="0.25">
      <c r="A84" s="74"/>
      <c r="B84" s="74"/>
      <c r="C84" s="74"/>
      <c r="D84" s="1261" t="s">
        <v>834</v>
      </c>
      <c r="E84" s="1269" t="s">
        <v>1353</v>
      </c>
      <c r="F84" s="1262" t="s">
        <v>868</v>
      </c>
      <c r="G84" s="1658" t="s">
        <v>869</v>
      </c>
      <c r="H84" s="1658"/>
      <c r="I84" s="1658"/>
      <c r="J84" s="1659"/>
      <c r="K84" s="1213"/>
      <c r="L84" s="74"/>
      <c r="M84" s="74"/>
      <c r="N84" s="1187"/>
      <c r="O84" s="74"/>
      <c r="P84" s="74"/>
      <c r="Q84" s="74"/>
      <c r="R84" s="74"/>
      <c r="S84" s="74"/>
      <c r="T84" s="74"/>
      <c r="U84" s="74"/>
      <c r="V84" s="74"/>
      <c r="W84" s="74"/>
      <c r="X84" s="74"/>
      <c r="Y84" s="74"/>
      <c r="Z84" s="74"/>
      <c r="AA84" s="74"/>
      <c r="AB84" s="1171"/>
      <c r="AC84" s="1171"/>
      <c r="AD84" s="74"/>
      <c r="AE84" s="74"/>
      <c r="AF84" s="74"/>
      <c r="AG84" s="74"/>
      <c r="AH84" s="74"/>
      <c r="AI84" s="74"/>
      <c r="AJ84" s="74"/>
      <c r="AK84" s="74"/>
      <c r="AL84" s="74"/>
      <c r="AM84" s="74"/>
      <c r="AN84" s="74"/>
      <c r="AO84" s="74"/>
      <c r="AP84" s="74"/>
      <c r="AQ84" s="74"/>
      <c r="AR84" s="74"/>
      <c r="AS84" s="74"/>
    </row>
    <row r="85" spans="1:45" x14ac:dyDescent="0.25">
      <c r="A85" s="74"/>
      <c r="B85" s="74"/>
      <c r="C85" s="74"/>
      <c r="D85" s="1636" t="s">
        <v>1354</v>
      </c>
      <c r="E85" s="1637"/>
      <c r="F85" s="1637"/>
      <c r="G85" s="1637"/>
      <c r="H85" s="1637"/>
      <c r="I85" s="1637"/>
      <c r="J85" s="1638"/>
      <c r="K85" s="1213"/>
      <c r="L85" s="74"/>
      <c r="M85" s="74"/>
      <c r="N85" s="1187"/>
      <c r="O85" s="74"/>
      <c r="P85" s="74"/>
      <c r="Q85" s="74"/>
      <c r="R85" s="74"/>
      <c r="S85" s="74"/>
      <c r="T85" s="74"/>
      <c r="U85" s="74"/>
      <c r="V85" s="74"/>
      <c r="W85" s="74"/>
      <c r="X85" s="74"/>
      <c r="Y85" s="74"/>
      <c r="Z85" s="74"/>
      <c r="AA85" s="74"/>
      <c r="AB85" s="1171"/>
      <c r="AC85" s="1171"/>
      <c r="AD85" s="74"/>
      <c r="AE85" s="74"/>
      <c r="AF85" s="74"/>
      <c r="AG85" s="74"/>
      <c r="AH85" s="74"/>
      <c r="AI85" s="74"/>
      <c r="AJ85" s="74"/>
      <c r="AK85" s="74"/>
      <c r="AL85" s="74"/>
      <c r="AM85" s="74"/>
      <c r="AN85" s="74"/>
      <c r="AO85" s="74"/>
      <c r="AP85" s="74"/>
      <c r="AQ85" s="74"/>
      <c r="AR85" s="74"/>
      <c r="AS85" s="74"/>
    </row>
    <row r="86" spans="1:45" x14ac:dyDescent="0.25">
      <c r="A86" s="74"/>
      <c r="B86" s="74"/>
      <c r="C86" s="74"/>
      <c r="D86" s="1388" t="s">
        <v>1355</v>
      </c>
      <c r="E86" s="1399" t="s">
        <v>1309</v>
      </c>
      <c r="F86" s="1425" t="str">
        <f>IF(списки!C51=1,"",SUM('Список мероприятий'!H9,'Список мероприятий'!H12,'Список мероприятий'!H20,'Список мероприятий'!H24,'Список мероприятий'!H27,'Список мероприятий'!H62,'Список мероприятий'!H67,'Список мероприятий'!H15,'Список мероприятий'!H73,'Список мероприятий'!H32,'Список мероприятий'!H34,'Список мероприятий'!H35,'Список мероприятий'!H37,'Список мероприятий'!H38,'Список мероприятий'!H39,'Список мероприятий'!H74,'Список мероприятий'!H76,'Список мероприятий'!H42,H58,'Список мероприятий'!H47,'Список мероприятий'!H55,'Список мероприятий'!H56,'Список мероприятий'!H52))</f>
        <v/>
      </c>
      <c r="G86" s="1674" t="str">
        <f>CONCATENATE(IF(AD6&gt;0,"Проверьте выбор мероприятий и технологий. ",""),IF(SUM(Z6:Z77)&gt;0,"Без ввода стоимостей мероприятий не будут рассчитаны срок окупаемости и размер поддержки. ",""),IF('Ввод исходных данных'!E289="Исправьте ошибки ввода","Есть ошибки ввода исходных данных",""))</f>
        <v>Есть ошибки ввода исходных данных</v>
      </c>
      <c r="H86" s="1675"/>
      <c r="I86" s="1675"/>
      <c r="J86" s="1676"/>
      <c r="K86" s="1213"/>
      <c r="L86" s="74"/>
      <c r="M86" s="74"/>
      <c r="N86" s="1187"/>
      <c r="O86" s="74"/>
      <c r="P86" s="74"/>
      <c r="Q86" s="74"/>
      <c r="R86" s="74"/>
      <c r="S86" s="74"/>
      <c r="T86" s="74"/>
      <c r="U86" s="74"/>
      <c r="V86" s="74"/>
      <c r="W86" s="74"/>
      <c r="X86" s="74"/>
      <c r="Y86" s="74"/>
      <c r="Z86" s="74"/>
      <c r="AA86" s="74"/>
      <c r="AB86" s="1171"/>
      <c r="AC86" s="1171"/>
      <c r="AD86" s="74"/>
      <c r="AE86" s="74"/>
      <c r="AF86" s="74"/>
      <c r="AG86" s="74"/>
      <c r="AH86" s="74"/>
      <c r="AI86" s="74"/>
      <c r="AJ86" s="74"/>
      <c r="AK86" s="74"/>
      <c r="AL86" s="74"/>
      <c r="AM86" s="74"/>
      <c r="AN86" s="74"/>
      <c r="AO86" s="74"/>
      <c r="AP86" s="74"/>
      <c r="AQ86" s="74"/>
      <c r="AR86" s="74"/>
      <c r="AS86" s="74"/>
    </row>
    <row r="87" spans="1:45" ht="30" x14ac:dyDescent="0.25">
      <c r="A87" s="74"/>
      <c r="B87" s="74"/>
      <c r="C87" s="74"/>
      <c r="D87" s="1398" t="s">
        <v>1633</v>
      </c>
      <c r="E87" s="1399" t="s">
        <v>1356</v>
      </c>
      <c r="F87" s="1426" t="str">
        <f>IF(списки!C51=1,"",F86/'Экономический расчет'!C27)</f>
        <v/>
      </c>
      <c r="G87" s="1677"/>
      <c r="H87" s="1678"/>
      <c r="I87" s="1678"/>
      <c r="J87" s="1679"/>
      <c r="K87" s="1213"/>
      <c r="L87" s="74"/>
      <c r="M87" s="74"/>
      <c r="N87" s="1187"/>
      <c r="O87" s="74"/>
      <c r="P87" s="74"/>
      <c r="Q87" s="74"/>
      <c r="R87" s="74"/>
      <c r="S87" s="74"/>
      <c r="T87" s="74"/>
      <c r="U87" s="74"/>
      <c r="V87" s="74"/>
      <c r="W87" s="74"/>
      <c r="X87" s="74"/>
      <c r="Y87" s="74"/>
      <c r="Z87" s="74"/>
      <c r="AA87" s="74"/>
      <c r="AB87" s="1171"/>
      <c r="AC87" s="1171"/>
      <c r="AD87" s="74"/>
      <c r="AE87" s="74"/>
      <c r="AF87" s="74"/>
      <c r="AG87" s="74"/>
      <c r="AH87" s="74"/>
      <c r="AI87" s="74"/>
      <c r="AJ87" s="74"/>
      <c r="AK87" s="74"/>
      <c r="AL87" s="74"/>
      <c r="AM87" s="74"/>
      <c r="AN87" s="74"/>
      <c r="AO87" s="74"/>
      <c r="AP87" s="74"/>
      <c r="AQ87" s="74"/>
      <c r="AR87" s="74"/>
      <c r="AS87" s="74"/>
    </row>
    <row r="88" spans="1:45" ht="32.25" x14ac:dyDescent="0.25">
      <c r="A88" s="74"/>
      <c r="B88" s="74"/>
      <c r="C88" s="74"/>
      <c r="D88" s="1398" t="s">
        <v>1859</v>
      </c>
      <c r="E88" s="1399" t="s">
        <v>1356</v>
      </c>
      <c r="F88" s="1426" t="str">
        <f>IF(списки!C51=1,"",F86/('Ввод исходных данных'!G45+'Ввод исходных данных'!D23))</f>
        <v/>
      </c>
      <c r="G88" s="1392"/>
      <c r="H88" s="1393"/>
      <c r="I88" s="1265"/>
      <c r="J88" s="1266"/>
      <c r="K88" s="1213"/>
      <c r="L88" s="74"/>
      <c r="M88" s="74"/>
      <c r="N88" s="1187"/>
      <c r="O88" s="74"/>
      <c r="P88" s="74"/>
      <c r="Q88" s="74"/>
      <c r="R88" s="74"/>
      <c r="S88" s="74"/>
      <c r="T88" s="74"/>
      <c r="U88" s="74"/>
      <c r="V88" s="74"/>
      <c r="W88" s="74"/>
      <c r="X88" s="74"/>
      <c r="Y88" s="74"/>
      <c r="Z88" s="74"/>
      <c r="AA88" s="74"/>
      <c r="AB88" s="1171"/>
      <c r="AC88" s="1171"/>
      <c r="AD88" s="74"/>
      <c r="AE88" s="74"/>
      <c r="AF88" s="74"/>
      <c r="AG88" s="74"/>
      <c r="AH88" s="74"/>
      <c r="AI88" s="74"/>
      <c r="AJ88" s="74"/>
      <c r="AK88" s="74"/>
      <c r="AL88" s="74"/>
      <c r="AM88" s="74"/>
      <c r="AN88" s="74"/>
      <c r="AO88" s="74"/>
      <c r="AP88" s="74"/>
      <c r="AQ88" s="74"/>
      <c r="AR88" s="74"/>
      <c r="AS88" s="74"/>
    </row>
    <row r="89" spans="1:45" ht="30" x14ac:dyDescent="0.25">
      <c r="A89" s="74"/>
      <c r="B89" s="74"/>
      <c r="C89" s="74"/>
      <c r="D89" s="1398" t="s">
        <v>1881</v>
      </c>
      <c r="E89" s="1399" t="s">
        <v>1309</v>
      </c>
      <c r="F89" s="1426" t="str">
        <f>IF(списки!C53=0,"",'Экономический расчет'!C19-'Экономический расчет'!D19)</f>
        <v/>
      </c>
      <c r="G89" s="1392"/>
      <c r="H89" s="1393"/>
      <c r="I89" s="1265"/>
      <c r="J89" s="1266"/>
      <c r="K89" s="1213"/>
      <c r="L89" s="74"/>
      <c r="M89" s="74"/>
      <c r="N89" s="1187"/>
      <c r="O89" s="74"/>
      <c r="P89" s="74"/>
      <c r="Q89" s="74"/>
      <c r="R89" s="74"/>
      <c r="S89" s="74"/>
      <c r="T89" s="74"/>
      <c r="U89" s="74"/>
      <c r="V89" s="74"/>
      <c r="W89" s="74"/>
      <c r="X89" s="74"/>
      <c r="Y89" s="74"/>
      <c r="Z89" s="74"/>
      <c r="AA89" s="74"/>
      <c r="AB89" s="1171"/>
      <c r="AC89" s="1171"/>
      <c r="AD89" s="74"/>
      <c r="AE89" s="74"/>
      <c r="AF89" s="74"/>
      <c r="AG89" s="74"/>
      <c r="AH89" s="74"/>
      <c r="AI89" s="74"/>
      <c r="AJ89" s="74"/>
      <c r="AK89" s="74"/>
      <c r="AL89" s="74"/>
      <c r="AM89" s="74"/>
      <c r="AN89" s="74"/>
      <c r="AO89" s="74"/>
      <c r="AP89" s="74"/>
      <c r="AQ89" s="74"/>
      <c r="AR89" s="74"/>
      <c r="AS89" s="74"/>
    </row>
    <row r="90" spans="1:45" x14ac:dyDescent="0.25">
      <c r="A90" s="74"/>
      <c r="B90" s="74"/>
      <c r="C90" s="74"/>
      <c r="D90" s="1388" t="s">
        <v>1860</v>
      </c>
      <c r="E90" s="1399" t="s">
        <v>1181</v>
      </c>
      <c r="F90" s="1427" t="str">
        <f>'Экономический расчет'!C36</f>
        <v/>
      </c>
      <c r="G90" s="1392"/>
      <c r="H90" s="1393"/>
      <c r="I90" s="1265"/>
      <c r="J90" s="1266"/>
      <c r="K90" s="1213"/>
      <c r="L90" s="74"/>
      <c r="M90" s="74"/>
      <c r="N90" s="1187"/>
      <c r="O90" s="74"/>
      <c r="P90" s="74"/>
      <c r="Q90" s="74"/>
      <c r="R90" s="74"/>
      <c r="S90" s="74"/>
      <c r="T90" s="74"/>
      <c r="U90" s="74"/>
      <c r="V90" s="74"/>
      <c r="W90" s="74"/>
      <c r="X90" s="74"/>
      <c r="Y90" s="74"/>
      <c r="Z90" s="74"/>
      <c r="AA90" s="74"/>
      <c r="AB90" s="1171"/>
      <c r="AC90" s="1171"/>
      <c r="AD90" s="74"/>
      <c r="AE90" s="74"/>
      <c r="AF90" s="74"/>
      <c r="AG90" s="74"/>
      <c r="AH90" s="74"/>
      <c r="AI90" s="74"/>
      <c r="AJ90" s="74"/>
      <c r="AK90" s="74"/>
      <c r="AL90" s="74"/>
      <c r="AM90" s="74"/>
      <c r="AN90" s="74"/>
      <c r="AO90" s="74"/>
      <c r="AP90" s="74"/>
      <c r="AQ90" s="74"/>
      <c r="AR90" s="74"/>
      <c r="AS90" s="74"/>
    </row>
    <row r="91" spans="1:45" x14ac:dyDescent="0.25">
      <c r="A91" s="74"/>
      <c r="B91" s="74"/>
      <c r="C91" s="74"/>
      <c r="D91" s="1388" t="s">
        <v>1357</v>
      </c>
      <c r="E91" s="1399" t="s">
        <v>1358</v>
      </c>
      <c r="F91" s="1428" t="str">
        <f>IF(списки!C51=1,"",'Экономический расчет'!C37)</f>
        <v/>
      </c>
      <c r="G91" s="1392"/>
      <c r="H91" s="1393"/>
      <c r="I91" s="1265"/>
      <c r="J91" s="1266"/>
      <c r="K91" s="1213"/>
      <c r="L91" s="74"/>
      <c r="M91" s="74"/>
      <c r="N91" s="1187"/>
      <c r="O91" s="74"/>
      <c r="P91" s="74"/>
      <c r="Q91" s="74"/>
      <c r="R91" s="74"/>
      <c r="S91" s="74"/>
      <c r="T91" s="74"/>
      <c r="U91" s="74"/>
      <c r="V91" s="74"/>
      <c r="W91" s="74"/>
      <c r="X91" s="74"/>
      <c r="Y91" s="74"/>
      <c r="Z91" s="74"/>
      <c r="AA91" s="74"/>
      <c r="AB91" s="1171"/>
      <c r="AC91" s="1171"/>
      <c r="AD91" s="74"/>
      <c r="AE91" s="74"/>
      <c r="AF91" s="74"/>
      <c r="AG91" s="74"/>
      <c r="AH91" s="74"/>
      <c r="AI91" s="74"/>
      <c r="AJ91" s="74"/>
      <c r="AK91" s="74"/>
      <c r="AL91" s="74"/>
      <c r="AM91" s="74"/>
      <c r="AN91" s="74"/>
      <c r="AO91" s="74"/>
      <c r="AP91" s="74"/>
      <c r="AQ91" s="74"/>
      <c r="AR91" s="74"/>
      <c r="AS91" s="74"/>
    </row>
    <row r="92" spans="1:45" x14ac:dyDescent="0.25">
      <c r="A92" s="74"/>
      <c r="B92" s="74"/>
      <c r="C92" s="74"/>
      <c r="D92" s="1636" t="s">
        <v>1359</v>
      </c>
      <c r="E92" s="1637"/>
      <c r="F92" s="1637"/>
      <c r="G92" s="1637"/>
      <c r="H92" s="1637"/>
      <c r="I92" s="1637"/>
      <c r="J92" s="1638"/>
      <c r="K92" s="1213"/>
      <c r="L92" s="74"/>
      <c r="M92" s="74"/>
      <c r="N92" s="1187"/>
      <c r="O92" s="74"/>
      <c r="P92" s="74"/>
      <c r="Q92" s="74"/>
      <c r="R92" s="74"/>
      <c r="S92" s="74"/>
      <c r="T92" s="74"/>
      <c r="U92" s="74"/>
      <c r="V92" s="74"/>
      <c r="W92" s="74"/>
      <c r="X92" s="74"/>
      <c r="Y92" s="74"/>
      <c r="Z92" s="74"/>
      <c r="AA92" s="74"/>
      <c r="AB92" s="1171"/>
      <c r="AC92" s="1171"/>
      <c r="AD92" s="74"/>
      <c r="AE92" s="74"/>
      <c r="AF92" s="74"/>
      <c r="AG92" s="74"/>
      <c r="AH92" s="74"/>
      <c r="AI92" s="74"/>
      <c r="AJ92" s="74"/>
      <c r="AK92" s="74"/>
      <c r="AL92" s="74"/>
      <c r="AM92" s="74"/>
      <c r="AN92" s="74"/>
      <c r="AO92" s="74"/>
      <c r="AP92" s="74"/>
      <c r="AQ92" s="74"/>
      <c r="AR92" s="74"/>
      <c r="AS92" s="74"/>
    </row>
    <row r="93" spans="1:45" x14ac:dyDescent="0.25">
      <c r="A93" s="74"/>
      <c r="B93" s="74"/>
      <c r="C93" s="74"/>
      <c r="D93" s="1394" t="s">
        <v>1360</v>
      </c>
      <c r="E93" s="1389" t="s">
        <v>1184</v>
      </c>
      <c r="F93" s="1421" t="str">
        <f>IF(списки!C53=0,"",'Экономический расчет'!E20)</f>
        <v/>
      </c>
      <c r="G93" s="1390"/>
      <c r="H93" s="1391"/>
      <c r="I93" s="1263"/>
      <c r="J93" s="1264"/>
      <c r="K93" s="1213"/>
      <c r="L93" s="74"/>
      <c r="M93" s="74"/>
      <c r="N93" s="1187"/>
      <c r="O93" s="74"/>
      <c r="P93" s="74"/>
      <c r="Q93" s="74"/>
      <c r="R93" s="74"/>
      <c r="S93" s="74"/>
      <c r="T93" s="74"/>
      <c r="U93" s="74"/>
      <c r="V93" s="74"/>
      <c r="W93" s="74"/>
      <c r="X93" s="74"/>
      <c r="Y93" s="74"/>
      <c r="Z93" s="74"/>
      <c r="AA93" s="74"/>
      <c r="AB93" s="1171"/>
      <c r="AC93" s="1171"/>
      <c r="AD93" s="74"/>
      <c r="AE93" s="74"/>
      <c r="AF93" s="74"/>
      <c r="AG93" s="74"/>
      <c r="AH93" s="74"/>
      <c r="AI93" s="74"/>
      <c r="AJ93" s="74"/>
      <c r="AK93" s="74"/>
      <c r="AL93" s="74"/>
      <c r="AM93" s="74"/>
      <c r="AN93" s="74"/>
      <c r="AO93" s="74"/>
      <c r="AP93" s="74"/>
      <c r="AQ93" s="74"/>
      <c r="AR93" s="74"/>
      <c r="AS93" s="74"/>
    </row>
    <row r="94" spans="1:45" x14ac:dyDescent="0.25">
      <c r="A94" s="74"/>
      <c r="B94" s="74"/>
      <c r="C94" s="74"/>
      <c r="D94" s="1395" t="s">
        <v>1361</v>
      </c>
      <c r="E94" s="1396" t="s">
        <v>842</v>
      </c>
      <c r="F94" s="1422" t="str">
        <f>IF(списки!C53=0,"",'Экономический расчет'!E23)</f>
        <v/>
      </c>
      <c r="G94" s="1392"/>
      <c r="H94" s="1393"/>
      <c r="I94" s="1265"/>
      <c r="J94" s="1266"/>
      <c r="K94" s="1213"/>
      <c r="L94" s="74"/>
      <c r="M94" s="74"/>
      <c r="N94" s="1187"/>
      <c r="O94" s="74"/>
      <c r="P94" s="74"/>
      <c r="Q94" s="74"/>
      <c r="R94" s="74"/>
      <c r="S94" s="74"/>
      <c r="T94" s="74"/>
      <c r="U94" s="74"/>
      <c r="V94" s="74"/>
      <c r="W94" s="74"/>
      <c r="X94" s="74"/>
      <c r="Y94" s="74"/>
      <c r="Z94" s="74"/>
      <c r="AA94" s="74"/>
      <c r="AB94" s="1171"/>
      <c r="AC94" s="1171"/>
      <c r="AD94" s="74"/>
      <c r="AE94" s="74"/>
      <c r="AF94" s="74"/>
      <c r="AG94" s="74"/>
      <c r="AH94" s="74"/>
      <c r="AI94" s="74"/>
      <c r="AJ94" s="74"/>
      <c r="AK94" s="74"/>
      <c r="AL94" s="74"/>
      <c r="AM94" s="74"/>
      <c r="AN94" s="74"/>
      <c r="AO94" s="74"/>
      <c r="AP94" s="74"/>
      <c r="AQ94" s="74"/>
      <c r="AR94" s="74"/>
      <c r="AS94" s="74"/>
    </row>
    <row r="95" spans="1:45" ht="58.5" customHeight="1" x14ac:dyDescent="0.25">
      <c r="A95" s="74"/>
      <c r="B95" s="74"/>
      <c r="C95" s="74"/>
      <c r="D95" s="1397" t="s">
        <v>1362</v>
      </c>
      <c r="E95" s="1396" t="s">
        <v>842</v>
      </c>
      <c r="F95" s="1423" t="str">
        <f>IF(списки!C53=0,"",IF('Расчет после реализации'!D106&gt;'Расчет после реализации'!C106,'Расчет после реализации'!D106-'Расчет после реализации'!C106,0))</f>
        <v/>
      </c>
      <c r="G95" s="1640" t="s">
        <v>1363</v>
      </c>
      <c r="H95" s="1641"/>
      <c r="I95" s="1641"/>
      <c r="J95" s="1642"/>
      <c r="K95" s="1213"/>
      <c r="L95" s="74"/>
      <c r="M95" s="74"/>
      <c r="N95" s="1187"/>
      <c r="O95" s="74"/>
      <c r="P95" s="74"/>
      <c r="Q95" s="74"/>
      <c r="R95" s="74"/>
      <c r="S95" s="74"/>
      <c r="T95" s="74"/>
      <c r="U95" s="74"/>
      <c r="V95" s="74"/>
      <c r="W95" s="74"/>
      <c r="X95" s="74"/>
      <c r="Y95" s="74"/>
      <c r="Z95" s="74"/>
      <c r="AA95" s="74"/>
      <c r="AB95" s="1171"/>
      <c r="AC95" s="1171"/>
      <c r="AD95" s="74"/>
      <c r="AE95" s="74"/>
      <c r="AF95" s="74"/>
      <c r="AG95" s="74"/>
      <c r="AH95" s="74"/>
      <c r="AI95" s="74"/>
      <c r="AJ95" s="74"/>
      <c r="AK95" s="74"/>
      <c r="AL95" s="74"/>
      <c r="AM95" s="74"/>
      <c r="AN95" s="74"/>
      <c r="AO95" s="74"/>
      <c r="AP95" s="74"/>
      <c r="AQ95" s="74"/>
      <c r="AR95" s="74"/>
      <c r="AS95" s="74"/>
    </row>
    <row r="96" spans="1:45" x14ac:dyDescent="0.25">
      <c r="A96" s="74"/>
      <c r="B96" s="74"/>
      <c r="C96" s="74"/>
      <c r="D96" s="1397" t="s">
        <v>1364</v>
      </c>
      <c r="E96" s="1396" t="s">
        <v>842</v>
      </c>
      <c r="F96" s="1422" t="str">
        <f>IF(списки!C53=0,"",'Расчет после реализации'!D7)</f>
        <v/>
      </c>
      <c r="G96" s="1633"/>
      <c r="H96" s="1634"/>
      <c r="I96" s="1634"/>
      <c r="J96" s="1635"/>
      <c r="K96" s="1213"/>
      <c r="L96" s="74"/>
      <c r="M96" s="74"/>
      <c r="N96" s="1187"/>
      <c r="O96" s="74"/>
      <c r="P96" s="74"/>
      <c r="Q96" s="74"/>
      <c r="R96" s="74"/>
      <c r="S96" s="74"/>
      <c r="T96" s="74"/>
      <c r="U96" s="74"/>
      <c r="V96" s="74"/>
      <c r="W96" s="74"/>
      <c r="X96" s="74"/>
      <c r="Y96" s="74"/>
      <c r="Z96" s="74"/>
      <c r="AA96" s="74"/>
      <c r="AB96" s="1171"/>
      <c r="AC96" s="1171"/>
      <c r="AD96" s="74"/>
      <c r="AE96" s="74"/>
      <c r="AF96" s="74"/>
      <c r="AG96" s="74"/>
      <c r="AH96" s="74"/>
      <c r="AI96" s="74"/>
      <c r="AJ96" s="74"/>
      <c r="AK96" s="74"/>
      <c r="AL96" s="74"/>
      <c r="AM96" s="74"/>
      <c r="AN96" s="74"/>
      <c r="AO96" s="74"/>
      <c r="AP96" s="74"/>
      <c r="AQ96" s="74"/>
      <c r="AR96" s="74"/>
      <c r="AS96" s="74"/>
    </row>
    <row r="97" spans="1:45" ht="17.25" x14ac:dyDescent="0.25">
      <c r="A97" s="74"/>
      <c r="B97" s="74"/>
      <c r="C97" s="74"/>
      <c r="D97" s="1397" t="s">
        <v>1365</v>
      </c>
      <c r="E97" s="1396" t="s">
        <v>1366</v>
      </c>
      <c r="F97" s="1424" t="str">
        <f>IF(списки!C53=0,"",F96/('Ввод исходных данных'!G45+'Ввод исходных данных'!$G$23))</f>
        <v/>
      </c>
      <c r="G97" s="1633"/>
      <c r="H97" s="1634"/>
      <c r="I97" s="1634"/>
      <c r="J97" s="1635"/>
      <c r="K97" s="1213"/>
      <c r="L97" s="74"/>
      <c r="M97" s="74"/>
      <c r="N97" s="1187"/>
      <c r="O97" s="74"/>
      <c r="P97" s="74"/>
      <c r="Q97" s="74"/>
      <c r="R97" s="74"/>
      <c r="S97" s="74"/>
      <c r="T97" s="74"/>
      <c r="U97" s="74"/>
      <c r="V97" s="74"/>
      <c r="W97" s="74"/>
      <c r="X97" s="74"/>
      <c r="Y97" s="74"/>
      <c r="Z97" s="74"/>
      <c r="AA97" s="74"/>
      <c r="AB97" s="1171"/>
      <c r="AC97" s="1171"/>
      <c r="AD97" s="74"/>
      <c r="AE97" s="74"/>
      <c r="AF97" s="74"/>
      <c r="AG97" s="74"/>
      <c r="AH97" s="74"/>
      <c r="AI97" s="74"/>
      <c r="AJ97" s="74"/>
      <c r="AK97" s="74"/>
      <c r="AL97" s="74"/>
      <c r="AM97" s="74"/>
      <c r="AN97" s="74"/>
      <c r="AO97" s="74"/>
      <c r="AP97" s="74"/>
      <c r="AQ97" s="74"/>
      <c r="AR97" s="74"/>
      <c r="AS97" s="74"/>
    </row>
    <row r="98" spans="1:45" x14ac:dyDescent="0.25">
      <c r="A98" s="74"/>
      <c r="B98" s="74"/>
      <c r="C98" s="74"/>
      <c r="D98" s="74"/>
      <c r="E98" s="74"/>
      <c r="F98" s="74"/>
      <c r="G98" s="74"/>
      <c r="H98" s="74"/>
      <c r="I98" s="1213"/>
      <c r="J98" s="1213"/>
      <c r="K98" s="1213"/>
      <c r="L98" s="74"/>
      <c r="M98" s="74"/>
      <c r="N98" s="1187"/>
      <c r="O98" s="74"/>
      <c r="P98" s="74"/>
      <c r="Q98" s="74"/>
      <c r="R98" s="74"/>
      <c r="S98" s="74"/>
      <c r="T98" s="74"/>
      <c r="U98" s="74"/>
      <c r="V98" s="74"/>
      <c r="W98" s="74"/>
      <c r="X98" s="74"/>
      <c r="Y98" s="74"/>
      <c r="Z98" s="74"/>
      <c r="AA98" s="74"/>
      <c r="AB98" s="1171"/>
      <c r="AC98" s="1171"/>
      <c r="AD98" s="74"/>
      <c r="AE98" s="74"/>
      <c r="AF98" s="74"/>
      <c r="AG98" s="74"/>
      <c r="AH98" s="74"/>
      <c r="AI98" s="74"/>
      <c r="AJ98" s="74"/>
      <c r="AK98" s="74"/>
      <c r="AL98" s="74"/>
      <c r="AM98" s="74"/>
      <c r="AN98" s="74"/>
      <c r="AO98" s="74"/>
      <c r="AP98" s="74"/>
      <c r="AQ98" s="74"/>
      <c r="AR98" s="74"/>
      <c r="AS98" s="74"/>
    </row>
    <row r="99" spans="1:45" x14ac:dyDescent="0.25">
      <c r="A99" s="74"/>
      <c r="B99" s="74"/>
      <c r="C99" s="74"/>
      <c r="D99" s="74"/>
      <c r="E99" s="74"/>
      <c r="F99" s="74"/>
      <c r="G99" s="74"/>
      <c r="H99" s="74"/>
      <c r="I99" s="1213"/>
      <c r="J99" s="1213"/>
      <c r="K99" s="1213"/>
      <c r="L99" s="74"/>
      <c r="M99" s="74"/>
      <c r="N99" s="1187"/>
      <c r="O99" s="74"/>
      <c r="P99" s="74"/>
      <c r="Q99" s="74"/>
      <c r="R99" s="74"/>
      <c r="S99" s="74"/>
      <c r="T99" s="74"/>
      <c r="U99" s="74"/>
      <c r="V99" s="74"/>
      <c r="W99" s="74"/>
      <c r="X99" s="74"/>
      <c r="Y99" s="74"/>
      <c r="Z99" s="74"/>
      <c r="AA99" s="74"/>
      <c r="AB99" s="1171"/>
      <c r="AC99" s="1171"/>
      <c r="AD99" s="74"/>
      <c r="AE99" s="74"/>
      <c r="AF99" s="74"/>
      <c r="AG99" s="74"/>
      <c r="AH99" s="74"/>
      <c r="AI99" s="74"/>
      <c r="AJ99" s="74"/>
      <c r="AK99" s="74"/>
      <c r="AL99" s="74"/>
      <c r="AM99" s="74"/>
      <c r="AN99" s="74"/>
      <c r="AO99" s="74"/>
      <c r="AP99" s="74"/>
      <c r="AQ99" s="74"/>
      <c r="AR99" s="74"/>
      <c r="AS99" s="74"/>
    </row>
    <row r="100" spans="1:45" x14ac:dyDescent="0.25">
      <c r="A100" s="74"/>
      <c r="B100" s="74"/>
      <c r="C100" s="74"/>
      <c r="D100" s="74"/>
      <c r="E100" s="74"/>
      <c r="F100" s="74"/>
      <c r="G100" s="74"/>
      <c r="H100" s="74"/>
      <c r="I100" s="1213"/>
      <c r="J100" s="1213"/>
      <c r="K100" s="1213"/>
      <c r="L100" s="74"/>
      <c r="M100" s="74"/>
      <c r="N100" s="1187"/>
      <c r="O100" s="74"/>
      <c r="P100" s="74"/>
      <c r="Q100" s="74"/>
      <c r="R100" s="74"/>
      <c r="S100" s="74"/>
      <c r="T100" s="74"/>
      <c r="U100" s="74"/>
      <c r="V100" s="74"/>
      <c r="W100" s="74"/>
      <c r="X100" s="74"/>
      <c r="Y100" s="74"/>
      <c r="Z100" s="74"/>
      <c r="AA100" s="74"/>
      <c r="AB100" s="1171"/>
      <c r="AC100" s="1171"/>
      <c r="AD100" s="74"/>
      <c r="AE100" s="74"/>
      <c r="AF100" s="74"/>
      <c r="AG100" s="74"/>
      <c r="AH100" s="74"/>
      <c r="AI100" s="74"/>
      <c r="AJ100" s="74"/>
      <c r="AK100" s="74"/>
      <c r="AL100" s="74"/>
      <c r="AM100" s="74"/>
      <c r="AN100" s="74"/>
      <c r="AO100" s="74"/>
      <c r="AP100" s="74"/>
      <c r="AQ100" s="74"/>
      <c r="AR100" s="74"/>
      <c r="AS100" s="74"/>
    </row>
    <row r="101" spans="1:45" x14ac:dyDescent="0.25">
      <c r="A101" s="74"/>
      <c r="B101" s="74"/>
      <c r="C101" s="74"/>
      <c r="D101" s="74"/>
      <c r="E101" s="74"/>
      <c r="F101" s="74"/>
      <c r="G101" s="74"/>
      <c r="H101" s="74"/>
      <c r="I101" s="1213"/>
      <c r="J101" s="1213"/>
      <c r="K101" s="1213"/>
      <c r="L101" s="74"/>
      <c r="M101" s="74"/>
      <c r="N101" s="1187"/>
      <c r="O101" s="74"/>
      <c r="P101" s="74"/>
      <c r="Q101" s="74"/>
      <c r="R101" s="74"/>
      <c r="S101" s="74"/>
      <c r="T101" s="74"/>
      <c r="U101" s="74"/>
      <c r="V101" s="74"/>
      <c r="W101" s="74"/>
      <c r="X101" s="74"/>
      <c r="Y101" s="74"/>
      <c r="Z101" s="74"/>
      <c r="AA101" s="74"/>
      <c r="AB101" s="1171"/>
      <c r="AC101" s="1171"/>
      <c r="AD101" s="74"/>
      <c r="AE101" s="74"/>
      <c r="AF101" s="74"/>
      <c r="AG101" s="74"/>
      <c r="AH101" s="74"/>
      <c r="AI101" s="74"/>
      <c r="AJ101" s="74"/>
      <c r="AK101" s="74"/>
      <c r="AL101" s="74"/>
      <c r="AM101" s="74"/>
      <c r="AN101" s="74"/>
      <c r="AO101" s="74"/>
      <c r="AP101" s="74"/>
      <c r="AQ101" s="74"/>
      <c r="AR101" s="74"/>
      <c r="AS101" s="74"/>
    </row>
    <row r="102" spans="1:45" x14ac:dyDescent="0.25">
      <c r="A102" s="74"/>
      <c r="B102" s="74"/>
      <c r="C102" s="74"/>
      <c r="D102" s="74"/>
      <c r="E102" s="74"/>
      <c r="F102" s="74"/>
      <c r="G102" s="74"/>
      <c r="H102" s="74"/>
      <c r="I102" s="74"/>
      <c r="J102" s="74"/>
      <c r="K102" s="74"/>
      <c r="L102" s="74"/>
      <c r="M102" s="74"/>
      <c r="N102" s="1187"/>
      <c r="O102" s="74"/>
      <c r="P102" s="74"/>
      <c r="Q102" s="74"/>
      <c r="R102" s="74"/>
      <c r="S102" s="74"/>
      <c r="T102" s="74"/>
      <c r="U102" s="74"/>
      <c r="V102" s="74"/>
      <c r="W102" s="74"/>
      <c r="X102" s="74"/>
      <c r="Y102" s="74"/>
      <c r="Z102" s="74"/>
      <c r="AA102" s="74"/>
      <c r="AB102" s="1171"/>
      <c r="AC102" s="1171"/>
      <c r="AD102" s="74"/>
      <c r="AE102" s="74"/>
      <c r="AF102" s="74"/>
      <c r="AG102" s="74"/>
      <c r="AH102" s="74"/>
      <c r="AI102" s="74"/>
      <c r="AJ102" s="74"/>
      <c r="AK102" s="74"/>
      <c r="AL102" s="74"/>
      <c r="AM102" s="74"/>
      <c r="AN102" s="74"/>
      <c r="AO102" s="74"/>
      <c r="AP102" s="74"/>
      <c r="AQ102" s="74"/>
      <c r="AR102" s="74"/>
      <c r="AS102" s="74"/>
    </row>
    <row r="103" spans="1:45" x14ac:dyDescent="0.25">
      <c r="A103" s="74"/>
      <c r="B103" s="74"/>
      <c r="C103" s="74"/>
      <c r="D103" s="74"/>
      <c r="E103" s="74"/>
      <c r="F103" s="74"/>
      <c r="G103" s="74"/>
      <c r="H103" s="74"/>
      <c r="I103" s="74"/>
      <c r="J103" s="74"/>
      <c r="K103" s="74"/>
      <c r="L103" s="74"/>
      <c r="M103" s="74"/>
      <c r="N103" s="1187"/>
      <c r="O103" s="74"/>
      <c r="P103" s="74"/>
      <c r="Q103" s="74"/>
      <c r="R103" s="74"/>
      <c r="S103" s="74"/>
      <c r="T103" s="74"/>
      <c r="U103" s="74"/>
      <c r="V103" s="74"/>
      <c r="W103" s="74"/>
      <c r="X103" s="74"/>
      <c r="Y103" s="74"/>
      <c r="Z103" s="74"/>
      <c r="AA103" s="74"/>
      <c r="AB103" s="1171"/>
      <c r="AC103" s="1171"/>
      <c r="AD103" s="74"/>
      <c r="AE103" s="74"/>
      <c r="AF103" s="74"/>
      <c r="AG103" s="74"/>
      <c r="AH103" s="74"/>
      <c r="AI103" s="74"/>
      <c r="AJ103" s="74"/>
      <c r="AK103" s="74"/>
      <c r="AL103" s="74"/>
      <c r="AM103" s="74"/>
      <c r="AN103" s="74"/>
      <c r="AO103" s="74"/>
      <c r="AP103" s="74"/>
      <c r="AQ103" s="74"/>
      <c r="AR103" s="74"/>
      <c r="AS103" s="74"/>
    </row>
    <row r="104" spans="1:45" x14ac:dyDescent="0.25">
      <c r="A104" s="74"/>
      <c r="B104" s="74"/>
      <c r="C104" s="74"/>
      <c r="D104" s="74"/>
      <c r="E104" s="74"/>
      <c r="F104" s="74"/>
      <c r="G104" s="74"/>
      <c r="H104" s="74"/>
      <c r="I104" s="74"/>
      <c r="J104" s="74"/>
      <c r="K104" s="74"/>
      <c r="L104" s="74"/>
      <c r="M104" s="74"/>
      <c r="N104" s="1187"/>
      <c r="O104" s="74"/>
      <c r="P104" s="74"/>
      <c r="Q104" s="74"/>
      <c r="R104" s="74"/>
      <c r="S104" s="74"/>
      <c r="T104" s="74"/>
      <c r="U104" s="74"/>
      <c r="V104" s="74"/>
      <c r="W104" s="74"/>
      <c r="X104" s="74"/>
      <c r="Y104" s="74"/>
      <c r="Z104" s="74"/>
      <c r="AA104" s="74"/>
      <c r="AB104" s="1171"/>
      <c r="AC104" s="1171"/>
      <c r="AD104" s="74"/>
      <c r="AE104" s="74"/>
      <c r="AF104" s="74"/>
      <c r="AG104" s="74"/>
      <c r="AH104" s="74"/>
      <c r="AI104" s="74"/>
      <c r="AJ104" s="74"/>
      <c r="AK104" s="74"/>
      <c r="AL104" s="74"/>
      <c r="AM104" s="74"/>
      <c r="AN104" s="74"/>
      <c r="AO104" s="74"/>
      <c r="AP104" s="74"/>
      <c r="AQ104" s="74"/>
      <c r="AR104" s="74"/>
      <c r="AS104" s="74"/>
    </row>
    <row r="105" spans="1:45" x14ac:dyDescent="0.25">
      <c r="A105" s="74"/>
      <c r="B105" s="74"/>
      <c r="C105" s="74"/>
      <c r="D105" s="74"/>
      <c r="E105" s="74"/>
      <c r="F105" s="74"/>
      <c r="G105" s="74"/>
      <c r="H105" s="74"/>
      <c r="I105" s="74"/>
      <c r="J105" s="74"/>
      <c r="K105" s="74"/>
      <c r="L105" s="74"/>
      <c r="M105" s="74"/>
      <c r="N105" s="1187"/>
      <c r="O105" s="74"/>
      <c r="P105" s="74"/>
      <c r="Q105" s="74"/>
      <c r="R105" s="74"/>
      <c r="S105" s="74"/>
      <c r="T105" s="74"/>
      <c r="U105" s="74"/>
      <c r="V105" s="74"/>
      <c r="W105" s="74"/>
      <c r="X105" s="74"/>
      <c r="Y105" s="74"/>
      <c r="Z105" s="74"/>
      <c r="AA105" s="74"/>
      <c r="AB105" s="1171"/>
      <c r="AC105" s="1171"/>
      <c r="AD105" s="74"/>
      <c r="AE105" s="74"/>
      <c r="AF105" s="74"/>
      <c r="AG105" s="74"/>
      <c r="AH105" s="74"/>
      <c r="AI105" s="74"/>
      <c r="AJ105" s="74"/>
      <c r="AK105" s="74"/>
      <c r="AL105" s="74"/>
      <c r="AM105" s="74"/>
      <c r="AN105" s="74"/>
      <c r="AO105" s="74"/>
      <c r="AP105" s="74"/>
      <c r="AQ105" s="74"/>
      <c r="AR105" s="74"/>
      <c r="AS105" s="74"/>
    </row>
    <row r="106" spans="1:45" x14ac:dyDescent="0.25">
      <c r="A106" s="74"/>
      <c r="B106" s="74"/>
      <c r="C106" s="74"/>
      <c r="D106" s="74"/>
      <c r="E106" s="74"/>
      <c r="F106" s="74"/>
      <c r="G106" s="74"/>
      <c r="H106" s="74"/>
      <c r="I106" s="74"/>
      <c r="J106" s="74"/>
      <c r="K106" s="74"/>
      <c r="L106" s="74"/>
      <c r="M106" s="74"/>
      <c r="N106" s="1187"/>
      <c r="O106" s="74"/>
      <c r="P106" s="74"/>
      <c r="Q106" s="74"/>
      <c r="R106" s="74"/>
      <c r="S106" s="74"/>
      <c r="T106" s="74"/>
      <c r="U106" s="74"/>
      <c r="V106" s="74"/>
      <c r="W106" s="74"/>
      <c r="X106" s="74"/>
      <c r="Y106" s="74"/>
      <c r="Z106" s="74"/>
      <c r="AA106" s="74"/>
      <c r="AB106" s="1171"/>
      <c r="AC106" s="1171"/>
      <c r="AD106" s="74"/>
      <c r="AE106" s="74"/>
      <c r="AF106" s="74"/>
      <c r="AG106" s="74"/>
      <c r="AH106" s="74"/>
      <c r="AI106" s="74"/>
      <c r="AJ106" s="74"/>
      <c r="AK106" s="74"/>
      <c r="AL106" s="74"/>
      <c r="AM106" s="74"/>
      <c r="AN106" s="74"/>
      <c r="AO106" s="74"/>
      <c r="AP106" s="74"/>
      <c r="AQ106" s="74"/>
      <c r="AR106" s="74"/>
      <c r="AS106" s="74"/>
    </row>
    <row r="107" spans="1:45" x14ac:dyDescent="0.25">
      <c r="A107" s="74"/>
      <c r="B107" s="74"/>
      <c r="C107" s="74"/>
      <c r="D107" s="74"/>
      <c r="E107" s="74"/>
      <c r="F107" s="74"/>
      <c r="G107" s="74"/>
      <c r="H107" s="74"/>
      <c r="I107" s="74"/>
      <c r="J107" s="74"/>
      <c r="K107" s="74"/>
      <c r="L107" s="74"/>
      <c r="M107" s="74"/>
      <c r="N107" s="1187"/>
      <c r="O107" s="74"/>
      <c r="P107" s="74"/>
      <c r="Q107" s="74"/>
      <c r="R107" s="74"/>
      <c r="S107" s="74"/>
      <c r="T107" s="74"/>
      <c r="U107" s="74"/>
      <c r="V107" s="74"/>
      <c r="W107" s="74"/>
      <c r="X107" s="74"/>
      <c r="Y107" s="74"/>
      <c r="Z107" s="74"/>
      <c r="AA107" s="74"/>
      <c r="AB107" s="1171"/>
      <c r="AC107" s="1171"/>
      <c r="AD107" s="74"/>
      <c r="AE107" s="74"/>
      <c r="AF107" s="74"/>
      <c r="AG107" s="74"/>
      <c r="AH107" s="74"/>
      <c r="AI107" s="74"/>
      <c r="AJ107" s="74"/>
      <c r="AK107" s="74"/>
      <c r="AL107" s="74"/>
      <c r="AM107" s="74"/>
      <c r="AN107" s="74"/>
      <c r="AO107" s="74"/>
      <c r="AP107" s="74"/>
      <c r="AQ107" s="74"/>
      <c r="AR107" s="74"/>
      <c r="AS107" s="74"/>
    </row>
    <row r="108" spans="1:45" x14ac:dyDescent="0.25">
      <c r="A108" s="74"/>
      <c r="B108" s="74"/>
      <c r="C108" s="74"/>
      <c r="D108" s="74"/>
      <c r="E108" s="74"/>
      <c r="F108" s="74"/>
      <c r="G108" s="74"/>
      <c r="H108" s="74"/>
      <c r="I108" s="74"/>
      <c r="J108" s="74"/>
      <c r="K108" s="74"/>
      <c r="L108" s="74"/>
      <c r="M108" s="74"/>
      <c r="N108" s="1187"/>
      <c r="O108" s="74"/>
      <c r="P108" s="74"/>
      <c r="Q108" s="74"/>
      <c r="R108" s="74"/>
      <c r="S108" s="74"/>
      <c r="T108" s="74"/>
      <c r="U108" s="74"/>
      <c r="V108" s="74"/>
      <c r="W108" s="74"/>
      <c r="X108" s="74"/>
      <c r="Y108" s="74"/>
      <c r="Z108" s="74"/>
      <c r="AA108" s="74"/>
      <c r="AB108" s="1171"/>
      <c r="AC108" s="1171"/>
      <c r="AD108" s="74"/>
      <c r="AE108" s="74"/>
      <c r="AF108" s="74"/>
      <c r="AG108" s="74"/>
      <c r="AH108" s="74"/>
      <c r="AI108" s="74"/>
      <c r="AJ108" s="74"/>
      <c r="AK108" s="74"/>
      <c r="AL108" s="74"/>
      <c r="AM108" s="74"/>
      <c r="AN108" s="74"/>
      <c r="AO108" s="74"/>
      <c r="AP108" s="74"/>
      <c r="AQ108" s="74"/>
      <c r="AR108" s="74"/>
      <c r="AS108" s="74"/>
    </row>
    <row r="109" spans="1:45" x14ac:dyDescent="0.25">
      <c r="A109" s="74"/>
      <c r="B109" s="74"/>
      <c r="C109" s="74"/>
      <c r="D109" s="74"/>
      <c r="E109" s="74"/>
      <c r="F109" s="74"/>
      <c r="G109" s="74"/>
      <c r="H109" s="74"/>
      <c r="I109" s="74"/>
      <c r="J109" s="74"/>
      <c r="K109" s="74"/>
      <c r="L109" s="74"/>
      <c r="M109" s="74"/>
      <c r="N109" s="1187"/>
      <c r="O109" s="74"/>
      <c r="P109" s="74"/>
      <c r="Q109" s="74"/>
      <c r="R109" s="74"/>
      <c r="S109" s="74"/>
      <c r="T109" s="74"/>
      <c r="U109" s="74"/>
      <c r="V109" s="74"/>
      <c r="W109" s="74"/>
      <c r="X109" s="74"/>
      <c r="Y109" s="74"/>
      <c r="Z109" s="74"/>
      <c r="AA109" s="74"/>
      <c r="AB109" s="1171"/>
      <c r="AC109" s="1171"/>
      <c r="AD109" s="74"/>
      <c r="AE109" s="74"/>
      <c r="AF109" s="74"/>
      <c r="AG109" s="74"/>
      <c r="AH109" s="74"/>
      <c r="AI109" s="74"/>
      <c r="AJ109" s="74"/>
      <c r="AK109" s="74"/>
      <c r="AL109" s="74"/>
      <c r="AM109" s="74"/>
      <c r="AN109" s="74"/>
      <c r="AO109" s="74"/>
      <c r="AP109" s="74"/>
      <c r="AQ109" s="74"/>
      <c r="AR109" s="74"/>
      <c r="AS109" s="74"/>
    </row>
    <row r="110" spans="1:45" x14ac:dyDescent="0.25">
      <c r="A110" s="74"/>
      <c r="B110" s="74"/>
      <c r="C110" s="74"/>
      <c r="D110" s="74"/>
      <c r="E110" s="74"/>
      <c r="F110" s="74"/>
      <c r="G110" s="74"/>
      <c r="H110" s="74"/>
      <c r="I110" s="74"/>
      <c r="J110" s="74"/>
      <c r="K110" s="74"/>
      <c r="L110" s="74"/>
      <c r="M110" s="74"/>
      <c r="N110" s="1187"/>
      <c r="O110" s="74"/>
      <c r="P110" s="74"/>
      <c r="Q110" s="74"/>
      <c r="R110" s="74"/>
      <c r="S110" s="74"/>
      <c r="T110" s="74"/>
      <c r="U110" s="74"/>
      <c r="V110" s="74"/>
      <c r="W110" s="74"/>
      <c r="X110" s="74"/>
      <c r="Y110" s="74"/>
      <c r="Z110" s="74"/>
      <c r="AA110" s="74"/>
      <c r="AB110" s="1171"/>
      <c r="AC110" s="1171"/>
      <c r="AD110" s="74"/>
      <c r="AE110" s="74"/>
      <c r="AF110" s="74"/>
      <c r="AG110" s="74"/>
      <c r="AH110" s="74"/>
      <c r="AI110" s="74"/>
      <c r="AJ110" s="74"/>
      <c r="AK110" s="74"/>
      <c r="AL110" s="74"/>
      <c r="AM110" s="74"/>
      <c r="AN110" s="74"/>
      <c r="AO110" s="74"/>
      <c r="AP110" s="74"/>
      <c r="AQ110" s="74"/>
      <c r="AR110" s="74"/>
      <c r="AS110" s="74"/>
    </row>
    <row r="111" spans="1:45" x14ac:dyDescent="0.25">
      <c r="A111" s="74"/>
      <c r="B111" s="74"/>
      <c r="C111" s="74"/>
      <c r="D111" s="74"/>
      <c r="E111" s="74"/>
      <c r="F111" s="74"/>
      <c r="G111" s="74"/>
      <c r="H111" s="74"/>
      <c r="I111" s="74"/>
      <c r="J111" s="74"/>
      <c r="K111" s="74"/>
      <c r="L111" s="74"/>
      <c r="M111" s="74"/>
      <c r="N111" s="1187"/>
      <c r="O111" s="74"/>
      <c r="P111" s="74"/>
      <c r="Q111" s="74"/>
      <c r="R111" s="74"/>
      <c r="S111" s="74"/>
      <c r="T111" s="74"/>
      <c r="U111" s="74"/>
      <c r="V111" s="74"/>
      <c r="W111" s="74"/>
      <c r="X111" s="74"/>
      <c r="Y111" s="74"/>
      <c r="Z111" s="74"/>
      <c r="AA111" s="74"/>
      <c r="AB111" s="1171"/>
      <c r="AC111" s="1171"/>
      <c r="AD111" s="74"/>
      <c r="AE111" s="74"/>
      <c r="AF111" s="74"/>
      <c r="AG111" s="74"/>
      <c r="AH111" s="74"/>
      <c r="AI111" s="74"/>
      <c r="AJ111" s="74"/>
      <c r="AK111" s="74"/>
      <c r="AL111" s="74"/>
      <c r="AM111" s="74"/>
      <c r="AN111" s="74"/>
      <c r="AO111" s="74"/>
      <c r="AP111" s="74"/>
      <c r="AQ111" s="74"/>
      <c r="AR111" s="74"/>
      <c r="AS111" s="74"/>
    </row>
    <row r="112" spans="1:45" x14ac:dyDescent="0.25">
      <c r="A112" s="74"/>
      <c r="B112" s="74"/>
      <c r="C112" s="74"/>
      <c r="D112" s="74"/>
      <c r="E112" s="74"/>
      <c r="F112" s="74"/>
      <c r="G112" s="74"/>
      <c r="H112" s="74"/>
      <c r="I112" s="74"/>
      <c r="J112" s="74"/>
      <c r="K112" s="74"/>
      <c r="L112" s="74"/>
      <c r="M112" s="74"/>
      <c r="N112" s="1187"/>
      <c r="O112" s="74"/>
      <c r="P112" s="74"/>
      <c r="Q112" s="74"/>
      <c r="R112" s="74"/>
      <c r="S112" s="74"/>
      <c r="T112" s="74"/>
      <c r="U112" s="74"/>
      <c r="V112" s="74"/>
      <c r="W112" s="74"/>
      <c r="X112" s="74"/>
      <c r="Y112" s="74"/>
      <c r="Z112" s="74"/>
      <c r="AA112" s="74"/>
      <c r="AB112" s="1171"/>
      <c r="AC112" s="1171"/>
      <c r="AD112" s="74"/>
      <c r="AE112" s="74"/>
      <c r="AF112" s="74"/>
      <c r="AG112" s="74"/>
      <c r="AH112" s="74"/>
      <c r="AI112" s="74"/>
      <c r="AJ112" s="74"/>
      <c r="AK112" s="74"/>
      <c r="AL112" s="74"/>
      <c r="AM112" s="74"/>
      <c r="AN112" s="74"/>
      <c r="AO112" s="74"/>
      <c r="AP112" s="74"/>
      <c r="AQ112" s="74"/>
      <c r="AR112" s="74"/>
      <c r="AS112" s="74"/>
    </row>
    <row r="113" spans="1:45" x14ac:dyDescent="0.25">
      <c r="A113" s="74"/>
      <c r="B113" s="74"/>
      <c r="C113" s="74"/>
      <c r="D113" s="74"/>
      <c r="E113" s="74"/>
      <c r="F113" s="74"/>
      <c r="G113" s="74"/>
      <c r="H113" s="74"/>
      <c r="I113" s="74"/>
      <c r="J113" s="74"/>
      <c r="K113" s="74"/>
      <c r="L113" s="74"/>
      <c r="M113" s="74"/>
      <c r="N113" s="1187"/>
      <c r="O113" s="74"/>
      <c r="P113" s="74"/>
      <c r="Q113" s="74"/>
      <c r="R113" s="74"/>
      <c r="S113" s="74"/>
      <c r="T113" s="74"/>
      <c r="U113" s="74"/>
      <c r="V113" s="74"/>
      <c r="W113" s="74"/>
      <c r="X113" s="74"/>
      <c r="Y113" s="74"/>
      <c r="Z113" s="74"/>
      <c r="AA113" s="74"/>
      <c r="AB113" s="1171"/>
      <c r="AC113" s="1171"/>
      <c r="AD113" s="74"/>
      <c r="AE113" s="74"/>
      <c r="AF113" s="74"/>
      <c r="AG113" s="74"/>
      <c r="AH113" s="74"/>
      <c r="AI113" s="74"/>
      <c r="AJ113" s="74"/>
      <c r="AK113" s="74"/>
      <c r="AL113" s="74"/>
      <c r="AM113" s="74"/>
      <c r="AN113" s="74"/>
      <c r="AO113" s="74"/>
      <c r="AP113" s="74"/>
      <c r="AQ113" s="74"/>
      <c r="AR113" s="74"/>
      <c r="AS113" s="74"/>
    </row>
    <row r="114" spans="1:45" x14ac:dyDescent="0.25">
      <c r="A114" s="74"/>
      <c r="B114" s="74"/>
      <c r="C114" s="74"/>
      <c r="D114" s="74"/>
      <c r="E114" s="74"/>
      <c r="F114" s="74"/>
      <c r="G114" s="74"/>
      <c r="H114" s="74"/>
      <c r="I114" s="74"/>
      <c r="J114" s="74"/>
      <c r="K114" s="74"/>
      <c r="L114" s="74"/>
      <c r="M114" s="74"/>
      <c r="N114" s="1187"/>
      <c r="O114" s="74"/>
      <c r="P114" s="74"/>
      <c r="Q114" s="74"/>
      <c r="R114" s="74"/>
      <c r="S114" s="74"/>
      <c r="T114" s="74"/>
      <c r="U114" s="74"/>
      <c r="V114" s="74"/>
      <c r="W114" s="74"/>
      <c r="X114" s="74"/>
      <c r="Y114" s="74"/>
      <c r="Z114" s="74"/>
      <c r="AA114" s="74"/>
      <c r="AB114" s="1171"/>
      <c r="AC114" s="1171"/>
      <c r="AD114" s="74"/>
      <c r="AE114" s="74"/>
      <c r="AF114" s="74"/>
      <c r="AG114" s="74"/>
      <c r="AH114" s="74"/>
      <c r="AI114" s="74"/>
      <c r="AJ114" s="74"/>
      <c r="AK114" s="74"/>
      <c r="AL114" s="74"/>
      <c r="AM114" s="74"/>
      <c r="AN114" s="74"/>
      <c r="AO114" s="74"/>
      <c r="AP114" s="74"/>
      <c r="AQ114" s="74"/>
      <c r="AR114" s="74"/>
      <c r="AS114" s="74"/>
    </row>
    <row r="115" spans="1:45" x14ac:dyDescent="0.25">
      <c r="A115" s="74"/>
      <c r="B115" s="74"/>
      <c r="C115" s="74"/>
      <c r="D115" s="74"/>
      <c r="E115" s="74"/>
      <c r="F115" s="74"/>
      <c r="G115" s="74"/>
      <c r="H115" s="74"/>
      <c r="I115" s="74"/>
      <c r="J115" s="74"/>
      <c r="K115" s="74"/>
      <c r="L115" s="74"/>
      <c r="M115" s="74"/>
      <c r="N115" s="1187"/>
      <c r="O115" s="74"/>
      <c r="P115" s="74"/>
      <c r="Q115" s="74"/>
      <c r="R115" s="74"/>
      <c r="S115" s="74"/>
      <c r="T115" s="74"/>
      <c r="U115" s="74"/>
      <c r="V115" s="74"/>
      <c r="W115" s="74"/>
      <c r="X115" s="74"/>
      <c r="Y115" s="74"/>
      <c r="Z115" s="74"/>
      <c r="AA115" s="74"/>
      <c r="AB115" s="1171"/>
      <c r="AC115" s="1171"/>
      <c r="AD115" s="74"/>
      <c r="AE115" s="74"/>
      <c r="AF115" s="74"/>
      <c r="AG115" s="74"/>
      <c r="AH115" s="74"/>
      <c r="AI115" s="74"/>
      <c r="AJ115" s="74"/>
      <c r="AK115" s="74"/>
      <c r="AL115" s="74"/>
      <c r="AM115" s="74"/>
      <c r="AN115" s="74"/>
      <c r="AO115" s="74"/>
      <c r="AP115" s="74"/>
      <c r="AQ115" s="74"/>
      <c r="AR115" s="74"/>
      <c r="AS115" s="74"/>
    </row>
    <row r="116" spans="1:45" x14ac:dyDescent="0.25">
      <c r="A116" s="74"/>
      <c r="B116" s="74"/>
      <c r="C116" s="74"/>
      <c r="D116" s="74"/>
      <c r="E116" s="74"/>
      <c r="F116" s="74"/>
      <c r="G116" s="74"/>
      <c r="H116" s="74"/>
      <c r="I116" s="74"/>
      <c r="J116" s="74"/>
      <c r="K116" s="74"/>
      <c r="L116" s="74"/>
      <c r="M116" s="74"/>
      <c r="N116" s="1187"/>
      <c r="O116" s="74"/>
      <c r="P116" s="74"/>
      <c r="Q116" s="74"/>
      <c r="R116" s="74"/>
      <c r="S116" s="74"/>
      <c r="T116" s="74"/>
      <c r="U116" s="74"/>
      <c r="V116" s="74"/>
      <c r="W116" s="74"/>
      <c r="X116" s="74"/>
      <c r="Y116" s="74"/>
      <c r="Z116" s="74"/>
      <c r="AA116" s="74"/>
      <c r="AB116" s="1171"/>
      <c r="AC116" s="1171"/>
      <c r="AD116" s="74"/>
      <c r="AE116" s="74"/>
      <c r="AF116" s="74"/>
      <c r="AG116" s="74"/>
      <c r="AH116" s="74"/>
      <c r="AI116" s="74"/>
      <c r="AJ116" s="74"/>
      <c r="AK116" s="74"/>
      <c r="AL116" s="74"/>
      <c r="AM116" s="74"/>
      <c r="AN116" s="74"/>
      <c r="AO116" s="74"/>
      <c r="AP116" s="74"/>
      <c r="AQ116" s="74"/>
      <c r="AR116" s="74"/>
      <c r="AS116" s="74"/>
    </row>
    <row r="117" spans="1:45" x14ac:dyDescent="0.25">
      <c r="A117" s="74"/>
      <c r="B117" s="74"/>
      <c r="C117" s="74"/>
      <c r="D117" s="74"/>
      <c r="E117" s="74"/>
      <c r="F117" s="74"/>
      <c r="G117" s="74"/>
      <c r="H117" s="74"/>
      <c r="I117" s="74"/>
      <c r="J117" s="74"/>
      <c r="K117" s="74"/>
      <c r="L117" s="74"/>
      <c r="M117" s="74"/>
      <c r="N117" s="1187"/>
      <c r="O117" s="74"/>
      <c r="P117" s="74"/>
      <c r="Q117" s="74"/>
      <c r="R117" s="74"/>
      <c r="S117" s="74"/>
      <c r="T117" s="74"/>
      <c r="U117" s="74"/>
      <c r="V117" s="74"/>
      <c r="W117" s="74"/>
      <c r="X117" s="74"/>
      <c r="Y117" s="74"/>
      <c r="Z117" s="74"/>
      <c r="AA117" s="74"/>
      <c r="AB117" s="1171"/>
      <c r="AC117" s="1171"/>
      <c r="AD117" s="74"/>
      <c r="AE117" s="74"/>
      <c r="AF117" s="74"/>
      <c r="AG117" s="74"/>
      <c r="AH117" s="74"/>
      <c r="AI117" s="74"/>
      <c r="AJ117" s="74"/>
      <c r="AK117" s="74"/>
      <c r="AL117" s="74"/>
      <c r="AM117" s="74"/>
      <c r="AN117" s="74"/>
      <c r="AO117" s="74"/>
      <c r="AP117" s="74"/>
      <c r="AQ117" s="74"/>
      <c r="AR117" s="74"/>
      <c r="AS117" s="74"/>
    </row>
    <row r="118" spans="1:45" x14ac:dyDescent="0.25">
      <c r="A118" s="74"/>
      <c r="B118" s="74"/>
      <c r="C118" s="74"/>
      <c r="D118" s="74"/>
      <c r="E118" s="74"/>
      <c r="F118" s="74"/>
      <c r="G118" s="74"/>
      <c r="H118" s="74"/>
      <c r="I118" s="74"/>
      <c r="J118" s="74"/>
      <c r="K118" s="74"/>
      <c r="L118" s="74"/>
      <c r="M118" s="74"/>
      <c r="N118" s="1187"/>
      <c r="O118" s="74"/>
      <c r="P118" s="74"/>
      <c r="Q118" s="74"/>
      <c r="R118" s="74"/>
      <c r="S118" s="74"/>
      <c r="T118" s="74"/>
      <c r="U118" s="74"/>
      <c r="V118" s="74"/>
      <c r="W118" s="74"/>
      <c r="X118" s="74"/>
      <c r="Y118" s="74"/>
      <c r="Z118" s="74"/>
      <c r="AA118" s="74"/>
      <c r="AB118" s="1171"/>
      <c r="AC118" s="1171"/>
      <c r="AD118" s="74"/>
      <c r="AE118" s="74"/>
      <c r="AF118" s="74"/>
      <c r="AG118" s="74"/>
      <c r="AH118" s="74"/>
      <c r="AI118" s="74"/>
      <c r="AJ118" s="74"/>
      <c r="AK118" s="74"/>
      <c r="AL118" s="74"/>
      <c r="AM118" s="74"/>
      <c r="AN118" s="74"/>
      <c r="AO118" s="74"/>
      <c r="AP118" s="74"/>
      <c r="AQ118" s="74"/>
      <c r="AR118" s="74"/>
      <c r="AS118" s="74"/>
    </row>
    <row r="119" spans="1:45" x14ac:dyDescent="0.25">
      <c r="A119" s="74"/>
      <c r="B119" s="74"/>
      <c r="C119" s="74"/>
      <c r="D119" s="74"/>
      <c r="E119" s="74"/>
      <c r="F119" s="74"/>
      <c r="G119" s="74"/>
      <c r="H119" s="74"/>
      <c r="I119" s="74"/>
      <c r="J119" s="74"/>
      <c r="K119" s="74"/>
      <c r="L119" s="74"/>
      <c r="M119" s="74"/>
      <c r="N119" s="1187"/>
      <c r="O119" s="74"/>
      <c r="P119" s="74"/>
      <c r="Q119" s="74"/>
      <c r="R119" s="74"/>
      <c r="S119" s="74"/>
      <c r="T119" s="74"/>
      <c r="U119" s="74"/>
      <c r="V119" s="74"/>
      <c r="W119" s="74"/>
      <c r="X119" s="74"/>
      <c r="Y119" s="74"/>
      <c r="Z119" s="74"/>
      <c r="AA119" s="74"/>
      <c r="AB119" s="1171"/>
      <c r="AC119" s="1171"/>
      <c r="AD119" s="74"/>
      <c r="AE119" s="74"/>
      <c r="AF119" s="74"/>
      <c r="AG119" s="74"/>
      <c r="AH119" s="74"/>
      <c r="AI119" s="74"/>
      <c r="AJ119" s="74"/>
      <c r="AK119" s="74"/>
      <c r="AL119" s="74"/>
      <c r="AM119" s="74"/>
      <c r="AN119" s="74"/>
      <c r="AO119" s="74"/>
      <c r="AP119" s="74"/>
      <c r="AQ119" s="74"/>
      <c r="AR119" s="74"/>
      <c r="AS119" s="74"/>
    </row>
    <row r="120" spans="1:45" x14ac:dyDescent="0.25">
      <c r="A120" s="74"/>
      <c r="B120" s="74"/>
      <c r="C120" s="74"/>
      <c r="D120" s="74"/>
      <c r="E120" s="74"/>
      <c r="F120" s="74"/>
      <c r="G120" s="74"/>
      <c r="H120" s="74"/>
      <c r="I120" s="74"/>
      <c r="J120" s="74"/>
      <c r="K120" s="74"/>
      <c r="L120" s="74"/>
      <c r="M120" s="74"/>
      <c r="N120" s="1187"/>
      <c r="O120" s="74"/>
      <c r="P120" s="74"/>
      <c r="Q120" s="74"/>
      <c r="R120" s="74"/>
      <c r="S120" s="74"/>
      <c r="T120" s="74"/>
      <c r="U120" s="74"/>
      <c r="V120" s="74"/>
      <c r="W120" s="74"/>
      <c r="X120" s="74"/>
      <c r="Y120" s="74"/>
      <c r="Z120" s="74"/>
      <c r="AA120" s="74"/>
      <c r="AB120" s="1171"/>
      <c r="AC120" s="1171"/>
      <c r="AD120" s="74"/>
      <c r="AE120" s="74"/>
      <c r="AF120" s="74"/>
      <c r="AG120" s="74"/>
      <c r="AH120" s="74"/>
      <c r="AI120" s="74"/>
      <c r="AJ120" s="74"/>
      <c r="AK120" s="74"/>
      <c r="AL120" s="74"/>
      <c r="AM120" s="74"/>
      <c r="AN120" s="74"/>
      <c r="AO120" s="74"/>
      <c r="AP120" s="74"/>
      <c r="AQ120" s="74"/>
      <c r="AR120" s="74"/>
      <c r="AS120" s="74"/>
    </row>
    <row r="121" spans="1:45" x14ac:dyDescent="0.25">
      <c r="A121" s="74"/>
      <c r="B121" s="74"/>
      <c r="C121" s="74"/>
      <c r="D121" s="74"/>
      <c r="E121" s="74"/>
      <c r="F121" s="74"/>
      <c r="G121" s="74"/>
      <c r="H121" s="74"/>
      <c r="I121" s="74"/>
      <c r="J121" s="74"/>
      <c r="K121" s="74"/>
      <c r="L121" s="74"/>
      <c r="M121" s="74"/>
      <c r="N121" s="1187"/>
      <c r="O121" s="74"/>
      <c r="P121" s="74"/>
      <c r="Q121" s="74"/>
      <c r="R121" s="74"/>
      <c r="S121" s="74"/>
      <c r="T121" s="74"/>
      <c r="U121" s="74"/>
      <c r="V121" s="74"/>
      <c r="W121" s="74"/>
      <c r="X121" s="74"/>
      <c r="Y121" s="74"/>
      <c r="Z121" s="74"/>
      <c r="AA121" s="74"/>
      <c r="AB121" s="1171"/>
      <c r="AC121" s="1171"/>
      <c r="AD121" s="74"/>
      <c r="AE121" s="74"/>
      <c r="AF121" s="74"/>
      <c r="AG121" s="74"/>
      <c r="AH121" s="74"/>
      <c r="AI121" s="74"/>
      <c r="AJ121" s="74"/>
      <c r="AK121" s="74"/>
      <c r="AL121" s="74"/>
      <c r="AM121" s="74"/>
      <c r="AN121" s="74"/>
      <c r="AO121" s="74"/>
      <c r="AP121" s="74"/>
      <c r="AQ121" s="74"/>
      <c r="AR121" s="74"/>
      <c r="AS121" s="74"/>
    </row>
    <row r="122" spans="1:45" x14ac:dyDescent="0.25">
      <c r="A122" s="74"/>
      <c r="B122" s="74"/>
      <c r="C122" s="74"/>
      <c r="D122" s="74"/>
      <c r="E122" s="74"/>
      <c r="F122" s="74"/>
      <c r="G122" s="74"/>
      <c r="H122" s="74"/>
      <c r="I122" s="74"/>
      <c r="J122" s="74"/>
      <c r="K122" s="74"/>
      <c r="L122" s="74"/>
      <c r="M122" s="74"/>
      <c r="N122" s="1187"/>
      <c r="O122" s="74"/>
      <c r="P122" s="74"/>
      <c r="Q122" s="74"/>
      <c r="R122" s="74"/>
      <c r="S122" s="74"/>
      <c r="T122" s="74"/>
      <c r="U122" s="74"/>
      <c r="V122" s="74"/>
      <c r="W122" s="74"/>
      <c r="X122" s="74"/>
      <c r="Y122" s="74"/>
      <c r="Z122" s="74"/>
      <c r="AA122" s="74"/>
      <c r="AB122" s="1171"/>
      <c r="AC122" s="1171"/>
      <c r="AD122" s="74"/>
      <c r="AE122" s="74"/>
      <c r="AF122" s="74"/>
      <c r="AG122" s="74"/>
      <c r="AH122" s="74"/>
      <c r="AI122" s="74"/>
      <c r="AJ122" s="74"/>
      <c r="AK122" s="74"/>
      <c r="AL122" s="74"/>
      <c r="AM122" s="74"/>
      <c r="AN122" s="74"/>
      <c r="AO122" s="74"/>
      <c r="AP122" s="74"/>
      <c r="AQ122" s="74"/>
      <c r="AR122" s="74"/>
      <c r="AS122" s="74"/>
    </row>
    <row r="123" spans="1:45" x14ac:dyDescent="0.25">
      <c r="A123" s="74"/>
      <c r="B123" s="74"/>
      <c r="C123" s="74"/>
      <c r="D123" s="74"/>
      <c r="E123" s="74"/>
      <c r="F123" s="74"/>
      <c r="G123" s="74"/>
      <c r="H123" s="74"/>
      <c r="I123" s="74"/>
      <c r="J123" s="74"/>
      <c r="K123" s="74"/>
      <c r="L123" s="74"/>
      <c r="M123" s="74"/>
      <c r="N123" s="1187"/>
      <c r="O123" s="74"/>
      <c r="P123" s="74"/>
      <c r="Q123" s="74"/>
      <c r="R123" s="74"/>
      <c r="S123" s="74"/>
      <c r="T123" s="74"/>
      <c r="U123" s="74"/>
      <c r="V123" s="74"/>
      <c r="W123" s="74"/>
      <c r="X123" s="74"/>
      <c r="Y123" s="74"/>
      <c r="Z123" s="74"/>
      <c r="AA123" s="74"/>
      <c r="AB123" s="1171"/>
      <c r="AC123" s="1171"/>
      <c r="AD123" s="74"/>
      <c r="AE123" s="74"/>
      <c r="AF123" s="74"/>
      <c r="AG123" s="74"/>
      <c r="AH123" s="74"/>
      <c r="AI123" s="74"/>
      <c r="AJ123" s="74"/>
      <c r="AK123" s="74"/>
      <c r="AL123" s="74"/>
      <c r="AM123" s="74"/>
      <c r="AN123" s="74"/>
      <c r="AO123" s="74"/>
      <c r="AP123" s="74"/>
      <c r="AQ123" s="74"/>
      <c r="AR123" s="74"/>
      <c r="AS123" s="74"/>
    </row>
    <row r="124" spans="1:45" x14ac:dyDescent="0.25">
      <c r="A124" s="74"/>
      <c r="B124" s="74"/>
      <c r="C124" s="74"/>
      <c r="D124" s="74"/>
      <c r="E124" s="74"/>
      <c r="F124" s="74"/>
      <c r="G124" s="74"/>
      <c r="H124" s="74"/>
      <c r="I124" s="74"/>
      <c r="J124" s="74"/>
      <c r="K124" s="74"/>
      <c r="L124" s="74"/>
      <c r="M124" s="74"/>
      <c r="N124" s="1187"/>
      <c r="O124" s="74"/>
      <c r="P124" s="74"/>
      <c r="Q124" s="74"/>
      <c r="R124" s="74"/>
      <c r="S124" s="74"/>
      <c r="T124" s="74"/>
      <c r="U124" s="74"/>
      <c r="V124" s="74"/>
      <c r="W124" s="74"/>
      <c r="X124" s="74"/>
      <c r="Y124" s="74"/>
      <c r="Z124" s="74"/>
      <c r="AA124" s="74"/>
      <c r="AB124" s="1171"/>
      <c r="AC124" s="1171"/>
      <c r="AD124" s="74"/>
      <c r="AE124" s="74"/>
      <c r="AF124" s="74"/>
      <c r="AG124" s="74"/>
      <c r="AH124" s="74"/>
      <c r="AI124" s="74"/>
      <c r="AJ124" s="74"/>
      <c r="AK124" s="74"/>
      <c r="AL124" s="74"/>
      <c r="AM124" s="74"/>
      <c r="AN124" s="74"/>
      <c r="AO124" s="74"/>
      <c r="AP124" s="74"/>
      <c r="AQ124" s="74"/>
      <c r="AR124" s="74"/>
      <c r="AS124" s="74"/>
    </row>
    <row r="125" spans="1:45" x14ac:dyDescent="0.25">
      <c r="A125" s="74"/>
      <c r="B125" s="74"/>
      <c r="C125" s="74"/>
      <c r="D125" s="74"/>
      <c r="E125" s="74"/>
      <c r="F125" s="74"/>
      <c r="G125" s="74"/>
      <c r="H125" s="74"/>
      <c r="I125" s="74"/>
      <c r="J125" s="74"/>
      <c r="K125" s="74"/>
      <c r="L125" s="74"/>
      <c r="M125" s="74"/>
      <c r="N125" s="1187"/>
      <c r="O125" s="74"/>
      <c r="P125" s="74"/>
      <c r="Q125" s="74"/>
      <c r="R125" s="74"/>
      <c r="S125" s="74"/>
      <c r="T125" s="74"/>
      <c r="U125" s="74"/>
      <c r="V125" s="74"/>
      <c r="W125" s="74"/>
      <c r="X125" s="74"/>
      <c r="Y125" s="74"/>
      <c r="Z125" s="74"/>
      <c r="AA125" s="74"/>
      <c r="AB125" s="1171"/>
      <c r="AC125" s="1171"/>
      <c r="AD125" s="74"/>
      <c r="AE125" s="74"/>
      <c r="AF125" s="74"/>
      <c r="AG125" s="74"/>
      <c r="AH125" s="74"/>
      <c r="AI125" s="74"/>
      <c r="AJ125" s="74"/>
      <c r="AK125" s="74"/>
      <c r="AL125" s="74"/>
      <c r="AM125" s="74"/>
      <c r="AN125" s="74"/>
      <c r="AO125" s="74"/>
      <c r="AP125" s="74"/>
      <c r="AQ125" s="74"/>
      <c r="AR125" s="74"/>
      <c r="AS125" s="74"/>
    </row>
    <row r="126" spans="1:45" x14ac:dyDescent="0.25">
      <c r="A126" s="74"/>
      <c r="B126" s="74"/>
      <c r="C126" s="74"/>
      <c r="D126" s="74"/>
      <c r="E126" s="74"/>
      <c r="F126" s="74"/>
      <c r="G126" s="74"/>
      <c r="H126" s="74"/>
      <c r="I126" s="74"/>
      <c r="J126" s="74"/>
      <c r="K126" s="74"/>
      <c r="L126" s="74"/>
      <c r="M126" s="74"/>
      <c r="N126" s="1187"/>
      <c r="O126" s="74"/>
      <c r="P126" s="74"/>
      <c r="Q126" s="74"/>
      <c r="R126" s="74"/>
      <c r="S126" s="74"/>
      <c r="T126" s="74"/>
      <c r="U126" s="74"/>
      <c r="V126" s="74"/>
      <c r="W126" s="74"/>
      <c r="X126" s="74"/>
      <c r="Y126" s="74"/>
      <c r="Z126" s="74"/>
      <c r="AA126" s="74"/>
      <c r="AB126" s="1171"/>
      <c r="AC126" s="1171"/>
      <c r="AD126" s="74"/>
      <c r="AE126" s="74"/>
      <c r="AF126" s="74"/>
      <c r="AG126" s="74"/>
      <c r="AH126" s="74"/>
      <c r="AI126" s="74"/>
      <c r="AJ126" s="74"/>
      <c r="AK126" s="74"/>
      <c r="AL126" s="74"/>
      <c r="AM126" s="74"/>
      <c r="AN126" s="74"/>
      <c r="AO126" s="74"/>
      <c r="AP126" s="74"/>
      <c r="AQ126" s="74"/>
      <c r="AR126" s="74"/>
      <c r="AS126" s="74"/>
    </row>
    <row r="127" spans="1:45" x14ac:dyDescent="0.25">
      <c r="A127" s="74"/>
      <c r="B127" s="74"/>
      <c r="C127" s="74"/>
      <c r="D127" s="74"/>
      <c r="E127" s="74"/>
      <c r="F127" s="74"/>
      <c r="G127" s="74"/>
      <c r="H127" s="74"/>
      <c r="I127" s="74"/>
      <c r="J127" s="74"/>
      <c r="K127" s="74"/>
      <c r="L127" s="74"/>
      <c r="M127" s="74"/>
      <c r="N127" s="1187"/>
      <c r="O127" s="74"/>
      <c r="P127" s="74"/>
      <c r="Q127" s="74"/>
      <c r="R127" s="74"/>
      <c r="S127" s="74"/>
      <c r="T127" s="74"/>
      <c r="U127" s="74"/>
      <c r="V127" s="74"/>
      <c r="W127" s="74"/>
      <c r="X127" s="74"/>
      <c r="Y127" s="74"/>
      <c r="Z127" s="74"/>
      <c r="AA127" s="74"/>
      <c r="AB127" s="1171"/>
      <c r="AC127" s="1171"/>
      <c r="AD127" s="74"/>
      <c r="AE127" s="74"/>
      <c r="AF127" s="74"/>
      <c r="AG127" s="74"/>
      <c r="AH127" s="74"/>
      <c r="AI127" s="74"/>
      <c r="AJ127" s="74"/>
      <c r="AK127" s="74"/>
      <c r="AL127" s="74"/>
      <c r="AM127" s="74"/>
      <c r="AN127" s="74"/>
      <c r="AO127" s="74"/>
      <c r="AP127" s="74"/>
      <c r="AQ127" s="74"/>
      <c r="AR127" s="74"/>
      <c r="AS127" s="74"/>
    </row>
    <row r="128" spans="1:45" x14ac:dyDescent="0.25">
      <c r="A128" s="74"/>
      <c r="B128" s="74"/>
      <c r="C128" s="74"/>
      <c r="D128" s="74"/>
      <c r="E128" s="74"/>
      <c r="F128" s="74"/>
      <c r="G128" s="74"/>
      <c r="H128" s="74"/>
      <c r="I128" s="74"/>
      <c r="J128" s="74"/>
      <c r="K128" s="74"/>
      <c r="L128" s="74"/>
      <c r="M128" s="74"/>
      <c r="N128" s="1187"/>
      <c r="O128" s="74"/>
      <c r="P128" s="74"/>
      <c r="Q128" s="74"/>
      <c r="R128" s="74"/>
      <c r="S128" s="74"/>
      <c r="T128" s="74"/>
      <c r="U128" s="74"/>
      <c r="V128" s="74"/>
      <c r="W128" s="74"/>
      <c r="X128" s="74"/>
      <c r="Y128" s="74"/>
      <c r="Z128" s="74"/>
      <c r="AA128" s="74"/>
      <c r="AB128" s="1171"/>
      <c r="AC128" s="1171"/>
      <c r="AD128" s="74"/>
      <c r="AE128" s="74"/>
      <c r="AF128" s="74"/>
      <c r="AG128" s="74"/>
      <c r="AH128" s="74"/>
      <c r="AI128" s="74"/>
      <c r="AJ128" s="74"/>
      <c r="AK128" s="74"/>
      <c r="AL128" s="74"/>
      <c r="AM128" s="74"/>
      <c r="AN128" s="74"/>
      <c r="AO128" s="74"/>
      <c r="AP128" s="74"/>
      <c r="AQ128" s="74"/>
      <c r="AR128" s="74"/>
      <c r="AS128" s="74"/>
    </row>
    <row r="129" spans="1:45" x14ac:dyDescent="0.25">
      <c r="A129" s="74"/>
      <c r="B129" s="74"/>
      <c r="C129" s="74"/>
      <c r="D129" s="74"/>
      <c r="E129" s="74"/>
      <c r="F129" s="74"/>
      <c r="G129" s="74"/>
      <c r="H129" s="74"/>
      <c r="I129" s="74"/>
      <c r="J129" s="74"/>
      <c r="K129" s="74"/>
      <c r="L129" s="74"/>
      <c r="M129" s="74"/>
      <c r="N129" s="1187"/>
      <c r="O129" s="74"/>
      <c r="P129" s="74"/>
      <c r="Q129" s="74"/>
      <c r="R129" s="74"/>
      <c r="S129" s="74"/>
      <c r="T129" s="74"/>
      <c r="U129" s="74"/>
      <c r="V129" s="74"/>
      <c r="W129" s="74"/>
      <c r="X129" s="74"/>
      <c r="Y129" s="74"/>
      <c r="Z129" s="74"/>
      <c r="AA129" s="74"/>
      <c r="AB129" s="1171"/>
      <c r="AC129" s="1171"/>
      <c r="AD129" s="74"/>
      <c r="AE129" s="74"/>
      <c r="AF129" s="74"/>
      <c r="AG129" s="74"/>
      <c r="AH129" s="74"/>
      <c r="AI129" s="74"/>
      <c r="AJ129" s="74"/>
      <c r="AK129" s="74"/>
      <c r="AL129" s="74"/>
      <c r="AM129" s="74"/>
      <c r="AN129" s="74"/>
      <c r="AO129" s="74"/>
      <c r="AP129" s="74"/>
      <c r="AQ129" s="74"/>
      <c r="AR129" s="74"/>
      <c r="AS129" s="74"/>
    </row>
    <row r="130" spans="1:45" x14ac:dyDescent="0.25">
      <c r="A130" s="74"/>
      <c r="B130" s="74"/>
      <c r="C130" s="74"/>
      <c r="D130" s="74"/>
      <c r="E130" s="74"/>
      <c r="F130" s="74"/>
      <c r="G130" s="74"/>
      <c r="H130" s="74"/>
      <c r="I130" s="74"/>
      <c r="J130" s="74"/>
      <c r="K130" s="74"/>
      <c r="L130" s="74"/>
      <c r="M130" s="74"/>
      <c r="N130" s="1187"/>
      <c r="O130" s="74"/>
      <c r="P130" s="74"/>
      <c r="Q130" s="74"/>
      <c r="R130" s="74"/>
      <c r="S130" s="74"/>
      <c r="T130" s="74"/>
      <c r="U130" s="74"/>
      <c r="V130" s="74"/>
      <c r="W130" s="74"/>
      <c r="X130" s="74"/>
      <c r="Y130" s="74"/>
      <c r="Z130" s="74"/>
      <c r="AA130" s="74"/>
      <c r="AB130" s="1171"/>
      <c r="AC130" s="1171"/>
      <c r="AD130" s="74"/>
      <c r="AE130" s="74"/>
      <c r="AF130" s="74"/>
      <c r="AG130" s="74"/>
      <c r="AH130" s="74"/>
      <c r="AI130" s="74"/>
      <c r="AJ130" s="74"/>
      <c r="AK130" s="74"/>
      <c r="AL130" s="74"/>
      <c r="AM130" s="74"/>
      <c r="AN130" s="74"/>
      <c r="AO130" s="74"/>
      <c r="AP130" s="74"/>
      <c r="AQ130" s="74"/>
      <c r="AR130" s="74"/>
      <c r="AS130" s="74"/>
    </row>
    <row r="131" spans="1:45" x14ac:dyDescent="0.25">
      <c r="A131" s="74"/>
      <c r="B131" s="74"/>
      <c r="C131" s="74"/>
      <c r="D131" s="74"/>
      <c r="E131" s="74"/>
      <c r="F131" s="74"/>
      <c r="G131" s="74"/>
      <c r="H131" s="74"/>
      <c r="I131" s="74"/>
      <c r="J131" s="74"/>
      <c r="K131" s="74"/>
      <c r="L131" s="74"/>
      <c r="M131" s="74"/>
      <c r="N131" s="1187"/>
      <c r="O131" s="74"/>
      <c r="P131" s="74"/>
      <c r="Q131" s="74"/>
      <c r="R131" s="74"/>
      <c r="S131" s="74"/>
      <c r="T131" s="74"/>
      <c r="U131" s="74"/>
      <c r="V131" s="74"/>
      <c r="W131" s="74"/>
      <c r="X131" s="74"/>
      <c r="Y131" s="74"/>
      <c r="Z131" s="74"/>
      <c r="AA131" s="74"/>
      <c r="AB131" s="1171"/>
      <c r="AC131" s="1171"/>
      <c r="AD131" s="74"/>
      <c r="AE131" s="74"/>
      <c r="AF131" s="74"/>
      <c r="AG131" s="74"/>
      <c r="AH131" s="74"/>
      <c r="AI131" s="74"/>
      <c r="AJ131" s="74"/>
      <c r="AK131" s="74"/>
      <c r="AL131" s="74"/>
      <c r="AM131" s="74"/>
      <c r="AN131" s="74"/>
      <c r="AO131" s="74"/>
      <c r="AP131" s="74"/>
      <c r="AQ131" s="74"/>
      <c r="AR131" s="74"/>
      <c r="AS131" s="74"/>
    </row>
    <row r="132" spans="1:45" x14ac:dyDescent="0.25">
      <c r="A132" s="74"/>
      <c r="B132" s="74"/>
      <c r="C132" s="74"/>
      <c r="D132" s="74"/>
      <c r="E132" s="74"/>
      <c r="F132" s="74"/>
      <c r="G132" s="74"/>
      <c r="H132" s="74"/>
      <c r="I132" s="74"/>
      <c r="J132" s="74"/>
      <c r="K132" s="74"/>
      <c r="L132" s="74"/>
      <c r="M132" s="74"/>
      <c r="N132" s="1187"/>
      <c r="O132" s="74"/>
      <c r="P132" s="74"/>
      <c r="Q132" s="74"/>
      <c r="R132" s="74"/>
      <c r="S132" s="74"/>
      <c r="T132" s="74"/>
      <c r="U132" s="74"/>
      <c r="V132" s="74"/>
      <c r="W132" s="74"/>
      <c r="X132" s="74"/>
      <c r="Y132" s="74"/>
      <c r="Z132" s="74"/>
      <c r="AA132" s="74"/>
      <c r="AB132" s="1171"/>
      <c r="AC132" s="1171"/>
      <c r="AD132" s="74"/>
      <c r="AE132" s="74"/>
      <c r="AF132" s="74"/>
      <c r="AG132" s="74"/>
      <c r="AH132" s="74"/>
      <c r="AI132" s="74"/>
      <c r="AJ132" s="74"/>
      <c r="AK132" s="74"/>
      <c r="AL132" s="74"/>
      <c r="AM132" s="74"/>
      <c r="AN132" s="74"/>
      <c r="AO132" s="74"/>
      <c r="AP132" s="74"/>
      <c r="AQ132" s="74"/>
      <c r="AR132" s="74"/>
      <c r="AS132" s="74"/>
    </row>
    <row r="133" spans="1:45" x14ac:dyDescent="0.25">
      <c r="A133" s="74"/>
      <c r="B133" s="74"/>
      <c r="C133" s="74"/>
      <c r="D133" s="74"/>
      <c r="E133" s="74"/>
      <c r="F133" s="74"/>
      <c r="G133" s="74"/>
      <c r="H133" s="74"/>
      <c r="I133" s="74"/>
      <c r="J133" s="74"/>
      <c r="K133" s="74"/>
      <c r="L133" s="74"/>
      <c r="M133" s="74"/>
      <c r="N133" s="1187"/>
      <c r="O133" s="74"/>
      <c r="P133" s="74"/>
      <c r="Q133" s="74"/>
      <c r="R133" s="74"/>
      <c r="S133" s="74"/>
      <c r="T133" s="74"/>
      <c r="U133" s="74"/>
      <c r="V133" s="74"/>
      <c r="W133" s="74"/>
      <c r="X133" s="74"/>
      <c r="Y133" s="74"/>
      <c r="Z133" s="74"/>
      <c r="AA133" s="74"/>
      <c r="AB133" s="1171"/>
      <c r="AC133" s="1171"/>
      <c r="AD133" s="74"/>
      <c r="AE133" s="74"/>
      <c r="AF133" s="74"/>
      <c r="AG133" s="74"/>
      <c r="AH133" s="74"/>
      <c r="AI133" s="74"/>
      <c r="AJ133" s="74"/>
      <c r="AK133" s="74"/>
      <c r="AL133" s="74"/>
      <c r="AM133" s="74"/>
      <c r="AN133" s="74"/>
      <c r="AO133" s="74"/>
      <c r="AP133" s="74"/>
      <c r="AQ133" s="74"/>
      <c r="AR133" s="74"/>
      <c r="AS133" s="74"/>
    </row>
    <row r="134" spans="1:45" x14ac:dyDescent="0.25">
      <c r="A134" s="74"/>
      <c r="B134" s="74"/>
      <c r="C134" s="74"/>
      <c r="D134" s="74"/>
      <c r="E134" s="74"/>
      <c r="F134" s="74"/>
      <c r="G134" s="74"/>
      <c r="H134" s="74"/>
      <c r="I134" s="74"/>
      <c r="J134" s="74"/>
      <c r="K134" s="74"/>
      <c r="L134" s="74"/>
      <c r="M134" s="74"/>
      <c r="N134" s="1187"/>
      <c r="O134" s="74"/>
      <c r="P134" s="74"/>
      <c r="Q134" s="74"/>
      <c r="R134" s="74"/>
      <c r="S134" s="74"/>
      <c r="T134" s="74"/>
      <c r="U134" s="74"/>
      <c r="V134" s="74"/>
      <c r="W134" s="74"/>
      <c r="X134" s="74"/>
      <c r="Y134" s="74"/>
      <c r="Z134" s="74"/>
      <c r="AA134" s="74"/>
      <c r="AB134" s="1171"/>
      <c r="AC134" s="1171"/>
      <c r="AD134" s="74"/>
      <c r="AE134" s="74"/>
      <c r="AF134" s="74"/>
      <c r="AG134" s="74"/>
      <c r="AH134" s="74"/>
      <c r="AI134" s="74"/>
      <c r="AJ134" s="74"/>
      <c r="AK134" s="74"/>
      <c r="AL134" s="74"/>
      <c r="AM134" s="74"/>
      <c r="AN134" s="74"/>
      <c r="AO134" s="74"/>
      <c r="AP134" s="74"/>
      <c r="AQ134" s="74"/>
      <c r="AR134" s="74"/>
      <c r="AS134" s="74"/>
    </row>
    <row r="135" spans="1:45" x14ac:dyDescent="0.25">
      <c r="A135" s="74"/>
      <c r="B135" s="74"/>
      <c r="C135" s="74"/>
      <c r="D135" s="74"/>
      <c r="E135" s="74"/>
      <c r="F135" s="74"/>
      <c r="G135" s="74"/>
      <c r="H135" s="74"/>
      <c r="I135" s="74"/>
      <c r="J135" s="74"/>
      <c r="K135" s="74"/>
      <c r="L135" s="74"/>
      <c r="M135" s="74"/>
      <c r="N135" s="1187"/>
      <c r="O135" s="74"/>
      <c r="P135" s="74"/>
      <c r="Q135" s="74"/>
      <c r="R135" s="74"/>
      <c r="S135" s="74"/>
      <c r="T135" s="74"/>
      <c r="U135" s="74"/>
      <c r="V135" s="74"/>
      <c r="W135" s="74"/>
      <c r="X135" s="74"/>
      <c r="Y135" s="74"/>
      <c r="Z135" s="74"/>
      <c r="AA135" s="74"/>
      <c r="AB135" s="1171"/>
      <c r="AC135" s="1171"/>
      <c r="AD135" s="74"/>
      <c r="AE135" s="74"/>
      <c r="AF135" s="74"/>
      <c r="AG135" s="74"/>
      <c r="AH135" s="74"/>
      <c r="AI135" s="74"/>
      <c r="AJ135" s="74"/>
      <c r="AK135" s="74"/>
      <c r="AL135" s="74"/>
      <c r="AM135" s="74"/>
      <c r="AN135" s="74"/>
      <c r="AO135" s="74"/>
      <c r="AP135" s="74"/>
      <c r="AQ135" s="74"/>
      <c r="AR135" s="74"/>
      <c r="AS135" s="74"/>
    </row>
    <row r="136" spans="1:45" x14ac:dyDescent="0.25">
      <c r="A136" s="74"/>
      <c r="B136" s="74"/>
      <c r="C136" s="74"/>
      <c r="D136" s="74"/>
      <c r="E136" s="74"/>
      <c r="F136" s="74"/>
      <c r="G136" s="74"/>
      <c r="H136" s="74"/>
      <c r="I136" s="74"/>
      <c r="J136" s="74"/>
      <c r="K136" s="74"/>
      <c r="L136" s="74"/>
      <c r="M136" s="74"/>
      <c r="N136" s="1187"/>
      <c r="O136" s="74"/>
      <c r="P136" s="74"/>
      <c r="Q136" s="74"/>
      <c r="R136" s="74"/>
      <c r="S136" s="74"/>
      <c r="T136" s="74"/>
      <c r="U136" s="74"/>
      <c r="V136" s="74"/>
      <c r="W136" s="74"/>
      <c r="X136" s="74"/>
      <c r="Y136" s="74"/>
      <c r="Z136" s="74"/>
      <c r="AA136" s="74"/>
      <c r="AB136" s="1171"/>
      <c r="AC136" s="1171"/>
      <c r="AD136" s="74"/>
      <c r="AE136" s="74"/>
      <c r="AF136" s="74"/>
      <c r="AG136" s="74"/>
      <c r="AH136" s="74"/>
      <c r="AI136" s="74"/>
      <c r="AJ136" s="74"/>
      <c r="AK136" s="74"/>
      <c r="AL136" s="74"/>
      <c r="AM136" s="74"/>
      <c r="AN136" s="74"/>
      <c r="AO136" s="74"/>
      <c r="AP136" s="74"/>
      <c r="AQ136" s="74"/>
      <c r="AR136" s="74"/>
      <c r="AS136" s="74"/>
    </row>
    <row r="137" spans="1:45" x14ac:dyDescent="0.25">
      <c r="A137" s="74"/>
      <c r="B137" s="74"/>
      <c r="C137" s="74"/>
      <c r="D137" s="74"/>
      <c r="E137" s="74"/>
      <c r="F137" s="74"/>
      <c r="G137" s="74"/>
      <c r="H137" s="74"/>
      <c r="I137" s="74"/>
      <c r="J137" s="74"/>
      <c r="K137" s="74"/>
      <c r="L137" s="74"/>
      <c r="M137" s="74"/>
      <c r="N137" s="1187"/>
      <c r="O137" s="74"/>
      <c r="P137" s="74"/>
      <c r="Q137" s="74"/>
      <c r="R137" s="74"/>
      <c r="S137" s="74"/>
      <c r="T137" s="74"/>
      <c r="U137" s="74"/>
      <c r="V137" s="74"/>
      <c r="W137" s="74"/>
      <c r="X137" s="74"/>
      <c r="Y137" s="74"/>
      <c r="Z137" s="74"/>
      <c r="AA137" s="74"/>
      <c r="AB137" s="1171"/>
      <c r="AC137" s="1171"/>
      <c r="AD137" s="74"/>
      <c r="AE137" s="74"/>
      <c r="AF137" s="74"/>
      <c r="AG137" s="74"/>
      <c r="AH137" s="74"/>
      <c r="AI137" s="74"/>
      <c r="AJ137" s="74"/>
      <c r="AK137" s="74"/>
      <c r="AL137" s="74"/>
      <c r="AM137" s="74"/>
      <c r="AN137" s="74"/>
      <c r="AO137" s="74"/>
      <c r="AP137" s="74"/>
      <c r="AQ137" s="74"/>
      <c r="AR137" s="74"/>
      <c r="AS137" s="74"/>
    </row>
    <row r="138" spans="1:45" x14ac:dyDescent="0.25">
      <c r="A138" s="74"/>
      <c r="B138" s="74"/>
      <c r="C138" s="74"/>
      <c r="D138" s="74"/>
      <c r="E138" s="74"/>
      <c r="F138" s="74"/>
      <c r="G138" s="74"/>
      <c r="H138" s="74"/>
      <c r="I138" s="74"/>
      <c r="J138" s="74"/>
      <c r="K138" s="74"/>
      <c r="L138" s="74"/>
      <c r="M138" s="74"/>
      <c r="N138" s="1187"/>
      <c r="O138" s="74"/>
      <c r="P138" s="74"/>
      <c r="Q138" s="74"/>
      <c r="R138" s="74"/>
      <c r="S138" s="74"/>
      <c r="T138" s="74"/>
      <c r="U138" s="74"/>
      <c r="V138" s="74"/>
      <c r="W138" s="74"/>
      <c r="X138" s="74"/>
      <c r="Y138" s="74"/>
      <c r="Z138" s="74"/>
      <c r="AA138" s="74"/>
      <c r="AB138" s="1171"/>
      <c r="AC138" s="1171"/>
      <c r="AD138" s="74"/>
      <c r="AE138" s="74"/>
      <c r="AF138" s="74"/>
      <c r="AG138" s="74"/>
      <c r="AH138" s="74"/>
      <c r="AI138" s="74"/>
      <c r="AJ138" s="74"/>
      <c r="AK138" s="74"/>
      <c r="AL138" s="74"/>
      <c r="AM138" s="74"/>
      <c r="AN138" s="74"/>
      <c r="AO138" s="74"/>
      <c r="AP138" s="74"/>
      <c r="AQ138" s="74"/>
      <c r="AR138" s="74"/>
      <c r="AS138" s="74"/>
    </row>
    <row r="139" spans="1:45" x14ac:dyDescent="0.25">
      <c r="A139" s="74"/>
      <c r="B139" s="74"/>
      <c r="C139" s="74"/>
      <c r="D139" s="74"/>
      <c r="E139" s="74"/>
      <c r="F139" s="74"/>
      <c r="G139" s="74"/>
      <c r="H139" s="74"/>
      <c r="I139" s="74"/>
      <c r="J139" s="74"/>
      <c r="K139" s="74"/>
      <c r="L139" s="74"/>
      <c r="M139" s="74"/>
      <c r="N139" s="1187"/>
      <c r="O139" s="74"/>
      <c r="P139" s="74"/>
      <c r="Q139" s="74"/>
      <c r="R139" s="74"/>
      <c r="S139" s="74"/>
      <c r="T139" s="74"/>
      <c r="U139" s="74"/>
      <c r="V139" s="74"/>
      <c r="W139" s="74"/>
      <c r="X139" s="74"/>
      <c r="Y139" s="74"/>
      <c r="Z139" s="74"/>
      <c r="AA139" s="74"/>
      <c r="AB139" s="1171"/>
      <c r="AC139" s="1171"/>
      <c r="AD139" s="74"/>
      <c r="AE139" s="74"/>
      <c r="AF139" s="74"/>
      <c r="AG139" s="74"/>
      <c r="AH139" s="74"/>
      <c r="AI139" s="74"/>
      <c r="AJ139" s="74"/>
      <c r="AK139" s="74"/>
      <c r="AL139" s="74"/>
      <c r="AM139" s="74"/>
      <c r="AN139" s="74"/>
      <c r="AO139" s="74"/>
      <c r="AP139" s="74"/>
      <c r="AQ139" s="74"/>
      <c r="AR139" s="74"/>
      <c r="AS139" s="74"/>
    </row>
    <row r="140" spans="1:45" x14ac:dyDescent="0.25">
      <c r="A140" s="74"/>
      <c r="B140" s="74"/>
      <c r="C140" s="74"/>
      <c r="D140" s="74"/>
      <c r="E140" s="74"/>
      <c r="F140" s="74"/>
      <c r="G140" s="74"/>
      <c r="H140" s="74"/>
      <c r="I140" s="74"/>
      <c r="J140" s="74"/>
      <c r="K140" s="74"/>
      <c r="L140" s="74"/>
      <c r="M140" s="74"/>
      <c r="N140" s="1187"/>
      <c r="O140" s="74"/>
      <c r="P140" s="74"/>
      <c r="Q140" s="74"/>
      <c r="R140" s="74"/>
      <c r="S140" s="74"/>
      <c r="T140" s="74"/>
      <c r="U140" s="74"/>
      <c r="V140" s="74"/>
      <c r="W140" s="74"/>
      <c r="X140" s="74"/>
      <c r="Y140" s="74"/>
      <c r="Z140" s="74"/>
      <c r="AA140" s="74"/>
      <c r="AB140" s="1171"/>
      <c r="AC140" s="1171"/>
      <c r="AD140" s="74"/>
      <c r="AE140" s="74"/>
      <c r="AF140" s="74"/>
      <c r="AG140" s="74"/>
      <c r="AH140" s="74"/>
      <c r="AI140" s="74"/>
      <c r="AJ140" s="74"/>
      <c r="AK140" s="74"/>
      <c r="AL140" s="74"/>
      <c r="AM140" s="74"/>
      <c r="AN140" s="74"/>
      <c r="AO140" s="74"/>
      <c r="AP140" s="74"/>
      <c r="AQ140" s="74"/>
      <c r="AR140" s="74"/>
      <c r="AS140" s="74"/>
    </row>
    <row r="141" spans="1:45" x14ac:dyDescent="0.25">
      <c r="A141" s="74"/>
      <c r="B141" s="74"/>
      <c r="C141" s="74"/>
      <c r="D141" s="74"/>
      <c r="E141" s="74"/>
      <c r="F141" s="74"/>
      <c r="G141" s="74"/>
      <c r="H141" s="74"/>
      <c r="I141" s="74"/>
      <c r="J141" s="74"/>
      <c r="K141" s="74"/>
      <c r="L141" s="74"/>
      <c r="M141" s="74"/>
      <c r="N141" s="1187"/>
      <c r="O141" s="74"/>
      <c r="P141" s="74"/>
      <c r="Q141" s="74"/>
      <c r="R141" s="74"/>
      <c r="S141" s="74"/>
      <c r="T141" s="74"/>
      <c r="U141" s="74"/>
      <c r="V141" s="74"/>
      <c r="W141" s="74"/>
      <c r="X141" s="74"/>
      <c r="Y141" s="74"/>
      <c r="Z141" s="74"/>
      <c r="AA141" s="74"/>
      <c r="AB141" s="1171"/>
      <c r="AC141" s="1171"/>
      <c r="AD141" s="74"/>
      <c r="AE141" s="74"/>
      <c r="AF141" s="74"/>
      <c r="AG141" s="74"/>
      <c r="AH141" s="74"/>
      <c r="AI141" s="74"/>
      <c r="AJ141" s="74"/>
      <c r="AK141" s="74"/>
      <c r="AL141" s="74"/>
      <c r="AM141" s="74"/>
      <c r="AN141" s="74"/>
      <c r="AO141" s="74"/>
      <c r="AP141" s="74"/>
      <c r="AQ141" s="74"/>
      <c r="AR141" s="74"/>
      <c r="AS141" s="74"/>
    </row>
    <row r="142" spans="1:45" x14ac:dyDescent="0.25">
      <c r="A142" s="74"/>
      <c r="B142" s="74"/>
      <c r="C142" s="74"/>
      <c r="D142" s="74"/>
      <c r="E142" s="74"/>
      <c r="F142" s="74"/>
      <c r="G142" s="74"/>
      <c r="H142" s="74"/>
      <c r="I142" s="74"/>
      <c r="J142" s="74"/>
      <c r="K142" s="74"/>
      <c r="L142" s="74"/>
      <c r="M142" s="74"/>
      <c r="N142" s="1187"/>
      <c r="O142" s="74"/>
      <c r="P142" s="74"/>
      <c r="Q142" s="74"/>
      <c r="R142" s="74"/>
      <c r="S142" s="74"/>
      <c r="T142" s="74"/>
      <c r="U142" s="74"/>
      <c r="V142" s="74"/>
      <c r="W142" s="74"/>
      <c r="X142" s="74"/>
      <c r="Y142" s="74"/>
      <c r="Z142" s="74"/>
      <c r="AA142" s="74"/>
      <c r="AB142" s="1171"/>
      <c r="AC142" s="1171"/>
      <c r="AD142" s="74"/>
      <c r="AE142" s="74"/>
      <c r="AF142" s="74"/>
      <c r="AG142" s="74"/>
      <c r="AH142" s="74"/>
      <c r="AI142" s="74"/>
      <c r="AJ142" s="74"/>
      <c r="AK142" s="74"/>
      <c r="AL142" s="74"/>
      <c r="AM142" s="74"/>
      <c r="AN142" s="74"/>
      <c r="AO142" s="74"/>
      <c r="AP142" s="74"/>
      <c r="AQ142" s="74"/>
      <c r="AR142" s="74"/>
      <c r="AS142" s="74"/>
    </row>
    <row r="143" spans="1:45" x14ac:dyDescent="0.25">
      <c r="A143" s="74"/>
      <c r="B143" s="74"/>
      <c r="C143" s="74"/>
      <c r="D143" s="74"/>
      <c r="E143" s="74"/>
      <c r="F143" s="74"/>
      <c r="G143" s="74"/>
      <c r="H143" s="74"/>
      <c r="I143" s="74"/>
      <c r="J143" s="74"/>
      <c r="K143" s="74"/>
      <c r="L143" s="74"/>
      <c r="M143" s="74"/>
      <c r="N143" s="1187"/>
      <c r="O143" s="74"/>
      <c r="P143" s="74"/>
      <c r="Q143" s="74"/>
      <c r="R143" s="74"/>
      <c r="S143" s="74"/>
      <c r="T143" s="74"/>
      <c r="U143" s="74"/>
      <c r="V143" s="74"/>
      <c r="W143" s="74"/>
      <c r="X143" s="74"/>
      <c r="Y143" s="74"/>
      <c r="Z143" s="74"/>
      <c r="AA143" s="74"/>
      <c r="AB143" s="1171"/>
      <c r="AC143" s="1171"/>
      <c r="AD143" s="74"/>
      <c r="AE143" s="74"/>
      <c r="AF143" s="74"/>
      <c r="AG143" s="74"/>
      <c r="AH143" s="74"/>
      <c r="AI143" s="74"/>
      <c r="AJ143" s="74"/>
      <c r="AK143" s="74"/>
      <c r="AL143" s="74"/>
      <c r="AM143" s="74"/>
      <c r="AN143" s="74"/>
      <c r="AO143" s="74"/>
      <c r="AP143" s="74"/>
      <c r="AQ143" s="74"/>
      <c r="AR143" s="74"/>
      <c r="AS143" s="74"/>
    </row>
    <row r="144" spans="1:45" x14ac:dyDescent="0.25">
      <c r="A144" s="74"/>
      <c r="B144" s="74"/>
      <c r="C144" s="74"/>
      <c r="D144" s="74"/>
      <c r="E144" s="74"/>
      <c r="F144" s="74"/>
      <c r="G144" s="74"/>
      <c r="H144" s="74"/>
      <c r="I144" s="74"/>
      <c r="J144" s="74"/>
      <c r="K144" s="74"/>
      <c r="L144" s="74"/>
      <c r="M144" s="74"/>
      <c r="N144" s="1187"/>
      <c r="O144" s="74"/>
      <c r="P144" s="74"/>
      <c r="Q144" s="74"/>
      <c r="R144" s="74"/>
      <c r="S144" s="74"/>
      <c r="T144" s="74"/>
      <c r="U144" s="74"/>
      <c r="V144" s="74"/>
      <c r="W144" s="74"/>
      <c r="X144" s="74"/>
      <c r="Y144" s="74"/>
      <c r="Z144" s="74"/>
      <c r="AA144" s="74"/>
      <c r="AB144" s="1171"/>
      <c r="AC144" s="1171"/>
      <c r="AD144" s="74"/>
      <c r="AE144" s="74"/>
      <c r="AF144" s="74"/>
      <c r="AG144" s="74"/>
      <c r="AH144" s="74"/>
      <c r="AI144" s="74"/>
      <c r="AJ144" s="74"/>
      <c r="AK144" s="74"/>
      <c r="AL144" s="74"/>
      <c r="AM144" s="74"/>
      <c r="AN144" s="74"/>
      <c r="AO144" s="74"/>
      <c r="AP144" s="74"/>
      <c r="AQ144" s="74"/>
      <c r="AR144" s="74"/>
      <c r="AS144" s="74"/>
    </row>
    <row r="145" spans="1:45" x14ac:dyDescent="0.25">
      <c r="A145" s="74"/>
      <c r="B145" s="74"/>
      <c r="C145" s="74"/>
      <c r="D145" s="74"/>
      <c r="E145" s="74"/>
      <c r="F145" s="74"/>
      <c r="G145" s="74"/>
      <c r="H145" s="74"/>
      <c r="I145" s="74"/>
      <c r="J145" s="74"/>
      <c r="K145" s="74"/>
      <c r="L145" s="74"/>
      <c r="M145" s="74"/>
      <c r="N145" s="1187"/>
      <c r="O145" s="74"/>
      <c r="P145" s="74"/>
      <c r="Q145" s="74"/>
      <c r="R145" s="74"/>
      <c r="S145" s="74"/>
      <c r="T145" s="74"/>
      <c r="U145" s="74"/>
      <c r="V145" s="74"/>
      <c r="W145" s="74"/>
      <c r="X145" s="74"/>
      <c r="Y145" s="74"/>
      <c r="Z145" s="74"/>
      <c r="AA145" s="74"/>
      <c r="AB145" s="1171"/>
      <c r="AC145" s="1171"/>
      <c r="AD145" s="74"/>
      <c r="AE145" s="74"/>
      <c r="AF145" s="74"/>
      <c r="AG145" s="74"/>
      <c r="AH145" s="74"/>
      <c r="AI145" s="74"/>
      <c r="AJ145" s="74"/>
      <c r="AK145" s="74"/>
      <c r="AL145" s="74"/>
      <c r="AM145" s="74"/>
      <c r="AN145" s="74"/>
      <c r="AO145" s="74"/>
      <c r="AP145" s="74"/>
      <c r="AQ145" s="74"/>
      <c r="AR145" s="74"/>
      <c r="AS145" s="74"/>
    </row>
    <row r="146" spans="1:45" x14ac:dyDescent="0.25">
      <c r="A146" s="74"/>
      <c r="B146" s="74"/>
      <c r="C146" s="74"/>
      <c r="D146" s="74"/>
      <c r="E146" s="74"/>
      <c r="F146" s="74"/>
      <c r="G146" s="74"/>
      <c r="H146" s="74"/>
      <c r="I146" s="74"/>
      <c r="J146" s="74"/>
      <c r="K146" s="74"/>
      <c r="L146" s="74"/>
      <c r="M146" s="74"/>
      <c r="N146" s="1187"/>
      <c r="O146" s="74"/>
      <c r="P146" s="74"/>
      <c r="Q146" s="74"/>
      <c r="R146" s="74"/>
      <c r="S146" s="74"/>
      <c r="T146" s="74"/>
      <c r="U146" s="74"/>
      <c r="V146" s="74"/>
      <c r="W146" s="74"/>
      <c r="X146" s="74"/>
      <c r="Y146" s="74"/>
      <c r="Z146" s="74"/>
      <c r="AA146" s="74"/>
      <c r="AB146" s="1171"/>
      <c r="AC146" s="1171"/>
      <c r="AD146" s="74"/>
      <c r="AE146" s="74"/>
      <c r="AF146" s="74"/>
      <c r="AG146" s="74"/>
      <c r="AH146" s="74"/>
      <c r="AI146" s="74"/>
      <c r="AJ146" s="74"/>
      <c r="AK146" s="74"/>
      <c r="AL146" s="74"/>
      <c r="AM146" s="74"/>
      <c r="AN146" s="74"/>
      <c r="AO146" s="74"/>
      <c r="AP146" s="74"/>
      <c r="AQ146" s="74"/>
      <c r="AR146" s="74"/>
      <c r="AS146" s="74"/>
    </row>
    <row r="147" spans="1:45" x14ac:dyDescent="0.25">
      <c r="A147" s="74"/>
      <c r="B147" s="74"/>
      <c r="C147" s="74"/>
      <c r="D147" s="74"/>
      <c r="E147" s="74"/>
      <c r="F147" s="74"/>
      <c r="G147" s="74"/>
      <c r="H147" s="74"/>
      <c r="I147" s="74"/>
      <c r="J147" s="74"/>
      <c r="K147" s="74"/>
      <c r="L147" s="74"/>
      <c r="M147" s="74"/>
      <c r="N147" s="1187"/>
      <c r="O147" s="74"/>
      <c r="P147" s="74"/>
      <c r="Q147" s="74"/>
      <c r="R147" s="74"/>
      <c r="S147" s="74"/>
      <c r="T147" s="74"/>
      <c r="U147" s="74"/>
      <c r="V147" s="74"/>
      <c r="W147" s="74"/>
      <c r="X147" s="74"/>
      <c r="Y147" s="74"/>
      <c r="Z147" s="74"/>
      <c r="AA147" s="74"/>
      <c r="AB147" s="1171"/>
      <c r="AC147" s="1171"/>
      <c r="AD147" s="74"/>
      <c r="AE147" s="74"/>
      <c r="AF147" s="74"/>
      <c r="AG147" s="74"/>
      <c r="AH147" s="74"/>
      <c r="AI147" s="74"/>
      <c r="AJ147" s="74"/>
      <c r="AK147" s="74"/>
      <c r="AL147" s="74"/>
      <c r="AM147" s="74"/>
      <c r="AN147" s="74"/>
      <c r="AO147" s="74"/>
      <c r="AP147" s="74"/>
      <c r="AQ147" s="74"/>
      <c r="AR147" s="74"/>
      <c r="AS147" s="74"/>
    </row>
    <row r="148" spans="1:45" x14ac:dyDescent="0.25">
      <c r="A148" s="74"/>
      <c r="B148" s="74"/>
      <c r="C148" s="74"/>
      <c r="D148" s="74"/>
      <c r="E148" s="74"/>
      <c r="F148" s="74"/>
      <c r="G148" s="74"/>
      <c r="H148" s="74"/>
      <c r="I148" s="74"/>
      <c r="J148" s="74"/>
      <c r="K148" s="74"/>
      <c r="L148" s="74"/>
      <c r="M148" s="74"/>
      <c r="N148" s="1187"/>
      <c r="O148" s="74"/>
      <c r="P148" s="74"/>
      <c r="Q148" s="74"/>
      <c r="R148" s="74"/>
      <c r="S148" s="74"/>
      <c r="T148" s="74"/>
      <c r="U148" s="74"/>
      <c r="V148" s="74"/>
      <c r="W148" s="74"/>
      <c r="X148" s="74"/>
      <c r="Y148" s="74"/>
      <c r="Z148" s="74"/>
      <c r="AA148" s="74"/>
      <c r="AB148" s="1171"/>
      <c r="AC148" s="1171"/>
      <c r="AD148" s="74"/>
      <c r="AE148" s="74"/>
      <c r="AF148" s="74"/>
      <c r="AG148" s="74"/>
      <c r="AH148" s="74"/>
      <c r="AI148" s="74"/>
      <c r="AJ148" s="74"/>
      <c r="AK148" s="74"/>
      <c r="AL148" s="74"/>
      <c r="AM148" s="74"/>
      <c r="AN148" s="74"/>
      <c r="AO148" s="74"/>
      <c r="AP148" s="74"/>
      <c r="AQ148" s="74"/>
      <c r="AR148" s="74"/>
      <c r="AS148" s="74"/>
    </row>
    <row r="149" spans="1:45" x14ac:dyDescent="0.25">
      <c r="A149" s="74"/>
      <c r="B149" s="74"/>
      <c r="C149" s="74"/>
      <c r="D149" s="74"/>
      <c r="E149" s="74"/>
      <c r="F149" s="74"/>
      <c r="G149" s="74"/>
      <c r="H149" s="74"/>
      <c r="I149" s="74"/>
      <c r="J149" s="74"/>
      <c r="K149" s="74"/>
      <c r="L149" s="74"/>
      <c r="M149" s="74"/>
      <c r="N149" s="1187"/>
      <c r="O149" s="74"/>
      <c r="P149" s="74"/>
      <c r="Q149" s="74"/>
      <c r="R149" s="74"/>
      <c r="S149" s="74"/>
      <c r="T149" s="74"/>
      <c r="U149" s="74"/>
      <c r="V149" s="74"/>
      <c r="W149" s="74"/>
      <c r="X149" s="74"/>
      <c r="Y149" s="74"/>
      <c r="Z149" s="74"/>
      <c r="AA149" s="74"/>
      <c r="AB149" s="1171"/>
      <c r="AC149" s="1171"/>
      <c r="AD149" s="74"/>
      <c r="AE149" s="74"/>
      <c r="AF149" s="74"/>
      <c r="AG149" s="74"/>
      <c r="AH149" s="74"/>
      <c r="AI149" s="74"/>
      <c r="AJ149" s="74"/>
      <c r="AK149" s="74"/>
      <c r="AL149" s="74"/>
      <c r="AM149" s="74"/>
      <c r="AN149" s="74"/>
      <c r="AO149" s="74"/>
      <c r="AP149" s="74"/>
      <c r="AQ149" s="74"/>
      <c r="AR149" s="74"/>
      <c r="AS149" s="74"/>
    </row>
    <row r="150" spans="1:45" x14ac:dyDescent="0.25">
      <c r="A150" s="74"/>
      <c r="B150" s="74"/>
      <c r="C150" s="74"/>
      <c r="D150" s="74"/>
      <c r="E150" s="74"/>
      <c r="F150" s="74"/>
      <c r="G150" s="74"/>
      <c r="H150" s="74"/>
      <c r="I150" s="74"/>
      <c r="J150" s="74"/>
      <c r="K150" s="74"/>
      <c r="L150" s="74"/>
      <c r="M150" s="74"/>
      <c r="N150" s="1187"/>
      <c r="O150" s="74"/>
      <c r="P150" s="74"/>
      <c r="Q150" s="74"/>
      <c r="R150" s="74"/>
      <c r="S150" s="74"/>
      <c r="T150" s="74"/>
      <c r="U150" s="74"/>
      <c r="V150" s="74"/>
      <c r="W150" s="74"/>
      <c r="X150" s="74"/>
      <c r="Y150" s="74"/>
      <c r="Z150" s="74"/>
      <c r="AA150" s="74"/>
      <c r="AB150" s="1171"/>
      <c r="AC150" s="1171"/>
      <c r="AD150" s="74"/>
      <c r="AE150" s="74"/>
      <c r="AF150" s="74"/>
      <c r="AG150" s="74"/>
      <c r="AH150" s="74"/>
      <c r="AI150" s="74"/>
      <c r="AJ150" s="74"/>
      <c r="AK150" s="74"/>
      <c r="AL150" s="74"/>
      <c r="AM150" s="74"/>
      <c r="AN150" s="74"/>
      <c r="AO150" s="74"/>
      <c r="AP150" s="74"/>
      <c r="AQ150" s="74"/>
      <c r="AR150" s="74"/>
      <c r="AS150" s="74"/>
    </row>
    <row r="151" spans="1:45" x14ac:dyDescent="0.25">
      <c r="A151" s="74"/>
      <c r="B151" s="74"/>
      <c r="C151" s="74"/>
      <c r="D151" s="74"/>
      <c r="E151" s="74"/>
      <c r="F151" s="74"/>
      <c r="G151" s="74"/>
      <c r="H151" s="74"/>
      <c r="I151" s="74"/>
      <c r="J151" s="74"/>
      <c r="K151" s="74"/>
      <c r="L151" s="74"/>
      <c r="M151" s="74"/>
      <c r="N151" s="1187"/>
      <c r="O151" s="74"/>
      <c r="P151" s="74"/>
      <c r="Q151" s="74"/>
      <c r="R151" s="74"/>
      <c r="S151" s="74"/>
      <c r="T151" s="74"/>
      <c r="U151" s="74"/>
      <c r="V151" s="74"/>
      <c r="W151" s="74"/>
      <c r="X151" s="74"/>
      <c r="Y151" s="74"/>
      <c r="Z151" s="74"/>
      <c r="AA151" s="74"/>
      <c r="AB151" s="1171"/>
      <c r="AC151" s="1171"/>
      <c r="AD151" s="74"/>
      <c r="AE151" s="74"/>
      <c r="AF151" s="74"/>
      <c r="AG151" s="74"/>
      <c r="AH151" s="74"/>
      <c r="AI151" s="74"/>
      <c r="AJ151" s="74"/>
      <c r="AK151" s="74"/>
      <c r="AL151" s="74"/>
      <c r="AM151" s="74"/>
      <c r="AN151" s="74"/>
      <c r="AO151" s="74"/>
      <c r="AP151" s="74"/>
      <c r="AQ151" s="74"/>
      <c r="AR151" s="74"/>
      <c r="AS151" s="74"/>
    </row>
    <row r="152" spans="1:45" x14ac:dyDescent="0.25">
      <c r="A152" s="74"/>
      <c r="B152" s="74"/>
      <c r="C152" s="74"/>
      <c r="D152" s="74"/>
      <c r="E152" s="74"/>
      <c r="F152" s="74"/>
      <c r="G152" s="74"/>
      <c r="H152" s="74"/>
      <c r="I152" s="74"/>
      <c r="J152" s="74"/>
      <c r="K152" s="74"/>
      <c r="L152" s="74"/>
      <c r="M152" s="74"/>
      <c r="N152" s="1187"/>
      <c r="O152" s="74"/>
      <c r="P152" s="74"/>
      <c r="Q152" s="74"/>
      <c r="R152" s="74"/>
      <c r="S152" s="74"/>
      <c r="T152" s="74"/>
      <c r="U152" s="74"/>
      <c r="V152" s="74"/>
      <c r="W152" s="74"/>
      <c r="X152" s="74"/>
      <c r="Y152" s="74"/>
      <c r="Z152" s="74"/>
      <c r="AA152" s="74"/>
      <c r="AB152" s="1171"/>
      <c r="AC152" s="1171"/>
      <c r="AD152" s="74"/>
      <c r="AE152" s="74"/>
      <c r="AF152" s="74"/>
      <c r="AG152" s="74"/>
      <c r="AH152" s="74"/>
      <c r="AI152" s="74"/>
      <c r="AJ152" s="74"/>
      <c r="AK152" s="74"/>
      <c r="AL152" s="74"/>
      <c r="AM152" s="74"/>
      <c r="AN152" s="74"/>
      <c r="AO152" s="74"/>
      <c r="AP152" s="74"/>
      <c r="AQ152" s="74"/>
      <c r="AR152" s="74"/>
      <c r="AS152" s="74"/>
    </row>
    <row r="153" spans="1:45" x14ac:dyDescent="0.25">
      <c r="A153" s="74"/>
      <c r="B153" s="74"/>
      <c r="C153" s="74"/>
      <c r="D153" s="74"/>
      <c r="E153" s="74"/>
      <c r="F153" s="74"/>
      <c r="G153" s="74"/>
      <c r="H153" s="74"/>
      <c r="I153" s="74"/>
      <c r="J153" s="74"/>
      <c r="K153" s="74"/>
      <c r="L153" s="74"/>
      <c r="M153" s="74"/>
      <c r="N153" s="1187"/>
      <c r="O153" s="74"/>
      <c r="P153" s="74"/>
      <c r="Q153" s="74"/>
      <c r="R153" s="74"/>
      <c r="S153" s="74"/>
      <c r="T153" s="74"/>
      <c r="U153" s="74"/>
      <c r="V153" s="74"/>
      <c r="W153" s="74"/>
      <c r="X153" s="74"/>
      <c r="Y153" s="74"/>
      <c r="Z153" s="74"/>
      <c r="AA153" s="74"/>
      <c r="AB153" s="1171"/>
      <c r="AC153" s="1171"/>
      <c r="AD153" s="74"/>
      <c r="AE153" s="74"/>
      <c r="AF153" s="74"/>
      <c r="AG153" s="74"/>
      <c r="AH153" s="74"/>
      <c r="AI153" s="74"/>
      <c r="AJ153" s="74"/>
      <c r="AK153" s="74"/>
      <c r="AL153" s="74"/>
      <c r="AM153" s="74"/>
      <c r="AN153" s="74"/>
      <c r="AO153" s="74"/>
      <c r="AP153" s="74"/>
      <c r="AQ153" s="74"/>
      <c r="AR153" s="74"/>
      <c r="AS153" s="74"/>
    </row>
    <row r="154" spans="1:45" x14ac:dyDescent="0.25">
      <c r="A154" s="74"/>
      <c r="B154" s="74"/>
      <c r="C154" s="74"/>
      <c r="D154" s="74"/>
      <c r="E154" s="74"/>
      <c r="F154" s="74"/>
      <c r="G154" s="74"/>
      <c r="H154" s="74"/>
      <c r="I154" s="74"/>
      <c r="J154" s="74"/>
      <c r="K154" s="74"/>
      <c r="L154" s="74"/>
      <c r="M154" s="74"/>
      <c r="N154" s="1187"/>
      <c r="O154" s="74"/>
      <c r="P154" s="74"/>
      <c r="Q154" s="74"/>
      <c r="R154" s="74"/>
      <c r="S154" s="74"/>
      <c r="T154" s="74"/>
      <c r="U154" s="74"/>
      <c r="V154" s="74"/>
      <c r="W154" s="74"/>
      <c r="X154" s="74"/>
      <c r="Y154" s="74"/>
      <c r="Z154" s="74"/>
      <c r="AA154" s="74"/>
      <c r="AB154" s="1171"/>
      <c r="AC154" s="1171"/>
      <c r="AD154" s="74"/>
      <c r="AE154" s="74"/>
      <c r="AF154" s="74"/>
      <c r="AG154" s="74"/>
      <c r="AH154" s="74"/>
      <c r="AI154" s="74"/>
      <c r="AJ154" s="74"/>
      <c r="AK154" s="74"/>
      <c r="AL154" s="74"/>
      <c r="AM154" s="74"/>
      <c r="AN154" s="74"/>
      <c r="AO154" s="74"/>
      <c r="AP154" s="74"/>
      <c r="AQ154" s="74"/>
      <c r="AR154" s="74"/>
      <c r="AS154" s="74"/>
    </row>
    <row r="155" spans="1:45" x14ac:dyDescent="0.25">
      <c r="A155" s="74"/>
      <c r="B155" s="74"/>
      <c r="C155" s="74"/>
      <c r="D155" s="74"/>
      <c r="E155" s="74"/>
      <c r="F155" s="74"/>
      <c r="G155" s="74"/>
      <c r="H155" s="74"/>
      <c r="I155" s="74"/>
      <c r="J155" s="74"/>
      <c r="K155" s="74"/>
      <c r="L155" s="74"/>
      <c r="M155" s="74"/>
      <c r="N155" s="1187"/>
      <c r="O155" s="74"/>
      <c r="P155" s="74"/>
      <c r="Q155" s="74"/>
      <c r="R155" s="74"/>
      <c r="S155" s="74"/>
      <c r="T155" s="74"/>
      <c r="U155" s="74"/>
      <c r="V155" s="74"/>
      <c r="W155" s="74"/>
      <c r="X155" s="74"/>
      <c r="Y155" s="74"/>
      <c r="Z155" s="74"/>
      <c r="AA155" s="74"/>
      <c r="AB155" s="1171"/>
      <c r="AC155" s="1171"/>
      <c r="AD155" s="74"/>
      <c r="AE155" s="74"/>
      <c r="AF155" s="74"/>
      <c r="AG155" s="74"/>
      <c r="AH155" s="74"/>
      <c r="AI155" s="74"/>
      <c r="AJ155" s="74"/>
      <c r="AK155" s="74"/>
      <c r="AL155" s="74"/>
      <c r="AM155" s="74"/>
      <c r="AN155" s="74"/>
      <c r="AO155" s="74"/>
      <c r="AP155" s="74"/>
      <c r="AQ155" s="74"/>
      <c r="AR155" s="74"/>
      <c r="AS155" s="74"/>
    </row>
    <row r="156" spans="1:45" x14ac:dyDescent="0.25">
      <c r="A156" s="74"/>
      <c r="B156" s="74"/>
      <c r="C156" s="74"/>
      <c r="D156" s="74"/>
      <c r="E156" s="74"/>
      <c r="F156" s="74"/>
      <c r="G156" s="74"/>
      <c r="H156" s="74"/>
      <c r="I156" s="74"/>
      <c r="J156" s="74"/>
      <c r="K156" s="74"/>
      <c r="L156" s="74"/>
      <c r="M156" s="74"/>
      <c r="N156" s="1187"/>
      <c r="O156" s="74"/>
      <c r="P156" s="74"/>
      <c r="Q156" s="74"/>
      <c r="R156" s="74"/>
      <c r="S156" s="74"/>
      <c r="T156" s="74"/>
      <c r="U156" s="74"/>
      <c r="V156" s="74"/>
      <c r="W156" s="74"/>
      <c r="X156" s="74"/>
      <c r="Y156" s="74"/>
      <c r="Z156" s="74"/>
      <c r="AA156" s="74"/>
      <c r="AB156" s="1171"/>
      <c r="AC156" s="1171"/>
      <c r="AD156" s="74"/>
      <c r="AE156" s="74"/>
      <c r="AF156" s="74"/>
      <c r="AG156" s="74"/>
      <c r="AH156" s="74"/>
      <c r="AI156" s="74"/>
      <c r="AJ156" s="74"/>
      <c r="AK156" s="74"/>
      <c r="AL156" s="74"/>
      <c r="AM156" s="74"/>
      <c r="AN156" s="74"/>
      <c r="AO156" s="74"/>
      <c r="AP156" s="74"/>
      <c r="AQ156" s="74"/>
      <c r="AR156" s="74"/>
      <c r="AS156" s="74"/>
    </row>
    <row r="157" spans="1:45" x14ac:dyDescent="0.25">
      <c r="A157" s="74"/>
      <c r="B157" s="74"/>
      <c r="C157" s="74"/>
      <c r="D157" s="74"/>
      <c r="E157" s="74"/>
      <c r="F157" s="74"/>
      <c r="G157" s="74"/>
      <c r="H157" s="74"/>
      <c r="I157" s="74"/>
      <c r="J157" s="74"/>
      <c r="K157" s="74"/>
      <c r="L157" s="74"/>
      <c r="M157" s="74"/>
      <c r="N157" s="1187"/>
      <c r="O157" s="74"/>
      <c r="P157" s="74"/>
      <c r="Q157" s="74"/>
      <c r="R157" s="74"/>
      <c r="S157" s="74"/>
      <c r="T157" s="74"/>
      <c r="U157" s="74"/>
      <c r="V157" s="74"/>
      <c r="W157" s="74"/>
      <c r="X157" s="74"/>
      <c r="Y157" s="74"/>
      <c r="Z157" s="74"/>
      <c r="AA157" s="74"/>
      <c r="AB157" s="1171"/>
      <c r="AC157" s="1171"/>
      <c r="AD157" s="74"/>
      <c r="AE157" s="74"/>
      <c r="AF157" s="74"/>
      <c r="AG157" s="74"/>
      <c r="AH157" s="74"/>
      <c r="AI157" s="74"/>
      <c r="AJ157" s="74"/>
      <c r="AK157" s="74"/>
      <c r="AL157" s="74"/>
      <c r="AM157" s="74"/>
      <c r="AN157" s="74"/>
      <c r="AO157" s="74"/>
      <c r="AP157" s="74"/>
      <c r="AQ157" s="74"/>
      <c r="AR157" s="74"/>
      <c r="AS157" s="74"/>
    </row>
    <row r="158" spans="1:45" x14ac:dyDescent="0.25">
      <c r="A158" s="74"/>
      <c r="B158" s="74"/>
      <c r="C158" s="74"/>
      <c r="D158" s="74"/>
      <c r="E158" s="74"/>
      <c r="F158" s="74"/>
      <c r="G158" s="74"/>
      <c r="H158" s="74"/>
      <c r="I158" s="74"/>
      <c r="J158" s="74"/>
      <c r="K158" s="74"/>
      <c r="L158" s="74"/>
      <c r="M158" s="74"/>
      <c r="N158" s="1187"/>
      <c r="O158" s="74"/>
      <c r="P158" s="74"/>
      <c r="Q158" s="74"/>
      <c r="R158" s="74"/>
      <c r="S158" s="74"/>
      <c r="T158" s="74"/>
      <c r="U158" s="74"/>
      <c r="V158" s="74"/>
      <c r="W158" s="74"/>
      <c r="X158" s="74"/>
      <c r="Y158" s="74"/>
      <c r="Z158" s="74"/>
      <c r="AA158" s="74"/>
      <c r="AB158" s="1171"/>
      <c r="AC158" s="1171"/>
      <c r="AD158" s="74"/>
      <c r="AE158" s="74"/>
      <c r="AF158" s="74"/>
      <c r="AG158" s="74"/>
      <c r="AH158" s="74"/>
      <c r="AI158" s="74"/>
      <c r="AJ158" s="74"/>
      <c r="AK158" s="74"/>
      <c r="AL158" s="74"/>
      <c r="AM158" s="74"/>
      <c r="AN158" s="74"/>
      <c r="AO158" s="74"/>
      <c r="AP158" s="74"/>
      <c r="AQ158" s="74"/>
      <c r="AR158" s="74"/>
      <c r="AS158" s="74"/>
    </row>
    <row r="159" spans="1:45" x14ac:dyDescent="0.25">
      <c r="A159" s="74"/>
      <c r="B159" s="74"/>
      <c r="C159" s="74"/>
      <c r="D159" s="74"/>
      <c r="E159" s="74"/>
      <c r="F159" s="74"/>
      <c r="G159" s="74"/>
      <c r="H159" s="74"/>
      <c r="I159" s="74"/>
      <c r="J159" s="74"/>
      <c r="K159" s="74"/>
      <c r="L159" s="74"/>
      <c r="M159" s="74"/>
      <c r="N159" s="1187"/>
      <c r="O159" s="74"/>
      <c r="P159" s="74"/>
      <c r="Q159" s="74"/>
      <c r="R159" s="74"/>
      <c r="S159" s="74"/>
      <c r="T159" s="74"/>
      <c r="U159" s="74"/>
      <c r="V159" s="74"/>
      <c r="W159" s="74"/>
      <c r="X159" s="74"/>
      <c r="Y159" s="74"/>
      <c r="Z159" s="74"/>
      <c r="AA159" s="74"/>
      <c r="AB159" s="1171"/>
      <c r="AC159" s="1171"/>
      <c r="AD159" s="74"/>
      <c r="AE159" s="74"/>
      <c r="AF159" s="74"/>
      <c r="AG159" s="74"/>
      <c r="AH159" s="74"/>
      <c r="AI159" s="74"/>
      <c r="AJ159" s="74"/>
      <c r="AK159" s="74"/>
      <c r="AL159" s="74"/>
      <c r="AM159" s="74"/>
      <c r="AN159" s="74"/>
      <c r="AO159" s="74"/>
      <c r="AP159" s="74"/>
      <c r="AQ159" s="74"/>
      <c r="AR159" s="74"/>
      <c r="AS159" s="74"/>
    </row>
    <row r="160" spans="1:45" x14ac:dyDescent="0.25">
      <c r="A160" s="74"/>
      <c r="B160" s="74"/>
      <c r="C160" s="74"/>
      <c r="D160" s="74"/>
      <c r="E160" s="74"/>
      <c r="F160" s="74"/>
      <c r="G160" s="74"/>
      <c r="H160" s="74"/>
      <c r="I160" s="74"/>
      <c r="J160" s="74"/>
      <c r="K160" s="74"/>
      <c r="L160" s="74"/>
      <c r="M160" s="74"/>
      <c r="N160" s="1187"/>
      <c r="O160" s="74"/>
      <c r="P160" s="74"/>
      <c r="Q160" s="74"/>
      <c r="R160" s="74"/>
      <c r="S160" s="74"/>
      <c r="T160" s="74"/>
      <c r="U160" s="74"/>
      <c r="V160" s="74"/>
      <c r="W160" s="74"/>
      <c r="X160" s="74"/>
      <c r="Y160" s="74"/>
      <c r="Z160" s="74"/>
      <c r="AA160" s="74"/>
      <c r="AB160" s="1171"/>
      <c r="AC160" s="1171"/>
      <c r="AD160" s="74"/>
      <c r="AE160" s="74"/>
      <c r="AF160" s="74"/>
      <c r="AG160" s="74"/>
      <c r="AH160" s="74"/>
      <c r="AI160" s="74"/>
      <c r="AJ160" s="74"/>
      <c r="AK160" s="74"/>
      <c r="AL160" s="74"/>
      <c r="AM160" s="74"/>
      <c r="AN160" s="74"/>
      <c r="AO160" s="74"/>
      <c r="AP160" s="74"/>
      <c r="AQ160" s="74"/>
      <c r="AR160" s="74"/>
      <c r="AS160" s="74"/>
    </row>
    <row r="161" spans="1:45" x14ac:dyDescent="0.25">
      <c r="A161" s="74"/>
      <c r="B161" s="74"/>
      <c r="C161" s="74"/>
      <c r="D161" s="74"/>
      <c r="E161" s="74"/>
      <c r="F161" s="74"/>
      <c r="G161" s="74"/>
      <c r="H161" s="74"/>
      <c r="I161" s="74"/>
      <c r="J161" s="74"/>
      <c r="K161" s="74"/>
      <c r="L161" s="74"/>
      <c r="M161" s="74"/>
      <c r="N161" s="1187"/>
      <c r="O161" s="74"/>
      <c r="P161" s="74"/>
      <c r="Q161" s="74"/>
      <c r="R161" s="74"/>
      <c r="S161" s="74"/>
      <c r="T161" s="74"/>
      <c r="U161" s="74"/>
      <c r="V161" s="74"/>
      <c r="W161" s="74"/>
      <c r="X161" s="74"/>
      <c r="Y161" s="74"/>
      <c r="Z161" s="74"/>
      <c r="AA161" s="74"/>
      <c r="AB161" s="1171"/>
      <c r="AC161" s="1171"/>
      <c r="AD161" s="74"/>
      <c r="AE161" s="74"/>
      <c r="AF161" s="74"/>
      <c r="AG161" s="74"/>
      <c r="AH161" s="74"/>
      <c r="AI161" s="74"/>
      <c r="AJ161" s="74"/>
      <c r="AK161" s="74"/>
      <c r="AL161" s="74"/>
      <c r="AM161" s="74"/>
      <c r="AN161" s="74"/>
      <c r="AO161" s="74"/>
      <c r="AP161" s="74"/>
      <c r="AQ161" s="74"/>
      <c r="AR161" s="74"/>
      <c r="AS161" s="74"/>
    </row>
    <row r="162" spans="1:45" x14ac:dyDescent="0.25">
      <c r="A162" s="74"/>
      <c r="B162" s="74"/>
      <c r="C162" s="74"/>
      <c r="D162" s="74"/>
      <c r="E162" s="74"/>
      <c r="F162" s="74"/>
      <c r="G162" s="74"/>
      <c r="H162" s="74"/>
      <c r="I162" s="74"/>
      <c r="J162" s="74"/>
      <c r="K162" s="74"/>
      <c r="L162" s="74"/>
      <c r="M162" s="74"/>
      <c r="N162" s="1187"/>
      <c r="O162" s="74"/>
      <c r="P162" s="74"/>
      <c r="Q162" s="74"/>
      <c r="R162" s="74"/>
      <c r="S162" s="74"/>
      <c r="T162" s="74"/>
      <c r="U162" s="74"/>
      <c r="V162" s="74"/>
      <c r="W162" s="74"/>
      <c r="X162" s="74"/>
      <c r="Y162" s="74"/>
      <c r="Z162" s="74"/>
      <c r="AA162" s="74"/>
      <c r="AB162" s="1171"/>
      <c r="AC162" s="1171"/>
      <c r="AD162" s="74"/>
      <c r="AE162" s="74"/>
      <c r="AF162" s="74"/>
      <c r="AG162" s="74"/>
      <c r="AH162" s="74"/>
      <c r="AI162" s="74"/>
      <c r="AJ162" s="74"/>
      <c r="AK162" s="74"/>
      <c r="AL162" s="74"/>
      <c r="AM162" s="74"/>
      <c r="AN162" s="74"/>
      <c r="AO162" s="74"/>
      <c r="AP162" s="74"/>
      <c r="AQ162" s="74"/>
      <c r="AR162" s="74"/>
      <c r="AS162" s="74"/>
    </row>
    <row r="163" spans="1:45" x14ac:dyDescent="0.25">
      <c r="A163" s="74"/>
      <c r="B163" s="74"/>
      <c r="C163" s="74"/>
      <c r="D163" s="74"/>
      <c r="E163" s="74"/>
      <c r="F163" s="74"/>
      <c r="G163" s="74"/>
      <c r="H163" s="74"/>
      <c r="I163" s="74"/>
      <c r="J163" s="74"/>
      <c r="K163" s="74"/>
      <c r="L163" s="74"/>
      <c r="M163" s="74"/>
      <c r="N163" s="1187"/>
      <c r="O163" s="74"/>
      <c r="P163" s="74"/>
      <c r="Q163" s="74"/>
      <c r="R163" s="74"/>
      <c r="S163" s="74"/>
      <c r="T163" s="74"/>
      <c r="U163" s="74"/>
      <c r="V163" s="74"/>
      <c r="W163" s="74"/>
      <c r="X163" s="74"/>
      <c r="Y163" s="74"/>
      <c r="Z163" s="74"/>
      <c r="AA163" s="74"/>
      <c r="AB163" s="1171"/>
      <c r="AC163" s="1171"/>
      <c r="AD163" s="74"/>
      <c r="AE163" s="74"/>
      <c r="AF163" s="74"/>
      <c r="AG163" s="74"/>
      <c r="AH163" s="74"/>
      <c r="AI163" s="74"/>
      <c r="AJ163" s="74"/>
      <c r="AK163" s="74"/>
      <c r="AL163" s="74"/>
      <c r="AM163" s="74"/>
      <c r="AN163" s="74"/>
      <c r="AO163" s="74"/>
      <c r="AP163" s="74"/>
      <c r="AQ163" s="74"/>
      <c r="AR163" s="74"/>
      <c r="AS163" s="74"/>
    </row>
    <row r="164" spans="1:45" x14ac:dyDescent="0.25">
      <c r="A164" s="74"/>
      <c r="B164" s="74"/>
      <c r="C164" s="74"/>
      <c r="D164" s="74"/>
      <c r="E164" s="74"/>
      <c r="F164" s="74"/>
      <c r="G164" s="74"/>
      <c r="H164" s="74"/>
      <c r="I164" s="74"/>
      <c r="J164" s="74"/>
      <c r="K164" s="74"/>
      <c r="L164" s="74"/>
      <c r="M164" s="74"/>
      <c r="N164" s="1187"/>
      <c r="O164" s="74"/>
      <c r="P164" s="74"/>
      <c r="Q164" s="74"/>
      <c r="R164" s="74"/>
      <c r="S164" s="74"/>
      <c r="T164" s="74"/>
      <c r="U164" s="74"/>
      <c r="V164" s="74"/>
      <c r="W164" s="74"/>
      <c r="X164" s="74"/>
      <c r="Y164" s="74"/>
      <c r="Z164" s="74"/>
      <c r="AA164" s="74"/>
      <c r="AB164" s="1171"/>
      <c r="AC164" s="1171"/>
      <c r="AD164" s="74"/>
      <c r="AE164" s="74"/>
      <c r="AF164" s="74"/>
      <c r="AG164" s="74"/>
      <c r="AH164" s="74"/>
      <c r="AI164" s="74"/>
      <c r="AJ164" s="74"/>
      <c r="AK164" s="74"/>
      <c r="AL164" s="74"/>
      <c r="AM164" s="74"/>
      <c r="AN164" s="74"/>
      <c r="AO164" s="74"/>
      <c r="AP164" s="74"/>
      <c r="AQ164" s="74"/>
      <c r="AR164" s="74"/>
      <c r="AS164" s="74"/>
    </row>
    <row r="165" spans="1:45" x14ac:dyDescent="0.25">
      <c r="A165" s="74"/>
      <c r="B165" s="74"/>
      <c r="C165" s="74"/>
      <c r="D165" s="74"/>
      <c r="E165" s="74"/>
      <c r="F165" s="74"/>
      <c r="G165" s="74"/>
      <c r="H165" s="74"/>
      <c r="I165" s="74"/>
      <c r="J165" s="74"/>
      <c r="K165" s="74"/>
      <c r="L165" s="74"/>
      <c r="M165" s="74"/>
      <c r="N165" s="1187"/>
      <c r="O165" s="74"/>
      <c r="P165" s="74"/>
      <c r="Q165" s="74"/>
      <c r="R165" s="74"/>
      <c r="S165" s="74"/>
      <c r="T165" s="74"/>
      <c r="U165" s="74"/>
      <c r="V165" s="74"/>
      <c r="W165" s="74"/>
      <c r="X165" s="74"/>
      <c r="Y165" s="74"/>
      <c r="Z165" s="74"/>
      <c r="AA165" s="74"/>
      <c r="AB165" s="1171"/>
      <c r="AC165" s="1171"/>
      <c r="AD165" s="74"/>
      <c r="AE165" s="74"/>
      <c r="AF165" s="74"/>
      <c r="AG165" s="74"/>
      <c r="AH165" s="74"/>
      <c r="AI165" s="74"/>
      <c r="AJ165" s="74"/>
      <c r="AK165" s="74"/>
      <c r="AL165" s="74"/>
      <c r="AM165" s="74"/>
      <c r="AN165" s="74"/>
      <c r="AO165" s="74"/>
      <c r="AP165" s="74"/>
      <c r="AQ165" s="74"/>
      <c r="AR165" s="74"/>
      <c r="AS165" s="74"/>
    </row>
    <row r="166" spans="1:45" x14ac:dyDescent="0.25">
      <c r="A166" s="74"/>
      <c r="B166" s="74"/>
      <c r="C166" s="74"/>
      <c r="D166" s="74"/>
      <c r="E166" s="74"/>
      <c r="F166" s="74"/>
      <c r="G166" s="74"/>
      <c r="H166" s="74"/>
      <c r="I166" s="74"/>
      <c r="J166" s="74"/>
      <c r="K166" s="74"/>
      <c r="L166" s="74"/>
      <c r="M166" s="74"/>
      <c r="N166" s="1187"/>
      <c r="O166" s="74"/>
      <c r="P166" s="74"/>
      <c r="Q166" s="74"/>
      <c r="R166" s="74"/>
      <c r="S166" s="74"/>
      <c r="T166" s="74"/>
      <c r="U166" s="74"/>
      <c r="V166" s="74"/>
      <c r="W166" s="74"/>
      <c r="X166" s="74"/>
      <c r="Y166" s="74"/>
      <c r="Z166" s="74"/>
      <c r="AA166" s="74"/>
      <c r="AB166" s="1171"/>
      <c r="AC166" s="1171"/>
      <c r="AD166" s="74"/>
      <c r="AE166" s="74"/>
      <c r="AF166" s="74"/>
      <c r="AG166" s="74"/>
      <c r="AH166" s="74"/>
      <c r="AI166" s="74"/>
      <c r="AJ166" s="74"/>
      <c r="AK166" s="74"/>
      <c r="AL166" s="74"/>
      <c r="AM166" s="74"/>
      <c r="AN166" s="74"/>
      <c r="AO166" s="74"/>
      <c r="AP166" s="74"/>
      <c r="AQ166" s="74"/>
      <c r="AR166" s="74"/>
      <c r="AS166" s="74"/>
    </row>
    <row r="167" spans="1:45" x14ac:dyDescent="0.25">
      <c r="A167" s="74"/>
      <c r="B167" s="74"/>
      <c r="C167" s="74"/>
      <c r="D167" s="74"/>
      <c r="E167" s="74"/>
      <c r="F167" s="74"/>
      <c r="G167" s="74"/>
      <c r="H167" s="74"/>
      <c r="I167" s="74"/>
      <c r="J167" s="74"/>
      <c r="K167" s="74"/>
      <c r="L167" s="74"/>
      <c r="M167" s="74"/>
      <c r="N167" s="1187"/>
      <c r="O167" s="74"/>
      <c r="P167" s="74"/>
      <c r="Q167" s="74"/>
      <c r="R167" s="74"/>
      <c r="S167" s="74"/>
      <c r="T167" s="74"/>
      <c r="U167" s="74"/>
      <c r="V167" s="74"/>
      <c r="W167" s="74"/>
      <c r="X167" s="74"/>
      <c r="Y167" s="74"/>
      <c r="Z167" s="74"/>
      <c r="AA167" s="74"/>
      <c r="AB167" s="1171"/>
      <c r="AC167" s="1171"/>
      <c r="AD167" s="74"/>
      <c r="AE167" s="74"/>
      <c r="AF167" s="74"/>
      <c r="AG167" s="74"/>
      <c r="AH167" s="74"/>
      <c r="AI167" s="74"/>
      <c r="AJ167" s="74"/>
      <c r="AK167" s="74"/>
      <c r="AL167" s="74"/>
      <c r="AM167" s="74"/>
      <c r="AN167" s="74"/>
      <c r="AO167" s="74"/>
      <c r="AP167" s="74"/>
      <c r="AQ167" s="74"/>
      <c r="AR167" s="74"/>
      <c r="AS167" s="74"/>
    </row>
    <row r="168" spans="1:45" x14ac:dyDescent="0.25">
      <c r="A168" s="74"/>
      <c r="B168" s="74"/>
      <c r="C168" s="74"/>
      <c r="D168" s="74"/>
      <c r="E168" s="74"/>
      <c r="F168" s="74"/>
      <c r="G168" s="74"/>
      <c r="H168" s="74"/>
      <c r="I168" s="74"/>
      <c r="J168" s="74"/>
      <c r="K168" s="74"/>
      <c r="L168" s="74"/>
      <c r="M168" s="74"/>
      <c r="N168" s="1187"/>
      <c r="O168" s="74"/>
      <c r="P168" s="74"/>
      <c r="Q168" s="74"/>
      <c r="R168" s="74"/>
      <c r="S168" s="74"/>
      <c r="T168" s="74"/>
      <c r="U168" s="74"/>
      <c r="V168" s="74"/>
      <c r="W168" s="74"/>
      <c r="X168" s="74"/>
      <c r="Y168" s="74"/>
      <c r="Z168" s="74"/>
      <c r="AA168" s="74"/>
      <c r="AB168" s="1171"/>
      <c r="AC168" s="1171"/>
      <c r="AD168" s="74"/>
      <c r="AE168" s="74"/>
      <c r="AF168" s="74"/>
      <c r="AG168" s="74"/>
      <c r="AH168" s="74"/>
      <c r="AI168" s="74"/>
      <c r="AJ168" s="74"/>
      <c r="AK168" s="74"/>
      <c r="AL168" s="74"/>
      <c r="AM168" s="74"/>
      <c r="AN168" s="74"/>
      <c r="AO168" s="74"/>
      <c r="AP168" s="74"/>
      <c r="AQ168" s="74"/>
      <c r="AR168" s="74"/>
      <c r="AS168" s="74"/>
    </row>
    <row r="169" spans="1:45" x14ac:dyDescent="0.25">
      <c r="A169" s="74"/>
      <c r="B169" s="74"/>
      <c r="C169" s="74"/>
      <c r="D169" s="74"/>
      <c r="E169" s="74"/>
      <c r="F169" s="74"/>
      <c r="G169" s="74"/>
      <c r="H169" s="74"/>
      <c r="I169" s="74"/>
      <c r="J169" s="74"/>
      <c r="K169" s="74"/>
      <c r="L169" s="74"/>
      <c r="M169" s="74"/>
      <c r="N169" s="1187"/>
      <c r="O169" s="74"/>
      <c r="P169" s="74"/>
      <c r="Q169" s="74"/>
      <c r="R169" s="74"/>
      <c r="S169" s="74"/>
      <c r="T169" s="74"/>
      <c r="U169" s="74"/>
      <c r="V169" s="74"/>
      <c r="W169" s="74"/>
      <c r="X169" s="74"/>
      <c r="Y169" s="74"/>
      <c r="Z169" s="74"/>
      <c r="AA169" s="74"/>
      <c r="AB169" s="1171"/>
      <c r="AC169" s="1171"/>
      <c r="AD169" s="74"/>
      <c r="AE169" s="74"/>
      <c r="AF169" s="74"/>
      <c r="AG169" s="74"/>
      <c r="AH169" s="74"/>
      <c r="AI169" s="74"/>
      <c r="AJ169" s="74"/>
      <c r="AK169" s="74"/>
      <c r="AL169" s="74"/>
      <c r="AM169" s="74"/>
      <c r="AN169" s="74"/>
      <c r="AO169" s="74"/>
      <c r="AP169" s="74"/>
      <c r="AQ169" s="74"/>
      <c r="AR169" s="74"/>
      <c r="AS169" s="74"/>
    </row>
    <row r="170" spans="1:45" x14ac:dyDescent="0.25">
      <c r="A170" s="74"/>
      <c r="B170" s="74"/>
      <c r="C170" s="74"/>
      <c r="D170" s="74"/>
      <c r="E170" s="74"/>
      <c r="F170" s="74"/>
      <c r="G170" s="74"/>
      <c r="H170" s="74"/>
      <c r="I170" s="74"/>
      <c r="J170" s="74"/>
      <c r="K170" s="74"/>
      <c r="L170" s="74"/>
      <c r="M170" s="74"/>
      <c r="N170" s="1187"/>
      <c r="O170" s="74"/>
      <c r="P170" s="74"/>
      <c r="Q170" s="74"/>
      <c r="R170" s="74"/>
      <c r="S170" s="74"/>
      <c r="T170" s="74"/>
      <c r="U170" s="74"/>
      <c r="V170" s="74"/>
      <c r="W170" s="74"/>
      <c r="X170" s="74"/>
      <c r="Y170" s="74"/>
      <c r="Z170" s="74"/>
      <c r="AA170" s="74"/>
      <c r="AB170" s="1171"/>
      <c r="AC170" s="1171"/>
      <c r="AD170" s="74"/>
      <c r="AE170" s="74"/>
      <c r="AF170" s="74"/>
      <c r="AG170" s="74"/>
      <c r="AH170" s="74"/>
      <c r="AI170" s="74"/>
      <c r="AJ170" s="74"/>
      <c r="AK170" s="74"/>
      <c r="AL170" s="74"/>
      <c r="AM170" s="74"/>
      <c r="AN170" s="74"/>
      <c r="AO170" s="74"/>
      <c r="AP170" s="74"/>
      <c r="AQ170" s="74"/>
      <c r="AR170" s="74"/>
      <c r="AS170" s="74"/>
    </row>
    <row r="171" spans="1:45" x14ac:dyDescent="0.25">
      <c r="A171" s="74"/>
      <c r="B171" s="74"/>
      <c r="C171" s="74"/>
      <c r="D171" s="74"/>
      <c r="E171" s="74"/>
      <c r="F171" s="74"/>
      <c r="G171" s="74"/>
      <c r="H171" s="74"/>
      <c r="I171" s="74"/>
      <c r="J171" s="74"/>
      <c r="K171" s="74"/>
      <c r="L171" s="74"/>
      <c r="M171" s="74"/>
      <c r="N171" s="1187"/>
      <c r="O171" s="74"/>
      <c r="P171" s="74"/>
      <c r="Q171" s="74"/>
      <c r="R171" s="74"/>
      <c r="S171" s="74"/>
      <c r="T171" s="74"/>
      <c r="U171" s="74"/>
      <c r="V171" s="74"/>
      <c r="W171" s="74"/>
      <c r="X171" s="74"/>
      <c r="Y171" s="74"/>
      <c r="Z171" s="74"/>
      <c r="AA171" s="74"/>
      <c r="AB171" s="1171"/>
      <c r="AC171" s="1171"/>
      <c r="AD171" s="74"/>
      <c r="AE171" s="74"/>
      <c r="AF171" s="74"/>
      <c r="AG171" s="74"/>
      <c r="AH171" s="74"/>
      <c r="AI171" s="74"/>
      <c r="AJ171" s="74"/>
      <c r="AK171" s="74"/>
      <c r="AL171" s="74"/>
      <c r="AM171" s="74"/>
      <c r="AN171" s="74"/>
      <c r="AO171" s="74"/>
      <c r="AP171" s="74"/>
      <c r="AQ171" s="74"/>
      <c r="AR171" s="74"/>
      <c r="AS171" s="74"/>
    </row>
    <row r="172" spans="1:45" x14ac:dyDescent="0.25">
      <c r="A172" s="74"/>
      <c r="B172" s="74"/>
      <c r="C172" s="74"/>
      <c r="D172" s="74"/>
      <c r="E172" s="74"/>
      <c r="F172" s="74"/>
      <c r="G172" s="74"/>
      <c r="H172" s="74"/>
      <c r="I172" s="74"/>
      <c r="J172" s="74"/>
      <c r="K172" s="74"/>
      <c r="L172" s="74"/>
      <c r="M172" s="74"/>
      <c r="N172" s="1187"/>
      <c r="O172" s="74"/>
      <c r="P172" s="74"/>
      <c r="Q172" s="74"/>
      <c r="R172" s="74"/>
      <c r="S172" s="74"/>
      <c r="T172" s="74"/>
      <c r="U172" s="74"/>
      <c r="V172" s="74"/>
      <c r="W172" s="74"/>
      <c r="X172" s="74"/>
      <c r="Y172" s="74"/>
      <c r="Z172" s="74"/>
      <c r="AA172" s="74"/>
      <c r="AB172" s="1171"/>
      <c r="AC172" s="1171"/>
      <c r="AD172" s="74"/>
      <c r="AE172" s="74"/>
      <c r="AF172" s="74"/>
      <c r="AG172" s="74"/>
      <c r="AH172" s="74"/>
      <c r="AI172" s="74"/>
      <c r="AJ172" s="74"/>
      <c r="AK172" s="74"/>
      <c r="AL172" s="74"/>
      <c r="AM172" s="74"/>
      <c r="AN172" s="74"/>
      <c r="AO172" s="74"/>
      <c r="AP172" s="74"/>
      <c r="AQ172" s="74"/>
      <c r="AR172" s="74"/>
      <c r="AS172" s="74"/>
    </row>
    <row r="173" spans="1:45" x14ac:dyDescent="0.25">
      <c r="A173" s="74"/>
      <c r="B173" s="74"/>
      <c r="C173" s="74"/>
      <c r="D173" s="74"/>
      <c r="E173" s="74"/>
      <c r="F173" s="74"/>
      <c r="G173" s="74"/>
      <c r="H173" s="74"/>
      <c r="I173" s="74"/>
      <c r="J173" s="74"/>
      <c r="K173" s="74"/>
      <c r="L173" s="74"/>
      <c r="M173" s="74"/>
      <c r="N173" s="1187"/>
      <c r="O173" s="74"/>
      <c r="P173" s="74"/>
      <c r="Q173" s="74"/>
      <c r="R173" s="74"/>
      <c r="S173" s="74"/>
      <c r="T173" s="74"/>
      <c r="U173" s="74"/>
      <c r="V173" s="74"/>
      <c r="W173" s="74"/>
      <c r="X173" s="74"/>
      <c r="Y173" s="74"/>
      <c r="Z173" s="74"/>
      <c r="AA173" s="74"/>
      <c r="AB173" s="1171"/>
      <c r="AC173" s="1171"/>
      <c r="AD173" s="74"/>
      <c r="AE173" s="74"/>
      <c r="AF173" s="74"/>
      <c r="AG173" s="74"/>
      <c r="AH173" s="74"/>
      <c r="AI173" s="74"/>
      <c r="AJ173" s="74"/>
      <c r="AK173" s="74"/>
      <c r="AL173" s="74"/>
      <c r="AM173" s="74"/>
      <c r="AN173" s="74"/>
      <c r="AO173" s="74"/>
      <c r="AP173" s="74"/>
      <c r="AQ173" s="74"/>
      <c r="AR173" s="74"/>
      <c r="AS173" s="74"/>
    </row>
    <row r="174" spans="1:45" x14ac:dyDescent="0.25">
      <c r="A174" s="74"/>
      <c r="B174" s="74"/>
      <c r="C174" s="74"/>
      <c r="D174" s="74"/>
      <c r="E174" s="74"/>
      <c r="F174" s="74"/>
      <c r="G174" s="74"/>
      <c r="H174" s="74"/>
      <c r="I174" s="74"/>
      <c r="J174" s="74"/>
      <c r="K174" s="74"/>
      <c r="L174" s="74"/>
      <c r="M174" s="74"/>
      <c r="N174" s="1187"/>
      <c r="O174" s="74"/>
      <c r="P174" s="74"/>
      <c r="Q174" s="74"/>
      <c r="R174" s="74"/>
      <c r="S174" s="74"/>
      <c r="T174" s="74"/>
      <c r="U174" s="74"/>
      <c r="V174" s="74"/>
      <c r="W174" s="74"/>
      <c r="X174" s="74"/>
      <c r="Y174" s="74"/>
      <c r="Z174" s="74"/>
      <c r="AA174" s="74"/>
      <c r="AB174" s="1171"/>
      <c r="AC174" s="1171"/>
      <c r="AD174" s="74"/>
      <c r="AE174" s="74"/>
      <c r="AF174" s="74"/>
      <c r="AG174" s="74"/>
      <c r="AH174" s="74"/>
      <c r="AI174" s="74"/>
      <c r="AJ174" s="74"/>
      <c r="AK174" s="74"/>
      <c r="AL174" s="74"/>
      <c r="AM174" s="74"/>
      <c r="AN174" s="74"/>
      <c r="AO174" s="74"/>
      <c r="AP174" s="74"/>
      <c r="AQ174" s="74"/>
      <c r="AR174" s="74"/>
      <c r="AS174" s="74"/>
    </row>
    <row r="175" spans="1:45" x14ac:dyDescent="0.25">
      <c r="A175" s="74"/>
      <c r="B175" s="74"/>
      <c r="C175" s="74"/>
      <c r="D175" s="74"/>
      <c r="E175" s="74"/>
      <c r="F175" s="74"/>
      <c r="G175" s="74"/>
      <c r="H175" s="74"/>
      <c r="I175" s="74"/>
      <c r="J175" s="74"/>
      <c r="K175" s="74"/>
      <c r="L175" s="74"/>
      <c r="M175" s="74"/>
      <c r="N175" s="1187"/>
      <c r="O175" s="74"/>
      <c r="P175" s="74"/>
      <c r="Q175" s="74"/>
      <c r="R175" s="74"/>
      <c r="S175" s="74"/>
      <c r="T175" s="74"/>
      <c r="U175" s="74"/>
      <c r="V175" s="74"/>
      <c r="W175" s="74"/>
      <c r="X175" s="74"/>
      <c r="Y175" s="74"/>
      <c r="Z175" s="74"/>
      <c r="AA175" s="74"/>
      <c r="AB175" s="1171"/>
      <c r="AC175" s="1171"/>
      <c r="AD175" s="74"/>
      <c r="AE175" s="74"/>
      <c r="AF175" s="74"/>
      <c r="AG175" s="74"/>
      <c r="AH175" s="74"/>
      <c r="AI175" s="74"/>
      <c r="AJ175" s="74"/>
      <c r="AK175" s="74"/>
      <c r="AL175" s="74"/>
      <c r="AM175" s="74"/>
      <c r="AN175" s="74"/>
      <c r="AO175" s="74"/>
      <c r="AP175" s="74"/>
      <c r="AQ175" s="74"/>
      <c r="AR175" s="74"/>
      <c r="AS175" s="74"/>
    </row>
    <row r="176" spans="1:45" x14ac:dyDescent="0.25">
      <c r="A176" s="74"/>
      <c r="B176" s="74"/>
      <c r="C176" s="74"/>
      <c r="D176" s="74"/>
      <c r="E176" s="74"/>
      <c r="F176" s="74"/>
      <c r="G176" s="74"/>
      <c r="H176" s="74"/>
      <c r="I176" s="74"/>
      <c r="J176" s="74"/>
      <c r="K176" s="74"/>
      <c r="L176" s="74"/>
      <c r="M176" s="74"/>
      <c r="N176" s="1187"/>
      <c r="O176" s="74"/>
      <c r="P176" s="74"/>
      <c r="Q176" s="74"/>
      <c r="R176" s="74"/>
      <c r="S176" s="74"/>
      <c r="T176" s="74"/>
      <c r="U176" s="74"/>
      <c r="V176" s="74"/>
      <c r="W176" s="74"/>
      <c r="X176" s="74"/>
      <c r="Y176" s="74"/>
      <c r="Z176" s="74"/>
      <c r="AA176" s="74"/>
      <c r="AB176" s="1171"/>
      <c r="AC176" s="1171"/>
      <c r="AD176" s="74"/>
      <c r="AE176" s="74"/>
      <c r="AF176" s="74"/>
      <c r="AG176" s="74"/>
      <c r="AH176" s="74"/>
      <c r="AI176" s="74"/>
      <c r="AJ176" s="74"/>
      <c r="AK176" s="74"/>
      <c r="AL176" s="74"/>
      <c r="AM176" s="74"/>
      <c r="AN176" s="74"/>
      <c r="AO176" s="74"/>
      <c r="AP176" s="74"/>
      <c r="AQ176" s="74"/>
      <c r="AR176" s="74"/>
      <c r="AS176" s="74"/>
    </row>
    <row r="177" spans="1:45" x14ac:dyDescent="0.25">
      <c r="A177" s="74"/>
      <c r="B177" s="74"/>
      <c r="C177" s="74"/>
      <c r="D177" s="74"/>
      <c r="E177" s="74"/>
      <c r="F177" s="74"/>
      <c r="G177" s="74"/>
      <c r="H177" s="74"/>
      <c r="I177" s="74"/>
      <c r="J177" s="74"/>
      <c r="K177" s="74"/>
      <c r="L177" s="74"/>
      <c r="M177" s="74"/>
      <c r="N177" s="1187"/>
      <c r="O177" s="74"/>
      <c r="P177" s="74"/>
      <c r="Q177" s="74"/>
      <c r="R177" s="74"/>
      <c r="S177" s="74"/>
      <c r="T177" s="74"/>
      <c r="U177" s="74"/>
      <c r="V177" s="74"/>
      <c r="W177" s="74"/>
      <c r="X177" s="74"/>
      <c r="Y177" s="74"/>
      <c r="Z177" s="74"/>
      <c r="AA177" s="74"/>
      <c r="AB177" s="1171"/>
      <c r="AC177" s="1171"/>
      <c r="AD177" s="74"/>
      <c r="AE177" s="74"/>
      <c r="AF177" s="74"/>
      <c r="AG177" s="74"/>
      <c r="AH177" s="74"/>
      <c r="AI177" s="74"/>
      <c r="AJ177" s="74"/>
      <c r="AK177" s="74"/>
      <c r="AL177" s="74"/>
      <c r="AM177" s="74"/>
      <c r="AN177" s="74"/>
      <c r="AO177" s="74"/>
      <c r="AP177" s="74"/>
      <c r="AQ177" s="74"/>
      <c r="AR177" s="74"/>
      <c r="AS177" s="74"/>
    </row>
  </sheetData>
  <sheetProtection algorithmName="SHA-512" hashValue="znE5feXk/VBsCHaPUGiorJwh8GZ5PBsRrqoLdaCk1/88CHPybki3P8iiaIRoek1VxWakcBGb0HRSc2wfEF7yzA==" saltValue="g07TNsAVL//N/oY5DG1MTw==" spinCount="100000" sheet="1" objects="1" scenarios="1" selectLockedCells="1"/>
  <mergeCells count="95">
    <mergeCell ref="G86:J87"/>
    <mergeCell ref="L42:L45"/>
    <mergeCell ref="F1:H1"/>
    <mergeCell ref="E74:E75"/>
    <mergeCell ref="L74:L75"/>
    <mergeCell ref="K56:K57"/>
    <mergeCell ref="F74:F75"/>
    <mergeCell ref="G74:G75"/>
    <mergeCell ref="H74:H75"/>
    <mergeCell ref="I74:I75"/>
    <mergeCell ref="J74:J75"/>
    <mergeCell ref="K74:K75"/>
    <mergeCell ref="F56:F57"/>
    <mergeCell ref="G56:G57"/>
    <mergeCell ref="H56:H57"/>
    <mergeCell ref="I56:I57"/>
    <mergeCell ref="AB2:AC2"/>
    <mergeCell ref="F67:F69"/>
    <mergeCell ref="G67:G69"/>
    <mergeCell ref="H67:H69"/>
    <mergeCell ref="I67:I69"/>
    <mergeCell ref="J67:J69"/>
    <mergeCell ref="K67:K69"/>
    <mergeCell ref="F62:F64"/>
    <mergeCell ref="G62:G64"/>
    <mergeCell ref="H62:H64"/>
    <mergeCell ref="I62:I64"/>
    <mergeCell ref="J62:J64"/>
    <mergeCell ref="K62:K64"/>
    <mergeCell ref="F20:F22"/>
    <mergeCell ref="L19:L22"/>
    <mergeCell ref="L26:L29"/>
    <mergeCell ref="D85:J85"/>
    <mergeCell ref="B81:K81"/>
    <mergeCell ref="B80:K80"/>
    <mergeCell ref="E55:E56"/>
    <mergeCell ref="L55:L56"/>
    <mergeCell ref="E61:E64"/>
    <mergeCell ref="L66:L69"/>
    <mergeCell ref="L61:L64"/>
    <mergeCell ref="G20:G22"/>
    <mergeCell ref="D3:L3"/>
    <mergeCell ref="E26:E29"/>
    <mergeCell ref="L47:L50"/>
    <mergeCell ref="G84:J84"/>
    <mergeCell ref="H20:H22"/>
    <mergeCell ref="L32:L33"/>
    <mergeCell ref="K32:K33"/>
    <mergeCell ref="J56:J57"/>
    <mergeCell ref="C4:D4"/>
    <mergeCell ref="D5:L5"/>
    <mergeCell ref="F4:K4"/>
    <mergeCell ref="X3:Y3"/>
    <mergeCell ref="C2:D2"/>
    <mergeCell ref="R3:S3"/>
    <mergeCell ref="O3:Q3"/>
    <mergeCell ref="T3:U3"/>
    <mergeCell ref="V3:W3"/>
    <mergeCell ref="V2:W2"/>
    <mergeCell ref="R2:S2"/>
    <mergeCell ref="T2:U2"/>
    <mergeCell ref="O2:Q2"/>
    <mergeCell ref="X2:Y2"/>
    <mergeCell ref="G96:J96"/>
    <mergeCell ref="G97:J97"/>
    <mergeCell ref="D92:J92"/>
    <mergeCell ref="G27:G29"/>
    <mergeCell ref="H27:H29"/>
    <mergeCell ref="I27:I29"/>
    <mergeCell ref="E66:E69"/>
    <mergeCell ref="F32:F33"/>
    <mergeCell ref="F27:F29"/>
    <mergeCell ref="H32:H33"/>
    <mergeCell ref="I32:I33"/>
    <mergeCell ref="J32:J33"/>
    <mergeCell ref="G32:G33"/>
    <mergeCell ref="J27:J29"/>
    <mergeCell ref="G95:J95"/>
    <mergeCell ref="E32:E33"/>
    <mergeCell ref="B1:D1"/>
    <mergeCell ref="B79:K79"/>
    <mergeCell ref="E19:E22"/>
    <mergeCell ref="L8:L11"/>
    <mergeCell ref="E8:E12"/>
    <mergeCell ref="F9:F11"/>
    <mergeCell ref="G9:G11"/>
    <mergeCell ref="H9:H11"/>
    <mergeCell ref="I9:I11"/>
    <mergeCell ref="J9:J11"/>
    <mergeCell ref="K9:K11"/>
    <mergeCell ref="J20:J22"/>
    <mergeCell ref="K27:K29"/>
    <mergeCell ref="K20:K22"/>
    <mergeCell ref="I20:I22"/>
    <mergeCell ref="E14:E15"/>
  </mergeCells>
  <conditionalFormatting sqref="D24">
    <cfRule type="expression" dxfId="105" priority="125">
      <formula>$AA$24=0</formula>
    </cfRule>
  </conditionalFormatting>
  <conditionalFormatting sqref="D14:D15">
    <cfRule type="expression" dxfId="104" priority="126">
      <formula>$AA$14=0</formula>
    </cfRule>
  </conditionalFormatting>
  <conditionalFormatting sqref="D12">
    <cfRule type="expression" dxfId="103" priority="127">
      <formula>$AA$12=0</formula>
    </cfRule>
  </conditionalFormatting>
  <conditionalFormatting sqref="D9:D11 D20:D22 D27:D29 D62:D64 D67:D69 D35 D73">
    <cfRule type="expression" dxfId="102" priority="128">
      <formula>$AA9=0</formula>
    </cfRule>
  </conditionalFormatting>
  <conditionalFormatting sqref="D39 D41">
    <cfRule type="expression" dxfId="101" priority="131">
      <formula>$AA$39=0</formula>
    </cfRule>
  </conditionalFormatting>
  <conditionalFormatting sqref="D74:D75">
    <cfRule type="expression" dxfId="100" priority="132">
      <formula>$AA$74=0</formula>
    </cfRule>
  </conditionalFormatting>
  <conditionalFormatting sqref="D76">
    <cfRule type="expression" dxfId="99" priority="133">
      <formula>$AA$76=0</formula>
    </cfRule>
  </conditionalFormatting>
  <conditionalFormatting sqref="D36">
    <cfRule type="expression" dxfId="98" priority="149">
      <formula>$AA$37=0</formula>
    </cfRule>
  </conditionalFormatting>
  <conditionalFormatting sqref="D42">
    <cfRule type="expression" dxfId="97" priority="150">
      <formula>$AA$42=0</formula>
    </cfRule>
  </conditionalFormatting>
  <conditionalFormatting sqref="D55">
    <cfRule type="expression" dxfId="96" priority="151">
      <formula>$AA$55=0</formula>
    </cfRule>
  </conditionalFormatting>
  <conditionalFormatting sqref="A2">
    <cfRule type="expression" dxfId="95" priority="152">
      <formula>$AD$6&gt;=1</formula>
    </cfRule>
  </conditionalFormatting>
  <conditionalFormatting sqref="D56">
    <cfRule type="expression" dxfId="94" priority="153">
      <formula>$AA$56=0</formula>
    </cfRule>
  </conditionalFormatting>
  <conditionalFormatting sqref="D43">
    <cfRule type="expression" dxfId="93" priority="154">
      <formula>$AA$43=0</formula>
    </cfRule>
  </conditionalFormatting>
  <conditionalFormatting sqref="D44">
    <cfRule type="expression" dxfId="92" priority="155">
      <formula>$AA$44=0</formula>
    </cfRule>
  </conditionalFormatting>
  <conditionalFormatting sqref="D45">
    <cfRule type="expression" dxfId="91" priority="156">
      <formula>$AA$45=0</formula>
    </cfRule>
  </conditionalFormatting>
  <conditionalFormatting sqref="D48">
    <cfRule type="expression" dxfId="90" priority="157">
      <formula>$AA$48=0</formula>
    </cfRule>
  </conditionalFormatting>
  <conditionalFormatting sqref="D49">
    <cfRule type="expression" dxfId="89" priority="158">
      <formula>$AA$49=0</formula>
    </cfRule>
  </conditionalFormatting>
  <conditionalFormatting sqref="D50">
    <cfRule type="expression" dxfId="88" priority="159">
      <formula>$AA$50=0</formula>
    </cfRule>
  </conditionalFormatting>
  <conditionalFormatting sqref="D34">
    <cfRule type="expression" dxfId="87" priority="160">
      <formula>$AA$34=0</formula>
    </cfRule>
  </conditionalFormatting>
  <conditionalFormatting sqref="I9 K9 G9 F9">
    <cfRule type="expression" dxfId="86" priority="161">
      <formula>$AB$9=1</formula>
    </cfRule>
  </conditionalFormatting>
  <conditionalFormatting sqref="G12 I12 K12 F12">
    <cfRule type="expression" dxfId="85" priority="164">
      <formula>$AB$12=1</formula>
    </cfRule>
  </conditionalFormatting>
  <conditionalFormatting sqref="G15 I15 K15 F15">
    <cfRule type="expression" dxfId="84" priority="167">
      <formula>$AB$15=1</formula>
    </cfRule>
  </conditionalFormatting>
  <conditionalFormatting sqref="G20 I20 K20 F20">
    <cfRule type="expression" dxfId="83" priority="170">
      <formula>$AB$20=1</formula>
    </cfRule>
  </conditionalFormatting>
  <conditionalFormatting sqref="I24:K24">
    <cfRule type="expression" dxfId="82" priority="173">
      <formula>$AB$24=1</formula>
    </cfRule>
  </conditionalFormatting>
  <conditionalFormatting sqref="G27 I27 K27 F27">
    <cfRule type="expression" dxfId="81" priority="174">
      <formula>$AB$27=1</formula>
    </cfRule>
  </conditionalFormatting>
  <conditionalFormatting sqref="K62 I62 G62 F62">
    <cfRule type="expression" dxfId="80" priority="177">
      <formula>$AB$62=1</formula>
    </cfRule>
  </conditionalFormatting>
  <conditionalFormatting sqref="G67 I67 F67">
    <cfRule type="expression" dxfId="79" priority="180">
      <formula>$AB$67=1</formula>
    </cfRule>
  </conditionalFormatting>
  <conditionalFormatting sqref="I32 K32 F32:G32">
    <cfRule type="expression" dxfId="78" priority="183">
      <formula>$AB$32=1</formula>
    </cfRule>
  </conditionalFormatting>
  <conditionalFormatting sqref="I34:K34 F34:G34">
    <cfRule type="expression" dxfId="77" priority="189">
      <formula>$AB$34=1</formula>
    </cfRule>
  </conditionalFormatting>
  <conditionalFormatting sqref="I35:K35 F35 G35">
    <cfRule type="expression" dxfId="76" priority="190">
      <formula>$AB$35=1</formula>
    </cfRule>
  </conditionalFormatting>
  <conditionalFormatting sqref="F37:G37 I37 K37">
    <cfRule type="expression" dxfId="75" priority="191">
      <formula>$AB$37=1</formula>
    </cfRule>
  </conditionalFormatting>
  <conditionalFormatting sqref="F38:G38">
    <cfRule type="expression" dxfId="74" priority="194">
      <formula>$AB$38=1</formula>
    </cfRule>
  </conditionalFormatting>
  <conditionalFormatting sqref="I39:K39 F39:G39">
    <cfRule type="expression" dxfId="73" priority="197">
      <formula>$AB$39=1</formula>
    </cfRule>
  </conditionalFormatting>
  <conditionalFormatting sqref="F55:G55 I55:K55">
    <cfRule type="expression" dxfId="72" priority="198">
      <formula>$AB$55=1</formula>
    </cfRule>
  </conditionalFormatting>
  <conditionalFormatting sqref="F56:G57 I56:K56">
    <cfRule type="expression" dxfId="71" priority="199">
      <formula>$AB$56=1</formula>
    </cfRule>
  </conditionalFormatting>
  <conditionalFormatting sqref="I58:K58">
    <cfRule type="expression" dxfId="70" priority="200">
      <formula>$AB$58=1</formula>
    </cfRule>
  </conditionalFormatting>
  <conditionalFormatting sqref="G73 I73 K73 F73">
    <cfRule type="expression" dxfId="69" priority="201">
      <formula>$AB$73=1</formula>
    </cfRule>
  </conditionalFormatting>
  <conditionalFormatting sqref="I74:I75 K74:K75">
    <cfRule type="expression" dxfId="68" priority="204">
      <formula>$AB$74=1</formula>
    </cfRule>
  </conditionalFormatting>
  <conditionalFormatting sqref="F74:G75">
    <cfRule type="expression" dxfId="67" priority="207">
      <formula>$AB$74=1</formula>
    </cfRule>
  </conditionalFormatting>
  <conditionalFormatting sqref="I76 K76">
    <cfRule type="expression" dxfId="66" priority="210">
      <formula>$AB$76=1</formula>
    </cfRule>
  </conditionalFormatting>
  <conditionalFormatting sqref="F52:G52 I52:K52">
    <cfRule type="expression" dxfId="65" priority="211">
      <formula>$AB$52=1</formula>
    </cfRule>
  </conditionalFormatting>
  <conditionalFormatting sqref="I48:K48 F48:G48">
    <cfRule type="expression" dxfId="64" priority="212">
      <formula>$AB$48=1</formula>
    </cfRule>
  </conditionalFormatting>
  <conditionalFormatting sqref="F50:G50 I50:K50">
    <cfRule type="expression" dxfId="63" priority="213">
      <formula>$AB50=1</formula>
    </cfRule>
  </conditionalFormatting>
  <conditionalFormatting sqref="G76">
    <cfRule type="expression" dxfId="62" priority="18">
      <formula>$AB$76=1</formula>
    </cfRule>
  </conditionalFormatting>
  <conditionalFormatting sqref="F67 K67">
    <cfRule type="expression" dxfId="61" priority="17">
      <formula>$AB$67=1</formula>
    </cfRule>
  </conditionalFormatting>
  <conditionalFormatting sqref="K38">
    <cfRule type="expression" dxfId="60" priority="16">
      <formula>$AB$38=1</formula>
    </cfRule>
  </conditionalFormatting>
  <conditionalFormatting sqref="I38">
    <cfRule type="expression" dxfId="59" priority="15">
      <formula>$AB$38=1</formula>
    </cfRule>
  </conditionalFormatting>
  <conditionalFormatting sqref="D41">
    <cfRule type="expression" dxfId="58" priority="9">
      <formula>$AB$39=0</formula>
    </cfRule>
    <cfRule type="expression" dxfId="57" priority="14">
      <formula>$AB$39=1</formula>
    </cfRule>
  </conditionalFormatting>
  <conditionalFormatting sqref="D40">
    <cfRule type="expression" dxfId="56" priority="10">
      <formula>$AB$39=0</formula>
    </cfRule>
    <cfRule type="expression" dxfId="55" priority="12">
      <formula>$AA$39=0</formula>
    </cfRule>
  </conditionalFormatting>
  <conditionalFormatting sqref="D33">
    <cfRule type="expression" dxfId="54" priority="8">
      <formula>$AB$32=0</formula>
    </cfRule>
  </conditionalFormatting>
  <conditionalFormatting sqref="D38">
    <cfRule type="expression" dxfId="53" priority="7">
      <formula>$AA$37=0</formula>
    </cfRule>
  </conditionalFormatting>
  <conditionalFormatting sqref="D52">
    <cfRule type="expression" dxfId="52" priority="6">
      <formula>$AA$52=0</formula>
    </cfRule>
  </conditionalFormatting>
  <conditionalFormatting sqref="F76">
    <cfRule type="expression" dxfId="51" priority="5">
      <formula>$AB$76=1</formula>
    </cfRule>
  </conditionalFormatting>
  <conditionalFormatting sqref="F49:G49 I49:K49">
    <cfRule type="expression" dxfId="50" priority="4">
      <formula>$AB$49=1</formula>
    </cfRule>
  </conditionalFormatting>
  <conditionalFormatting sqref="F45:G45 I45:K45">
    <cfRule type="expression" dxfId="49" priority="3">
      <formula>$AB$45=1</formula>
    </cfRule>
  </conditionalFormatting>
  <conditionalFormatting sqref="F44:G44 I44:K44">
    <cfRule type="expression" dxfId="48" priority="2">
      <formula>$AB$44=1</formula>
    </cfRule>
  </conditionalFormatting>
  <conditionalFormatting sqref="F43:G43 I43:K43">
    <cfRule type="expression" dxfId="47" priority="1">
      <formula>$AB$43=1</formula>
    </cfRule>
  </conditionalFormatting>
  <dataValidations count="8">
    <dataValidation type="list" allowBlank="1" showInputMessage="1" showErrorMessage="1" sqref="D10">
      <formula1>materials</formula1>
    </dataValidation>
    <dataValidation type="list" allowBlank="1" showInputMessage="1" showErrorMessage="1" sqref="D69 D22 D29 D64">
      <formula1>layer</formula1>
    </dataValidation>
    <dataValidation type="list" allowBlank="1" showInputMessage="1" showErrorMessage="1" sqref="D21 D28 D63">
      <formula1>AtticMat</formula1>
    </dataValidation>
    <dataValidation type="list" allowBlank="1" showInputMessage="1" showErrorMessage="1" sqref="D15">
      <formula1>Windows</formula1>
    </dataValidation>
    <dataValidation type="list" allowBlank="1" showInputMessage="1" showErrorMessage="1" sqref="D75">
      <formula1>LampsNew</formula1>
    </dataValidation>
    <dataValidation type="list" allowBlank="1" showInputMessage="1" showErrorMessage="1" sqref="D33">
      <formula1>IF(CGVS=1,AITPIAUU,AUU)</formula1>
    </dataValidation>
    <dataValidation type="list" allowBlank="1" showInputMessage="1" showErrorMessage="1" sqref="D11">
      <formula1>IF($D$10="вентилируемый навесной фасад",layer15,layer)</formula1>
    </dataValidation>
    <dataValidation type="list" allowBlank="1" showInputMessage="1" showErrorMessage="1" sqref="D68">
      <formula1>CellarMat</formula1>
    </dataValidation>
  </dataValidations>
  <hyperlinks>
    <hyperlink ref="F1" r:id="rId1"/>
    <hyperlink ref="B1" location="'Титульный лист'!A1" display="&lt;&lt; вернуться на титульный лист"/>
    <hyperlink ref="B1:D1" location="'Титульный лист'!A1" tooltip="перейти ..." display="&lt;&lt; вернуться на титульный лист"/>
    <hyperlink ref="F1:H1" r:id="rId2" tooltip="http://fondgkh.ru/finances/finansovaya-podderzhka-kapitalnogo-remonta-v-2017-godu/pomoshhnik-ekr/" display="открыть руководство пользователя…"/>
  </hyperlinks>
  <pageMargins left="0.7" right="0.7" top="0.75" bottom="0.75" header="0.3" footer="0.3"/>
  <pageSetup paperSize="9" orientation="portrait" r:id="rId3"/>
  <drawing r:id="rId4"/>
  <legacyDrawing r:id="rId5"/>
  <mc:AlternateContent xmlns:mc="http://schemas.openxmlformats.org/markup-compatibility/2006">
    <mc:Choice Requires="x14">
      <controls>
        <mc:AlternateContent xmlns:mc="http://schemas.openxmlformats.org/markup-compatibility/2006">
          <mc:Choice Requires="x14">
            <control shapeId="11266" r:id="rId6" name="Check Box 2">
              <controlPr defaultSize="0" autoFill="0" autoLine="0" autoPict="0">
                <anchor moveWithCells="1">
                  <from>
                    <xdr:col>2</xdr:col>
                    <xdr:colOff>66675</xdr:colOff>
                    <xdr:row>23</xdr:row>
                    <xdr:rowOff>161925</xdr:rowOff>
                  </from>
                  <to>
                    <xdr:col>2</xdr:col>
                    <xdr:colOff>314325</xdr:colOff>
                    <xdr:row>23</xdr:row>
                    <xdr:rowOff>447675</xdr:rowOff>
                  </to>
                </anchor>
              </controlPr>
            </control>
          </mc:Choice>
        </mc:AlternateContent>
        <mc:AlternateContent xmlns:mc="http://schemas.openxmlformats.org/markup-compatibility/2006">
          <mc:Choice Requires="x14">
            <control shapeId="11269" r:id="rId7" name="Check Box 5">
              <controlPr defaultSize="0" autoFill="0" autoLine="0" autoPict="0">
                <anchor moveWithCells="1">
                  <from>
                    <xdr:col>2</xdr:col>
                    <xdr:colOff>57150</xdr:colOff>
                    <xdr:row>13</xdr:row>
                    <xdr:rowOff>38100</xdr:rowOff>
                  </from>
                  <to>
                    <xdr:col>2</xdr:col>
                    <xdr:colOff>304800</xdr:colOff>
                    <xdr:row>13</xdr:row>
                    <xdr:rowOff>295275</xdr:rowOff>
                  </to>
                </anchor>
              </controlPr>
            </control>
          </mc:Choice>
        </mc:AlternateContent>
        <mc:AlternateContent xmlns:mc="http://schemas.openxmlformats.org/markup-compatibility/2006">
          <mc:Choice Requires="x14">
            <control shapeId="11270" r:id="rId8" name="Check Box 6">
              <controlPr defaultSize="0" autoFill="0" autoLine="0" autoPict="0">
                <anchor moveWithCells="1">
                  <from>
                    <xdr:col>2</xdr:col>
                    <xdr:colOff>66675</xdr:colOff>
                    <xdr:row>11</xdr:row>
                    <xdr:rowOff>95250</xdr:rowOff>
                  </from>
                  <to>
                    <xdr:col>2</xdr:col>
                    <xdr:colOff>333375</xdr:colOff>
                    <xdr:row>11</xdr:row>
                    <xdr:rowOff>295275</xdr:rowOff>
                  </to>
                </anchor>
              </controlPr>
            </control>
          </mc:Choice>
        </mc:AlternateContent>
        <mc:AlternateContent xmlns:mc="http://schemas.openxmlformats.org/markup-compatibility/2006">
          <mc:Choice Requires="x14">
            <control shapeId="11272" r:id="rId9" name="Check Box 8">
              <controlPr defaultSize="0" autoFill="0" autoLine="0" autoPict="0">
                <anchor moveWithCells="1">
                  <from>
                    <xdr:col>2</xdr:col>
                    <xdr:colOff>57150</xdr:colOff>
                    <xdr:row>72</xdr:row>
                    <xdr:rowOff>304800</xdr:rowOff>
                  </from>
                  <to>
                    <xdr:col>2</xdr:col>
                    <xdr:colOff>333375</xdr:colOff>
                    <xdr:row>72</xdr:row>
                    <xdr:rowOff>847725</xdr:rowOff>
                  </to>
                </anchor>
              </controlPr>
            </control>
          </mc:Choice>
        </mc:AlternateContent>
        <mc:AlternateContent xmlns:mc="http://schemas.openxmlformats.org/markup-compatibility/2006">
          <mc:Choice Requires="x14">
            <control shapeId="11273" r:id="rId10" name="Check Box 9">
              <controlPr defaultSize="0" autoFill="0" autoLine="0" autoPict="0">
                <anchor moveWithCells="1">
                  <from>
                    <xdr:col>2</xdr:col>
                    <xdr:colOff>47625</xdr:colOff>
                    <xdr:row>31</xdr:row>
                    <xdr:rowOff>180975</xdr:rowOff>
                  </from>
                  <to>
                    <xdr:col>2</xdr:col>
                    <xdr:colOff>314325</xdr:colOff>
                    <xdr:row>31</xdr:row>
                    <xdr:rowOff>590550</xdr:rowOff>
                  </to>
                </anchor>
              </controlPr>
            </control>
          </mc:Choice>
        </mc:AlternateContent>
        <mc:AlternateContent xmlns:mc="http://schemas.openxmlformats.org/markup-compatibility/2006">
          <mc:Choice Requires="x14">
            <control shapeId="11274" r:id="rId11" name="Check Box 10">
              <controlPr defaultSize="0" autoFill="0" autoLine="0" autoPict="0">
                <anchor moveWithCells="1">
                  <from>
                    <xdr:col>2</xdr:col>
                    <xdr:colOff>85725</xdr:colOff>
                    <xdr:row>33</xdr:row>
                    <xdr:rowOff>200025</xdr:rowOff>
                  </from>
                  <to>
                    <xdr:col>2</xdr:col>
                    <xdr:colOff>342900</xdr:colOff>
                    <xdr:row>33</xdr:row>
                    <xdr:rowOff>400050</xdr:rowOff>
                  </to>
                </anchor>
              </controlPr>
            </control>
          </mc:Choice>
        </mc:AlternateContent>
        <mc:AlternateContent xmlns:mc="http://schemas.openxmlformats.org/markup-compatibility/2006">
          <mc:Choice Requires="x14">
            <control shapeId="11280" r:id="rId12" name="Check Box 16">
              <controlPr defaultSize="0" autoFill="0" autoLine="0" autoPict="0">
                <anchor moveWithCells="1">
                  <from>
                    <xdr:col>2</xdr:col>
                    <xdr:colOff>85725</xdr:colOff>
                    <xdr:row>36</xdr:row>
                    <xdr:rowOff>104775</xdr:rowOff>
                  </from>
                  <to>
                    <xdr:col>2</xdr:col>
                    <xdr:colOff>371475</xdr:colOff>
                    <xdr:row>36</xdr:row>
                    <xdr:rowOff>438150</xdr:rowOff>
                  </to>
                </anchor>
              </controlPr>
            </control>
          </mc:Choice>
        </mc:AlternateContent>
        <mc:AlternateContent xmlns:mc="http://schemas.openxmlformats.org/markup-compatibility/2006">
          <mc:Choice Requires="x14">
            <control shapeId="11282" r:id="rId13" name="Check Box 18">
              <controlPr defaultSize="0" autoFill="0" autoLine="0" autoPict="0">
                <anchor moveWithCells="1">
                  <from>
                    <xdr:col>2</xdr:col>
                    <xdr:colOff>47625</xdr:colOff>
                    <xdr:row>73</xdr:row>
                    <xdr:rowOff>219075</xdr:rowOff>
                  </from>
                  <to>
                    <xdr:col>2</xdr:col>
                    <xdr:colOff>342900</xdr:colOff>
                    <xdr:row>73</xdr:row>
                    <xdr:rowOff>495300</xdr:rowOff>
                  </to>
                </anchor>
              </controlPr>
            </control>
          </mc:Choice>
        </mc:AlternateContent>
        <mc:AlternateContent xmlns:mc="http://schemas.openxmlformats.org/markup-compatibility/2006">
          <mc:Choice Requires="x14">
            <control shapeId="11283" r:id="rId14" name="Check Box 19">
              <controlPr defaultSize="0" autoFill="0" autoLine="0" autoPict="0">
                <anchor moveWithCells="1">
                  <from>
                    <xdr:col>2</xdr:col>
                    <xdr:colOff>57150</xdr:colOff>
                    <xdr:row>75</xdr:row>
                    <xdr:rowOff>28575</xdr:rowOff>
                  </from>
                  <to>
                    <xdr:col>2</xdr:col>
                    <xdr:colOff>333375</xdr:colOff>
                    <xdr:row>76</xdr:row>
                    <xdr:rowOff>0</xdr:rowOff>
                  </to>
                </anchor>
              </controlPr>
            </control>
          </mc:Choice>
        </mc:AlternateContent>
        <mc:AlternateContent xmlns:mc="http://schemas.openxmlformats.org/markup-compatibility/2006">
          <mc:Choice Requires="x14">
            <control shapeId="11284" r:id="rId15" name="Check Box 20">
              <controlPr defaultSize="0" autoFill="0" autoLine="0" autoPict="0">
                <anchor moveWithCells="1">
                  <from>
                    <xdr:col>2</xdr:col>
                    <xdr:colOff>76200</xdr:colOff>
                    <xdr:row>41</xdr:row>
                    <xdr:rowOff>581025</xdr:rowOff>
                  </from>
                  <to>
                    <xdr:col>2</xdr:col>
                    <xdr:colOff>371475</xdr:colOff>
                    <xdr:row>43</xdr:row>
                    <xdr:rowOff>66675</xdr:rowOff>
                  </to>
                </anchor>
              </controlPr>
            </control>
          </mc:Choice>
        </mc:AlternateContent>
        <mc:AlternateContent xmlns:mc="http://schemas.openxmlformats.org/markup-compatibility/2006">
          <mc:Choice Requires="x14">
            <control shapeId="11297" r:id="rId16" name="Check Box 33">
              <controlPr defaultSize="0" autoFill="0" autoLine="0" autoPict="0">
                <anchor moveWithCells="1">
                  <from>
                    <xdr:col>2</xdr:col>
                    <xdr:colOff>66675</xdr:colOff>
                    <xdr:row>34</xdr:row>
                    <xdr:rowOff>161925</xdr:rowOff>
                  </from>
                  <to>
                    <xdr:col>2</xdr:col>
                    <xdr:colOff>342900</xdr:colOff>
                    <xdr:row>34</xdr:row>
                    <xdr:rowOff>381000</xdr:rowOff>
                  </to>
                </anchor>
              </controlPr>
            </control>
          </mc:Choice>
        </mc:AlternateContent>
        <mc:AlternateContent xmlns:mc="http://schemas.openxmlformats.org/markup-compatibility/2006">
          <mc:Choice Requires="x14">
            <control shapeId="11298" r:id="rId17" name="Check Box 34">
              <controlPr defaultSize="0" autoFill="0" autoLine="0" autoPict="0">
                <anchor moveWithCells="1">
                  <from>
                    <xdr:col>2</xdr:col>
                    <xdr:colOff>57150</xdr:colOff>
                    <xdr:row>37</xdr:row>
                    <xdr:rowOff>552450</xdr:rowOff>
                  </from>
                  <to>
                    <xdr:col>2</xdr:col>
                    <xdr:colOff>342900</xdr:colOff>
                    <xdr:row>37</xdr:row>
                    <xdr:rowOff>1000125</xdr:rowOff>
                  </to>
                </anchor>
              </controlPr>
            </control>
          </mc:Choice>
        </mc:AlternateContent>
        <mc:AlternateContent xmlns:mc="http://schemas.openxmlformats.org/markup-compatibility/2006">
          <mc:Choice Requires="x14">
            <control shapeId="11299" r:id="rId18" name="Check Box 35">
              <controlPr defaultSize="0" autoFill="0" autoLine="0" autoPict="0">
                <anchor moveWithCells="1">
                  <from>
                    <xdr:col>2</xdr:col>
                    <xdr:colOff>66675</xdr:colOff>
                    <xdr:row>38</xdr:row>
                    <xdr:rowOff>209550</xdr:rowOff>
                  </from>
                  <to>
                    <xdr:col>2</xdr:col>
                    <xdr:colOff>314325</xdr:colOff>
                    <xdr:row>38</xdr:row>
                    <xdr:rowOff>457200</xdr:rowOff>
                  </to>
                </anchor>
              </controlPr>
            </control>
          </mc:Choice>
        </mc:AlternateContent>
        <mc:AlternateContent xmlns:mc="http://schemas.openxmlformats.org/markup-compatibility/2006">
          <mc:Choice Requires="x14">
            <control shapeId="11301" r:id="rId19" name="Check Box 37">
              <controlPr defaultSize="0" autoFill="0" autoLine="0" autoPict="0">
                <anchor moveWithCells="1">
                  <from>
                    <xdr:col>2</xdr:col>
                    <xdr:colOff>57150</xdr:colOff>
                    <xdr:row>54</xdr:row>
                    <xdr:rowOff>209550</xdr:rowOff>
                  </from>
                  <to>
                    <xdr:col>2</xdr:col>
                    <xdr:colOff>342900</xdr:colOff>
                    <xdr:row>55</xdr:row>
                    <xdr:rowOff>9525</xdr:rowOff>
                  </to>
                </anchor>
              </controlPr>
            </control>
          </mc:Choice>
        </mc:AlternateContent>
        <mc:AlternateContent xmlns:mc="http://schemas.openxmlformats.org/markup-compatibility/2006">
          <mc:Choice Requires="x14">
            <control shapeId="11302" r:id="rId20" name="Check Box 38">
              <controlPr defaultSize="0" autoFill="0" autoLine="0" autoPict="0">
                <anchor moveWithCells="1">
                  <from>
                    <xdr:col>2</xdr:col>
                    <xdr:colOff>66675</xdr:colOff>
                    <xdr:row>55</xdr:row>
                    <xdr:rowOff>66675</xdr:rowOff>
                  </from>
                  <to>
                    <xdr:col>2</xdr:col>
                    <xdr:colOff>400050</xdr:colOff>
                    <xdr:row>55</xdr:row>
                    <xdr:rowOff>381000</xdr:rowOff>
                  </to>
                </anchor>
              </controlPr>
            </control>
          </mc:Choice>
        </mc:AlternateContent>
        <mc:AlternateContent xmlns:mc="http://schemas.openxmlformats.org/markup-compatibility/2006">
          <mc:Choice Requires="x14">
            <control shapeId="11303" r:id="rId21" name="Check Box 39">
              <controlPr defaultSize="0" autoFill="0" autoLine="0" autoPict="0">
                <anchor moveWithCells="1">
                  <from>
                    <xdr:col>2</xdr:col>
                    <xdr:colOff>38100</xdr:colOff>
                    <xdr:row>46</xdr:row>
                    <xdr:rowOff>742950</xdr:rowOff>
                  </from>
                  <to>
                    <xdr:col>2</xdr:col>
                    <xdr:colOff>314325</xdr:colOff>
                    <xdr:row>48</xdr:row>
                    <xdr:rowOff>9525</xdr:rowOff>
                  </to>
                </anchor>
              </controlPr>
            </control>
          </mc:Choice>
        </mc:AlternateContent>
        <mc:AlternateContent xmlns:mc="http://schemas.openxmlformats.org/markup-compatibility/2006">
          <mc:Choice Requires="x14">
            <control shapeId="11305" r:id="rId22" name="Check Box 41">
              <controlPr defaultSize="0" autoFill="0" autoLine="0" autoPict="0">
                <anchor moveWithCells="1">
                  <from>
                    <xdr:col>2</xdr:col>
                    <xdr:colOff>57150</xdr:colOff>
                    <xdr:row>51</xdr:row>
                    <xdr:rowOff>123825</xdr:rowOff>
                  </from>
                  <to>
                    <xdr:col>3</xdr:col>
                    <xdr:colOff>419100</xdr:colOff>
                    <xdr:row>52</xdr:row>
                    <xdr:rowOff>0</xdr:rowOff>
                  </to>
                </anchor>
              </controlPr>
            </control>
          </mc:Choice>
        </mc:AlternateContent>
        <mc:AlternateContent xmlns:mc="http://schemas.openxmlformats.org/markup-compatibility/2006">
          <mc:Choice Requires="x14">
            <control shapeId="11310" r:id="rId23" name="Check Box 46">
              <controlPr defaultSize="0" autoFill="0" autoLine="0" autoPict="0">
                <anchor moveWithCells="1">
                  <from>
                    <xdr:col>2</xdr:col>
                    <xdr:colOff>38100</xdr:colOff>
                    <xdr:row>48</xdr:row>
                    <xdr:rowOff>28575</xdr:rowOff>
                  </from>
                  <to>
                    <xdr:col>3</xdr:col>
                    <xdr:colOff>371475</xdr:colOff>
                    <xdr:row>49</xdr:row>
                    <xdr:rowOff>0</xdr:rowOff>
                  </to>
                </anchor>
              </controlPr>
            </control>
          </mc:Choice>
        </mc:AlternateContent>
        <mc:AlternateContent xmlns:mc="http://schemas.openxmlformats.org/markup-compatibility/2006">
          <mc:Choice Requires="x14">
            <control shapeId="11311" r:id="rId24" name="Check Box 47">
              <controlPr defaultSize="0" autoFill="0" autoLine="0" autoPict="0">
                <anchor moveWithCells="1">
                  <from>
                    <xdr:col>2</xdr:col>
                    <xdr:colOff>38100</xdr:colOff>
                    <xdr:row>49</xdr:row>
                    <xdr:rowOff>9525</xdr:rowOff>
                  </from>
                  <to>
                    <xdr:col>3</xdr:col>
                    <xdr:colOff>371475</xdr:colOff>
                    <xdr:row>50</xdr:row>
                    <xdr:rowOff>0</xdr:rowOff>
                  </to>
                </anchor>
              </controlPr>
            </control>
          </mc:Choice>
        </mc:AlternateContent>
        <mc:AlternateContent xmlns:mc="http://schemas.openxmlformats.org/markup-compatibility/2006">
          <mc:Choice Requires="x14">
            <control shapeId="11325" r:id="rId25" name="Check Box 61">
              <controlPr defaultSize="0" autoFill="0" autoLine="0" autoPict="0">
                <anchor moveWithCells="1">
                  <from>
                    <xdr:col>2</xdr:col>
                    <xdr:colOff>66675</xdr:colOff>
                    <xdr:row>43</xdr:row>
                    <xdr:rowOff>28575</xdr:rowOff>
                  </from>
                  <to>
                    <xdr:col>3</xdr:col>
                    <xdr:colOff>390525</xdr:colOff>
                    <xdr:row>44</xdr:row>
                    <xdr:rowOff>0</xdr:rowOff>
                  </to>
                </anchor>
              </controlPr>
            </control>
          </mc:Choice>
        </mc:AlternateContent>
        <mc:AlternateContent xmlns:mc="http://schemas.openxmlformats.org/markup-compatibility/2006">
          <mc:Choice Requires="x14">
            <control shapeId="11326" r:id="rId26" name="Check Box 62">
              <controlPr defaultSize="0" autoFill="0" autoLine="0" autoPict="0">
                <anchor moveWithCells="1">
                  <from>
                    <xdr:col>2</xdr:col>
                    <xdr:colOff>76200</xdr:colOff>
                    <xdr:row>43</xdr:row>
                    <xdr:rowOff>238125</xdr:rowOff>
                  </from>
                  <to>
                    <xdr:col>3</xdr:col>
                    <xdr:colOff>400050</xdr:colOff>
                    <xdr:row>45</xdr:row>
                    <xdr:rowOff>28575</xdr:rowOff>
                  </to>
                </anchor>
              </controlPr>
            </control>
          </mc:Choice>
        </mc:AlternateContent>
        <mc:AlternateContent xmlns:mc="http://schemas.openxmlformats.org/markup-compatibility/2006">
          <mc:Choice Requires="x14">
            <control shapeId="11339" r:id="rId27" name="Check Box 75">
              <controlPr defaultSize="0" autoFill="0" autoLine="0" autoPict="0">
                <anchor moveWithCells="1">
                  <from>
                    <xdr:col>2</xdr:col>
                    <xdr:colOff>66675</xdr:colOff>
                    <xdr:row>7</xdr:row>
                    <xdr:rowOff>219075</xdr:rowOff>
                  </from>
                  <to>
                    <xdr:col>3</xdr:col>
                    <xdr:colOff>400050</xdr:colOff>
                    <xdr:row>9</xdr:row>
                    <xdr:rowOff>19050</xdr:rowOff>
                  </to>
                </anchor>
              </controlPr>
            </control>
          </mc:Choice>
        </mc:AlternateContent>
        <mc:AlternateContent xmlns:mc="http://schemas.openxmlformats.org/markup-compatibility/2006">
          <mc:Choice Requires="x14">
            <control shapeId="11340" r:id="rId28" name="Check Box 76">
              <controlPr defaultSize="0" autoFill="0" autoLine="0" autoPict="0">
                <anchor moveWithCells="1">
                  <from>
                    <xdr:col>2</xdr:col>
                    <xdr:colOff>76200</xdr:colOff>
                    <xdr:row>18</xdr:row>
                    <xdr:rowOff>295275</xdr:rowOff>
                  </from>
                  <to>
                    <xdr:col>3</xdr:col>
                    <xdr:colOff>400050</xdr:colOff>
                    <xdr:row>20</xdr:row>
                    <xdr:rowOff>9525</xdr:rowOff>
                  </to>
                </anchor>
              </controlPr>
            </control>
          </mc:Choice>
        </mc:AlternateContent>
        <mc:AlternateContent xmlns:mc="http://schemas.openxmlformats.org/markup-compatibility/2006">
          <mc:Choice Requires="x14">
            <control shapeId="11341" r:id="rId29" name="Check Box 77">
              <controlPr defaultSize="0" autoFill="0" autoLine="0" autoPict="0">
                <anchor moveWithCells="1">
                  <from>
                    <xdr:col>2</xdr:col>
                    <xdr:colOff>57150</xdr:colOff>
                    <xdr:row>25</xdr:row>
                    <xdr:rowOff>285750</xdr:rowOff>
                  </from>
                  <to>
                    <xdr:col>3</xdr:col>
                    <xdr:colOff>381000</xdr:colOff>
                    <xdr:row>27</xdr:row>
                    <xdr:rowOff>0</xdr:rowOff>
                  </to>
                </anchor>
              </controlPr>
            </control>
          </mc:Choice>
        </mc:AlternateContent>
        <mc:AlternateContent xmlns:mc="http://schemas.openxmlformats.org/markup-compatibility/2006">
          <mc:Choice Requires="x14">
            <control shapeId="11342" r:id="rId30" name="Check Box 78">
              <controlPr defaultSize="0" autoFill="0" autoLine="0" autoPict="0">
                <anchor moveWithCells="1">
                  <from>
                    <xdr:col>2</xdr:col>
                    <xdr:colOff>57150</xdr:colOff>
                    <xdr:row>60</xdr:row>
                    <xdr:rowOff>190500</xdr:rowOff>
                  </from>
                  <to>
                    <xdr:col>3</xdr:col>
                    <xdr:colOff>381000</xdr:colOff>
                    <xdr:row>61</xdr:row>
                    <xdr:rowOff>171450</xdr:rowOff>
                  </to>
                </anchor>
              </controlPr>
            </control>
          </mc:Choice>
        </mc:AlternateContent>
        <mc:AlternateContent xmlns:mc="http://schemas.openxmlformats.org/markup-compatibility/2006">
          <mc:Choice Requires="x14">
            <control shapeId="11343" r:id="rId31" name="Check Box 79">
              <controlPr defaultSize="0" autoFill="0" autoLine="0" autoPict="0">
                <anchor moveWithCells="1">
                  <from>
                    <xdr:col>2</xdr:col>
                    <xdr:colOff>57150</xdr:colOff>
                    <xdr:row>65</xdr:row>
                    <xdr:rowOff>171450</xdr:rowOff>
                  </from>
                  <to>
                    <xdr:col>3</xdr:col>
                    <xdr:colOff>381000</xdr:colOff>
                    <xdr:row>67</xdr:row>
                    <xdr:rowOff>0</xdr:rowOff>
                  </to>
                </anchor>
              </controlPr>
            </control>
          </mc:Choice>
        </mc:AlternateContent>
        <mc:AlternateContent xmlns:mc="http://schemas.openxmlformats.org/markup-compatibility/2006">
          <mc:Choice Requires="x14">
            <control shapeId="11344" r:id="rId32" name="Check Box 80">
              <controlPr defaultSize="0" autoFill="0" autoLine="0" autoPict="0">
                <anchor moveWithCells="1">
                  <from>
                    <xdr:col>2</xdr:col>
                    <xdr:colOff>57150</xdr:colOff>
                    <xdr:row>57</xdr:row>
                    <xdr:rowOff>123825</xdr:rowOff>
                  </from>
                  <to>
                    <xdr:col>3</xdr:col>
                    <xdr:colOff>419100</xdr:colOff>
                    <xdr:row>57</xdr:row>
                    <xdr:rowOff>333375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14:formula1>
            <xm:f>IF(CGVS=1,AITPIAUU,списки!$N$45)</xm:f>
          </x14:formula1>
          <xm:sqref>D33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2">
    <tabColor rgb="FFFFFF00"/>
  </sheetPr>
  <dimension ref="A1:AR192"/>
  <sheetViews>
    <sheetView zoomScaleNormal="100" workbookViewId="0">
      <pane ySplit="1" topLeftCell="A2" activePane="bottomLeft" state="frozen"/>
      <selection pane="bottomLeft" activeCell="D11" sqref="D11"/>
    </sheetView>
  </sheetViews>
  <sheetFormatPr defaultColWidth="9.140625" defaultRowHeight="12.75" x14ac:dyDescent="0.2"/>
  <cols>
    <col min="1" max="1" width="9.140625" style="45"/>
    <col min="2" max="2" width="35.5703125" style="45" customWidth="1"/>
    <col min="3" max="3" width="10.42578125" style="45" customWidth="1"/>
    <col min="4" max="4" width="9.85546875" style="45" bestFit="1" customWidth="1"/>
    <col min="5" max="5" width="20.28515625" style="45" customWidth="1"/>
    <col min="6" max="6" width="13" style="45" customWidth="1"/>
    <col min="7" max="7" width="20" style="45" customWidth="1"/>
    <col min="8" max="8" width="9.85546875" style="45" customWidth="1"/>
    <col min="9" max="9" width="10.7109375" style="45" bestFit="1" customWidth="1"/>
    <col min="10" max="11" width="12" style="45" bestFit="1" customWidth="1"/>
    <col min="12" max="16384" width="9.140625" style="45"/>
  </cols>
  <sheetData>
    <row r="1" spans="1:44" s="43" customFormat="1" ht="15" customHeight="1" x14ac:dyDescent="0.2">
      <c r="A1" s="40"/>
      <c r="B1" s="1693" t="s">
        <v>1661</v>
      </c>
      <c r="C1" s="1693"/>
      <c r="D1" s="1693"/>
      <c r="E1" s="1694" t="s">
        <v>1654</v>
      </c>
      <c r="F1" s="1694"/>
      <c r="G1" s="1694"/>
      <c r="H1" s="42"/>
      <c r="I1" s="42"/>
    </row>
    <row r="2" spans="1:44" x14ac:dyDescent="0.2">
      <c r="A2" s="288"/>
      <c r="B2" s="288"/>
      <c r="C2" s="1689" t="s">
        <v>1419</v>
      </c>
      <c r="D2" s="1690"/>
      <c r="E2" s="1691"/>
      <c r="F2" s="288"/>
      <c r="G2" s="288"/>
      <c r="H2" s="288"/>
      <c r="I2" s="288"/>
      <c r="J2" s="288"/>
      <c r="K2" s="288"/>
      <c r="L2" s="288"/>
      <c r="M2" s="288"/>
      <c r="N2" s="289"/>
      <c r="O2" s="289"/>
      <c r="P2" s="289"/>
      <c r="Q2" s="289"/>
      <c r="R2" s="289"/>
      <c r="S2" s="289"/>
      <c r="T2" s="289"/>
      <c r="U2" s="289"/>
      <c r="V2" s="289"/>
      <c r="W2" s="289"/>
      <c r="X2" s="289"/>
      <c r="Y2" s="289"/>
      <c r="Z2" s="289"/>
      <c r="AA2" s="289"/>
      <c r="AB2" s="289"/>
      <c r="AC2" s="289"/>
      <c r="AD2" s="289"/>
      <c r="AE2" s="289"/>
      <c r="AF2" s="289"/>
      <c r="AG2" s="289"/>
      <c r="AH2" s="289"/>
      <c r="AI2" s="289"/>
      <c r="AJ2" s="289"/>
      <c r="AK2" s="289"/>
      <c r="AL2" s="289"/>
      <c r="AM2" s="289"/>
      <c r="AN2" s="289"/>
      <c r="AO2" s="289"/>
      <c r="AP2" s="289"/>
      <c r="AQ2" s="289"/>
      <c r="AR2" s="289"/>
    </row>
    <row r="3" spans="1:44" x14ac:dyDescent="0.2">
      <c r="A3" s="289"/>
      <c r="B3" s="289"/>
      <c r="C3" s="289"/>
      <c r="D3" s="289"/>
      <c r="E3" s="289"/>
      <c r="F3" s="289"/>
      <c r="G3" s="289"/>
      <c r="H3" s="289"/>
      <c r="I3" s="289"/>
      <c r="J3" s="289"/>
      <c r="K3" s="289"/>
      <c r="L3" s="289"/>
      <c r="M3" s="289"/>
      <c r="N3" s="289"/>
      <c r="O3" s="289"/>
      <c r="P3" s="289"/>
      <c r="Q3" s="289"/>
      <c r="R3" s="289"/>
      <c r="S3" s="289"/>
      <c r="T3" s="289"/>
      <c r="U3" s="289"/>
      <c r="V3" s="289"/>
      <c r="W3" s="289"/>
      <c r="X3" s="289"/>
      <c r="Y3" s="289"/>
      <c r="Z3" s="289"/>
      <c r="AA3" s="289"/>
      <c r="AB3" s="289"/>
      <c r="AC3" s="289"/>
      <c r="AD3" s="289"/>
      <c r="AE3" s="289"/>
      <c r="AF3" s="289"/>
      <c r="AG3" s="289"/>
      <c r="AH3" s="289"/>
      <c r="AI3" s="289"/>
      <c r="AJ3" s="289"/>
      <c r="AK3" s="289"/>
      <c r="AL3" s="289"/>
      <c r="AM3" s="289"/>
      <c r="AN3" s="289"/>
      <c r="AO3" s="289"/>
      <c r="AP3" s="289"/>
      <c r="AQ3" s="289"/>
      <c r="AR3" s="289"/>
    </row>
    <row r="4" spans="1:44" x14ac:dyDescent="0.2">
      <c r="A4" s="289"/>
      <c r="B4" s="289"/>
      <c r="C4" s="289"/>
      <c r="D4" s="289"/>
      <c r="E4" s="289"/>
      <c r="F4" s="289"/>
      <c r="G4" s="289"/>
      <c r="H4" s="289"/>
      <c r="I4" s="289"/>
      <c r="J4" s="289"/>
      <c r="K4" s="289"/>
      <c r="L4" s="289"/>
      <c r="M4" s="289"/>
      <c r="N4" s="289"/>
      <c r="O4" s="289"/>
      <c r="P4" s="289"/>
      <c r="Q4" s="289"/>
      <c r="R4" s="289"/>
      <c r="S4" s="289"/>
      <c r="T4" s="289"/>
      <c r="U4" s="289"/>
      <c r="V4" s="289"/>
      <c r="W4" s="289"/>
      <c r="X4" s="289"/>
      <c r="Y4" s="289"/>
      <c r="Z4" s="289"/>
      <c r="AA4" s="289"/>
      <c r="AB4" s="289"/>
      <c r="AC4" s="289"/>
      <c r="AD4" s="289"/>
      <c r="AE4" s="289"/>
      <c r="AF4" s="289"/>
      <c r="AG4" s="289"/>
      <c r="AH4" s="289"/>
      <c r="AI4" s="289"/>
      <c r="AJ4" s="289"/>
      <c r="AK4" s="289"/>
      <c r="AL4" s="289"/>
      <c r="AM4" s="289"/>
      <c r="AN4" s="289"/>
      <c r="AO4" s="289"/>
      <c r="AP4" s="289"/>
      <c r="AQ4" s="289"/>
      <c r="AR4" s="289"/>
    </row>
    <row r="5" spans="1:44" x14ac:dyDescent="0.2">
      <c r="A5" s="289"/>
      <c r="B5" s="290" t="s">
        <v>1501</v>
      </c>
      <c r="C5" s="169" t="s">
        <v>1309</v>
      </c>
      <c r="D5" s="1400" t="str">
        <f>'Список мероприятий'!F86</f>
        <v/>
      </c>
      <c r="E5" s="289"/>
      <c r="F5" s="289"/>
      <c r="G5" s="289"/>
      <c r="H5" s="289"/>
      <c r="I5" s="289"/>
      <c r="J5" s="289"/>
      <c r="K5" s="289"/>
      <c r="L5" s="289"/>
      <c r="M5" s="289"/>
      <c r="N5" s="289"/>
      <c r="O5" s="289"/>
      <c r="P5" s="289"/>
      <c r="Q5" s="289"/>
      <c r="R5" s="289"/>
      <c r="S5" s="289"/>
      <c r="T5" s="289"/>
      <c r="U5" s="289"/>
      <c r="V5" s="289"/>
      <c r="W5" s="289"/>
      <c r="X5" s="289"/>
      <c r="Y5" s="289"/>
      <c r="Z5" s="289"/>
      <c r="AA5" s="289"/>
      <c r="AB5" s="289"/>
      <c r="AC5" s="289"/>
      <c r="AD5" s="289"/>
      <c r="AE5" s="289"/>
      <c r="AF5" s="289"/>
      <c r="AG5" s="289"/>
      <c r="AH5" s="289"/>
      <c r="AI5" s="289"/>
      <c r="AJ5" s="289"/>
      <c r="AK5" s="289"/>
      <c r="AL5" s="289"/>
      <c r="AM5" s="289"/>
      <c r="AN5" s="289"/>
      <c r="AO5" s="289"/>
      <c r="AP5" s="289"/>
      <c r="AQ5" s="289"/>
      <c r="AR5" s="289"/>
    </row>
    <row r="6" spans="1:44" x14ac:dyDescent="0.2">
      <c r="A6" s="289"/>
      <c r="B6" s="291" t="s">
        <v>1502</v>
      </c>
      <c r="C6" s="169" t="s">
        <v>1309</v>
      </c>
      <c r="D6" s="1401"/>
      <c r="E6" s="1497" t="str">
        <f>IF(D6&gt;0,"","Введите общие затраты, это необходимо для расчета поддержки")</f>
        <v>Введите общие затраты, это необходимо для расчета поддержки</v>
      </c>
      <c r="F6" s="289"/>
      <c r="G6" s="289"/>
      <c r="H6" s="289"/>
      <c r="I6" s="289"/>
      <c r="J6" s="289"/>
      <c r="K6" s="289"/>
      <c r="L6" s="289"/>
      <c r="M6" s="289"/>
      <c r="N6" s="289"/>
      <c r="O6" s="289"/>
      <c r="P6" s="289"/>
      <c r="Q6" s="289"/>
      <c r="R6" s="289"/>
      <c r="S6" s="289"/>
      <c r="T6" s="289"/>
      <c r="U6" s="289"/>
      <c r="V6" s="289"/>
      <c r="W6" s="289"/>
      <c r="X6" s="289"/>
      <c r="Y6" s="289"/>
      <c r="Z6" s="289"/>
      <c r="AA6" s="289"/>
      <c r="AB6" s="289"/>
      <c r="AC6" s="289"/>
      <c r="AD6" s="289"/>
      <c r="AE6" s="289"/>
      <c r="AF6" s="289"/>
      <c r="AG6" s="289"/>
      <c r="AH6" s="289"/>
      <c r="AI6" s="289"/>
      <c r="AJ6" s="289"/>
      <c r="AK6" s="289"/>
      <c r="AL6" s="289"/>
      <c r="AM6" s="289"/>
      <c r="AN6" s="289"/>
      <c r="AO6" s="289"/>
      <c r="AP6" s="289"/>
      <c r="AQ6" s="289"/>
      <c r="AR6" s="289"/>
    </row>
    <row r="7" spans="1:44" x14ac:dyDescent="0.2">
      <c r="A7" s="289"/>
      <c r="B7" s="290" t="s">
        <v>1418</v>
      </c>
      <c r="C7" s="169" t="s">
        <v>1309</v>
      </c>
      <c r="D7" s="1401"/>
      <c r="E7" s="289"/>
      <c r="F7" s="289"/>
      <c r="G7" s="289"/>
      <c r="H7" s="289"/>
      <c r="I7" s="289"/>
      <c r="J7" s="289"/>
      <c r="K7" s="289"/>
      <c r="L7" s="289"/>
      <c r="M7" s="289"/>
      <c r="N7" s="289"/>
      <c r="O7" s="289"/>
      <c r="P7" s="289"/>
      <c r="Q7" s="289"/>
      <c r="R7" s="289"/>
      <c r="S7" s="289"/>
      <c r="T7" s="289"/>
      <c r="U7" s="289"/>
      <c r="V7" s="289"/>
      <c r="W7" s="289"/>
      <c r="X7" s="289"/>
      <c r="Y7" s="289"/>
      <c r="Z7" s="289"/>
      <c r="AA7" s="289"/>
      <c r="AB7" s="289"/>
      <c r="AC7" s="289"/>
      <c r="AD7" s="289"/>
      <c r="AE7" s="289"/>
      <c r="AF7" s="289"/>
      <c r="AG7" s="289"/>
      <c r="AH7" s="289"/>
      <c r="AI7" s="289"/>
      <c r="AJ7" s="289"/>
      <c r="AK7" s="289"/>
      <c r="AL7" s="289"/>
      <c r="AM7" s="289"/>
      <c r="AN7" s="289"/>
      <c r="AO7" s="289"/>
      <c r="AP7" s="289"/>
      <c r="AQ7" s="289"/>
      <c r="AR7" s="289"/>
    </row>
    <row r="8" spans="1:44" x14ac:dyDescent="0.2">
      <c r="A8" s="289"/>
      <c r="B8" s="290" t="s">
        <v>1753</v>
      </c>
      <c r="C8" s="169" t="s">
        <v>1754</v>
      </c>
      <c r="D8" s="1401"/>
      <c r="E8" s="289"/>
      <c r="F8" s="289"/>
      <c r="G8" s="289"/>
      <c r="H8" s="289"/>
      <c r="I8" s="289"/>
      <c r="J8" s="289"/>
      <c r="K8" s="289"/>
      <c r="L8" s="289"/>
      <c r="M8" s="289"/>
      <c r="N8" s="289"/>
      <c r="O8" s="289"/>
      <c r="P8" s="289"/>
      <c r="Q8" s="289"/>
      <c r="R8" s="289"/>
      <c r="S8" s="289"/>
      <c r="T8" s="289"/>
      <c r="U8" s="289"/>
      <c r="V8" s="289"/>
      <c r="W8" s="289"/>
      <c r="X8" s="289"/>
      <c r="Y8" s="289"/>
      <c r="Z8" s="289"/>
      <c r="AA8" s="289"/>
      <c r="AB8" s="289"/>
      <c r="AC8" s="289"/>
      <c r="AD8" s="289"/>
      <c r="AE8" s="289"/>
      <c r="AF8" s="289"/>
      <c r="AG8" s="289"/>
      <c r="AH8" s="289"/>
      <c r="AI8" s="289"/>
      <c r="AJ8" s="289"/>
      <c r="AK8" s="289"/>
      <c r="AL8" s="289"/>
      <c r="AM8" s="289"/>
      <c r="AN8" s="289"/>
      <c r="AO8" s="289"/>
      <c r="AP8" s="289"/>
      <c r="AQ8" s="289"/>
      <c r="AR8" s="289"/>
    </row>
    <row r="9" spans="1:44" x14ac:dyDescent="0.2">
      <c r="A9" s="289"/>
      <c r="B9" s="290" t="s">
        <v>1946</v>
      </c>
      <c r="C9" s="169" t="s">
        <v>1181</v>
      </c>
      <c r="D9" s="1888"/>
      <c r="E9" s="289"/>
      <c r="F9" s="289"/>
      <c r="G9" s="289"/>
      <c r="H9" s="289"/>
      <c r="I9" s="289"/>
      <c r="J9" s="289"/>
      <c r="K9" s="289"/>
      <c r="L9" s="289"/>
      <c r="M9" s="289"/>
      <c r="N9" s="289"/>
      <c r="O9" s="289"/>
      <c r="P9" s="289"/>
      <c r="Q9" s="289"/>
      <c r="R9" s="289"/>
      <c r="S9" s="289"/>
      <c r="T9" s="289"/>
      <c r="U9" s="289"/>
      <c r="V9" s="289"/>
      <c r="W9" s="289"/>
      <c r="X9" s="289"/>
      <c r="Y9" s="289"/>
      <c r="Z9" s="289"/>
      <c r="AA9" s="289"/>
      <c r="AB9" s="289"/>
      <c r="AC9" s="289"/>
      <c r="AD9" s="289"/>
      <c r="AE9" s="289"/>
      <c r="AF9" s="289"/>
      <c r="AG9" s="289"/>
      <c r="AH9" s="289"/>
      <c r="AI9" s="289"/>
      <c r="AJ9" s="289"/>
      <c r="AK9" s="289"/>
      <c r="AL9" s="289"/>
      <c r="AM9" s="289"/>
      <c r="AN9" s="289"/>
      <c r="AO9" s="289"/>
      <c r="AP9" s="289"/>
      <c r="AQ9" s="289"/>
      <c r="AR9" s="289"/>
    </row>
    <row r="10" spans="1:44" x14ac:dyDescent="0.2">
      <c r="A10" s="289"/>
      <c r="B10" s="290" t="s">
        <v>1947</v>
      </c>
      <c r="C10" s="169" t="s">
        <v>1181</v>
      </c>
      <c r="D10" s="1888">
        <v>9</v>
      </c>
      <c r="E10" s="289" t="str">
        <f>IF(IFERROR(D10,0)=0,"Размер ключевой ставки на сегодня можно узнать на сайте ЦБ РФ: www.cbr.ru","")</f>
        <v/>
      </c>
      <c r="F10" s="289"/>
      <c r="G10" s="289"/>
      <c r="H10" s="289"/>
      <c r="I10" s="289"/>
      <c r="J10" s="289"/>
      <c r="K10" s="289"/>
      <c r="L10" s="289"/>
      <c r="M10" s="289"/>
      <c r="N10" s="289"/>
      <c r="O10" s="289"/>
      <c r="P10" s="289"/>
      <c r="Q10" s="289"/>
      <c r="R10" s="289"/>
      <c r="S10" s="289"/>
      <c r="T10" s="289"/>
      <c r="U10" s="289"/>
      <c r="V10" s="289"/>
      <c r="W10" s="289"/>
      <c r="X10" s="289"/>
      <c r="Y10" s="289"/>
      <c r="Z10" s="289"/>
      <c r="AA10" s="289"/>
      <c r="AB10" s="289"/>
      <c r="AC10" s="289"/>
      <c r="AD10" s="289"/>
      <c r="AE10" s="289"/>
      <c r="AF10" s="289"/>
      <c r="AG10" s="289"/>
      <c r="AH10" s="289"/>
      <c r="AI10" s="289"/>
      <c r="AJ10" s="289"/>
      <c r="AK10" s="289"/>
      <c r="AL10" s="289"/>
      <c r="AM10" s="289"/>
      <c r="AN10" s="289"/>
      <c r="AO10" s="289"/>
      <c r="AP10" s="289"/>
      <c r="AQ10" s="289"/>
      <c r="AR10" s="289"/>
    </row>
    <row r="11" spans="1:44" ht="25.5" x14ac:dyDescent="0.2">
      <c r="A11" s="289"/>
      <c r="B11" s="292" t="s">
        <v>1321</v>
      </c>
      <c r="C11" s="169" t="s">
        <v>1309</v>
      </c>
      <c r="D11" s="1400" t="str">
        <f>IFERROR(E24*D14,"")</f>
        <v/>
      </c>
      <c r="E11" s="289"/>
      <c r="F11" s="289"/>
      <c r="G11" s="289"/>
      <c r="H11" s="289"/>
      <c r="I11" s="289"/>
      <c r="J11" s="289"/>
      <c r="K11" s="289"/>
      <c r="L11" s="289"/>
      <c r="M11" s="289"/>
      <c r="N11" s="289"/>
      <c r="O11" s="289"/>
      <c r="P11" s="289"/>
      <c r="Q11" s="289"/>
      <c r="R11" s="289"/>
      <c r="S11" s="289"/>
      <c r="T11" s="289"/>
      <c r="U11" s="289"/>
      <c r="V11" s="289"/>
      <c r="W11" s="289"/>
      <c r="X11" s="289"/>
      <c r="Y11" s="289"/>
      <c r="Z11" s="289"/>
      <c r="AA11" s="289"/>
      <c r="AB11" s="289"/>
      <c r="AC11" s="289"/>
      <c r="AD11" s="289"/>
      <c r="AE11" s="289"/>
      <c r="AF11" s="289"/>
      <c r="AG11" s="289"/>
      <c r="AH11" s="289"/>
      <c r="AI11" s="289"/>
      <c r="AJ11" s="289"/>
      <c r="AK11" s="289"/>
      <c r="AL11" s="289"/>
      <c r="AM11" s="289"/>
      <c r="AN11" s="289"/>
      <c r="AO11" s="289"/>
      <c r="AP11" s="289"/>
      <c r="AQ11" s="289"/>
      <c r="AR11" s="289"/>
    </row>
    <row r="12" spans="1:44" x14ac:dyDescent="0.2">
      <c r="A12" s="289"/>
      <c r="B12" s="1695" t="s">
        <v>1326</v>
      </c>
      <c r="C12" s="1696"/>
      <c r="D12" s="1697"/>
      <c r="E12" s="289"/>
      <c r="F12" s="289"/>
      <c r="G12" s="289"/>
      <c r="H12" s="289"/>
      <c r="I12" s="289"/>
      <c r="J12" s="289"/>
      <c r="K12" s="289"/>
      <c r="L12" s="289"/>
      <c r="M12" s="289"/>
      <c r="N12" s="289"/>
      <c r="O12" s="289"/>
      <c r="P12" s="289"/>
      <c r="Q12" s="289"/>
      <c r="R12" s="289"/>
      <c r="S12" s="289"/>
      <c r="T12" s="289"/>
      <c r="U12" s="289"/>
      <c r="V12" s="289"/>
      <c r="W12" s="289"/>
      <c r="X12" s="289"/>
      <c r="Y12" s="289"/>
      <c r="Z12" s="289"/>
      <c r="AA12" s="289"/>
      <c r="AB12" s="289"/>
      <c r="AC12" s="289"/>
      <c r="AD12" s="289"/>
      <c r="AE12" s="289"/>
      <c r="AF12" s="289"/>
      <c r="AG12" s="289"/>
      <c r="AH12" s="289"/>
      <c r="AI12" s="289"/>
      <c r="AJ12" s="289"/>
      <c r="AK12" s="289"/>
      <c r="AL12" s="289"/>
      <c r="AM12" s="289"/>
      <c r="AN12" s="289"/>
      <c r="AO12" s="289"/>
      <c r="AP12" s="289"/>
      <c r="AQ12" s="289"/>
      <c r="AR12" s="289"/>
    </row>
    <row r="13" spans="1:44" x14ac:dyDescent="0.2">
      <c r="A13" s="289"/>
      <c r="B13" s="293" t="s">
        <v>1313</v>
      </c>
      <c r="C13" s="1402" t="s">
        <v>1314</v>
      </c>
      <c r="D13" s="1400">
        <f>'Ввод исходных данных'!C270</f>
        <v>0</v>
      </c>
      <c r="E13" s="289"/>
      <c r="F13" s="289"/>
      <c r="G13" s="289"/>
      <c r="H13" s="289"/>
      <c r="I13" s="289"/>
      <c r="J13" s="289"/>
      <c r="K13" s="289"/>
      <c r="L13" s="289"/>
      <c r="M13" s="289"/>
      <c r="N13" s="289"/>
      <c r="O13" s="289"/>
      <c r="P13" s="289"/>
      <c r="Q13" s="289"/>
      <c r="R13" s="289"/>
      <c r="S13" s="289"/>
      <c r="T13" s="289"/>
      <c r="U13" s="289"/>
      <c r="V13" s="289"/>
      <c r="W13" s="289"/>
      <c r="X13" s="289"/>
      <c r="Y13" s="289"/>
      <c r="Z13" s="289"/>
      <c r="AA13" s="289"/>
      <c r="AB13" s="289"/>
      <c r="AC13" s="289"/>
      <c r="AD13" s="289"/>
      <c r="AE13" s="289"/>
      <c r="AF13" s="289"/>
      <c r="AG13" s="289"/>
      <c r="AH13" s="289"/>
      <c r="AI13" s="289"/>
      <c r="AJ13" s="289"/>
      <c r="AK13" s="289"/>
      <c r="AL13" s="289"/>
      <c r="AM13" s="289"/>
      <c r="AN13" s="289"/>
      <c r="AO13" s="289"/>
      <c r="AP13" s="289"/>
      <c r="AQ13" s="289"/>
      <c r="AR13" s="289"/>
    </row>
    <row r="14" spans="1:44" x14ac:dyDescent="0.2">
      <c r="A14" s="289"/>
      <c r="B14" s="293" t="s">
        <v>1315</v>
      </c>
      <c r="C14" s="1402" t="s">
        <v>1316</v>
      </c>
      <c r="D14" s="1400">
        <f>'Ввод исходных данных'!D270</f>
        <v>0</v>
      </c>
      <c r="E14" s="289"/>
      <c r="F14" s="289"/>
      <c r="G14" s="289"/>
      <c r="H14" s="289"/>
      <c r="I14" s="289"/>
      <c r="J14" s="289"/>
      <c r="K14" s="289"/>
      <c r="L14" s="289"/>
      <c r="M14" s="289"/>
      <c r="N14" s="289"/>
      <c r="O14" s="289"/>
      <c r="P14" s="289"/>
      <c r="Q14" s="289"/>
      <c r="R14" s="289"/>
      <c r="S14" s="289"/>
      <c r="T14" s="289"/>
      <c r="U14" s="289"/>
      <c r="V14" s="289"/>
      <c r="W14" s="289"/>
      <c r="X14" s="289"/>
      <c r="Y14" s="289"/>
      <c r="Z14" s="289"/>
      <c r="AA14" s="289"/>
      <c r="AB14" s="289"/>
      <c r="AC14" s="289"/>
      <c r="AD14" s="289"/>
      <c r="AE14" s="289"/>
      <c r="AF14" s="289"/>
      <c r="AG14" s="289"/>
      <c r="AH14" s="289"/>
      <c r="AI14" s="289"/>
      <c r="AJ14" s="289"/>
      <c r="AK14" s="289"/>
      <c r="AL14" s="289"/>
      <c r="AM14" s="289"/>
      <c r="AN14" s="289"/>
      <c r="AO14" s="289"/>
      <c r="AP14" s="289"/>
      <c r="AQ14" s="289"/>
      <c r="AR14" s="289"/>
    </row>
    <row r="15" spans="1:44" x14ac:dyDescent="0.2">
      <c r="A15" s="289"/>
      <c r="B15" s="289"/>
      <c r="C15" s="289"/>
      <c r="D15" s="289"/>
      <c r="E15" s="289"/>
      <c r="F15" s="289"/>
      <c r="G15" s="289"/>
      <c r="H15" s="289"/>
      <c r="I15" s="289"/>
      <c r="J15" s="289"/>
      <c r="K15" s="289"/>
      <c r="L15" s="289"/>
      <c r="M15" s="289"/>
      <c r="N15" s="289"/>
      <c r="O15" s="289"/>
      <c r="P15" s="289"/>
      <c r="Q15" s="289"/>
      <c r="R15" s="289"/>
      <c r="S15" s="289"/>
      <c r="T15" s="289"/>
      <c r="U15" s="289"/>
      <c r="V15" s="289"/>
      <c r="W15" s="289"/>
      <c r="X15" s="289"/>
      <c r="Y15" s="289"/>
      <c r="Z15" s="289"/>
      <c r="AA15" s="289"/>
      <c r="AB15" s="289"/>
      <c r="AC15" s="289"/>
      <c r="AD15" s="289"/>
      <c r="AE15" s="289"/>
      <c r="AF15" s="289"/>
      <c r="AG15" s="289"/>
      <c r="AH15" s="289"/>
      <c r="AI15" s="289"/>
      <c r="AJ15" s="289"/>
      <c r="AK15" s="289"/>
      <c r="AL15" s="289"/>
      <c r="AM15" s="289"/>
      <c r="AN15" s="289"/>
      <c r="AO15" s="289"/>
      <c r="AP15" s="289"/>
      <c r="AQ15" s="289"/>
      <c r="AR15" s="289"/>
    </row>
    <row r="16" spans="1:44" ht="12" customHeight="1" x14ac:dyDescent="0.2">
      <c r="A16" s="289"/>
      <c r="B16" s="1699" t="s">
        <v>1443</v>
      </c>
      <c r="C16" s="1700"/>
      <c r="D16" s="1700"/>
      <c r="E16" s="1700"/>
      <c r="F16" s="1700"/>
      <c r="G16" s="289"/>
      <c r="H16" s="289"/>
      <c r="I16" s="289"/>
      <c r="J16" s="289"/>
      <c r="K16" s="289"/>
      <c r="L16" s="289"/>
      <c r="M16" s="289"/>
      <c r="N16" s="289"/>
      <c r="O16" s="289"/>
      <c r="P16" s="289"/>
      <c r="Q16" s="289"/>
      <c r="R16" s="289"/>
      <c r="S16" s="289"/>
      <c r="T16" s="289"/>
      <c r="U16" s="289"/>
      <c r="V16" s="289"/>
      <c r="W16" s="289"/>
      <c r="X16" s="289"/>
      <c r="Y16" s="289"/>
      <c r="Z16" s="289"/>
      <c r="AA16" s="289"/>
      <c r="AB16" s="289"/>
      <c r="AC16" s="289"/>
      <c r="AD16" s="289"/>
      <c r="AE16" s="289"/>
      <c r="AF16" s="289"/>
      <c r="AG16" s="289"/>
      <c r="AH16" s="289"/>
      <c r="AI16" s="289"/>
      <c r="AJ16" s="289"/>
      <c r="AK16" s="289"/>
      <c r="AL16" s="289"/>
      <c r="AM16" s="289"/>
      <c r="AN16" s="289"/>
      <c r="AO16" s="289"/>
      <c r="AP16" s="289"/>
      <c r="AQ16" s="289"/>
      <c r="AR16" s="289"/>
    </row>
    <row r="17" spans="1:44" x14ac:dyDescent="0.2">
      <c r="A17" s="289"/>
      <c r="B17" s="293"/>
      <c r="C17" s="1688" t="s">
        <v>1309</v>
      </c>
      <c r="D17" s="1688"/>
      <c r="E17" s="1688"/>
      <c r="F17" s="1688"/>
      <c r="G17" s="289"/>
      <c r="H17" s="289"/>
      <c r="I17" s="289"/>
      <c r="J17" s="289"/>
      <c r="K17" s="289"/>
      <c r="L17" s="289"/>
      <c r="M17" s="289"/>
      <c r="N17" s="289"/>
      <c r="O17" s="289"/>
      <c r="P17" s="289"/>
      <c r="Q17" s="289"/>
      <c r="R17" s="289"/>
      <c r="S17" s="289"/>
      <c r="T17" s="289"/>
      <c r="U17" s="289"/>
      <c r="V17" s="289"/>
      <c r="W17" s="289"/>
      <c r="X17" s="289"/>
      <c r="Y17" s="289"/>
      <c r="Z17" s="289"/>
      <c r="AA17" s="289"/>
      <c r="AB17" s="289"/>
      <c r="AC17" s="289"/>
      <c r="AD17" s="289"/>
      <c r="AE17" s="289"/>
      <c r="AF17" s="289"/>
      <c r="AG17" s="289"/>
      <c r="AH17" s="289"/>
      <c r="AI17" s="289"/>
      <c r="AJ17" s="289"/>
      <c r="AK17" s="289"/>
      <c r="AL17" s="289"/>
      <c r="AM17" s="289"/>
      <c r="AN17" s="289"/>
      <c r="AO17" s="289"/>
      <c r="AP17" s="289"/>
      <c r="AQ17" s="289"/>
      <c r="AR17" s="289"/>
    </row>
    <row r="18" spans="1:44" ht="45.75" customHeight="1" x14ac:dyDescent="0.2">
      <c r="A18" s="289"/>
      <c r="B18" s="293"/>
      <c r="C18" s="1510" t="s">
        <v>1322</v>
      </c>
      <c r="D18" s="1511" t="s">
        <v>1327</v>
      </c>
      <c r="E18" s="1512" t="s">
        <v>1921</v>
      </c>
      <c r="F18" s="1698" t="str">
        <f>IF('Система ГВС'!F20=1,IF('Список мероприятий'!AB34=0,"Поскольку МКД получает горячую воду от ЦТП, экономия на теплоэнергии на ГВС рассчитана косвенно по водоразбору",""),"")</f>
        <v>Поскольку МКД получает горячую воду от ЦТП, экономия на теплоэнергии на ГВС рассчитана косвенно по водоразбору</v>
      </c>
      <c r="G18" s="289"/>
      <c r="H18" s="289"/>
      <c r="I18" s="289"/>
      <c r="J18" s="289"/>
      <c r="K18" s="289"/>
      <c r="L18" s="289"/>
      <c r="M18" s="289"/>
      <c r="N18" s="289"/>
      <c r="O18" s="289"/>
      <c r="P18" s="289"/>
      <c r="Q18" s="289"/>
      <c r="R18" s="289"/>
      <c r="S18" s="289"/>
      <c r="T18" s="289"/>
      <c r="U18" s="289"/>
      <c r="V18" s="289"/>
      <c r="W18" s="289"/>
      <c r="X18" s="289"/>
      <c r="Y18" s="289"/>
      <c r="Z18" s="289"/>
      <c r="AA18" s="289"/>
      <c r="AB18" s="289"/>
      <c r="AC18" s="289"/>
      <c r="AD18" s="289"/>
      <c r="AE18" s="289"/>
      <c r="AF18" s="289"/>
      <c r="AG18" s="289"/>
      <c r="AH18" s="289"/>
      <c r="AI18" s="289"/>
      <c r="AJ18" s="289"/>
      <c r="AK18" s="289"/>
      <c r="AL18" s="289"/>
      <c r="AM18" s="289"/>
      <c r="AN18" s="289"/>
      <c r="AO18" s="289"/>
      <c r="AP18" s="289"/>
      <c r="AQ18" s="289"/>
      <c r="AR18" s="289"/>
    </row>
    <row r="19" spans="1:44" x14ac:dyDescent="0.2">
      <c r="A19" s="289"/>
      <c r="B19" s="293" t="s">
        <v>1323</v>
      </c>
      <c r="C19" s="1400">
        <f>C20+C23</f>
        <v>0</v>
      </c>
      <c r="D19" s="1400">
        <f>D20+D23</f>
        <v>0</v>
      </c>
      <c r="E19" s="1405"/>
      <c r="F19" s="1698"/>
      <c r="G19" s="289"/>
      <c r="H19" s="289"/>
      <c r="I19" s="289"/>
      <c r="J19" s="289"/>
      <c r="K19" s="289"/>
      <c r="L19" s="289"/>
      <c r="M19" s="289"/>
      <c r="N19" s="289"/>
      <c r="O19" s="289"/>
      <c r="P19" s="289"/>
      <c r="Q19" s="289"/>
      <c r="R19" s="289"/>
      <c r="S19" s="289"/>
      <c r="T19" s="289"/>
      <c r="U19" s="289"/>
      <c r="V19" s="289"/>
      <c r="W19" s="289"/>
      <c r="X19" s="289"/>
      <c r="Y19" s="289"/>
      <c r="Z19" s="289"/>
      <c r="AA19" s="289"/>
      <c r="AB19" s="289"/>
      <c r="AC19" s="289"/>
      <c r="AD19" s="289"/>
      <c r="AE19" s="289"/>
      <c r="AF19" s="289"/>
      <c r="AG19" s="289"/>
      <c r="AH19" s="289"/>
      <c r="AI19" s="289"/>
      <c r="AJ19" s="289"/>
      <c r="AK19" s="289"/>
      <c r="AL19" s="289"/>
      <c r="AM19" s="289"/>
      <c r="AN19" s="289"/>
      <c r="AO19" s="289"/>
      <c r="AP19" s="289"/>
      <c r="AQ19" s="289"/>
      <c r="AR19" s="289"/>
    </row>
    <row r="20" spans="1:44" x14ac:dyDescent="0.2">
      <c r="A20" s="289"/>
      <c r="B20" s="1403" t="s">
        <v>1420</v>
      </c>
      <c r="C20" s="1400">
        <f>C21+C22</f>
        <v>0</v>
      </c>
      <c r="D20" s="1400">
        <f>D21+D22</f>
        <v>0</v>
      </c>
      <c r="E20" s="1405">
        <f>IF(списки!C53=0,0,E21+E22)</f>
        <v>0</v>
      </c>
      <c r="F20" s="1698"/>
      <c r="G20" s="294"/>
      <c r="H20" s="289"/>
      <c r="I20" s="289"/>
      <c r="J20" s="289"/>
      <c r="K20" s="289"/>
      <c r="L20" s="289"/>
      <c r="M20" s="289"/>
      <c r="N20" s="289"/>
      <c r="O20" s="289"/>
      <c r="P20" s="289"/>
      <c r="Q20" s="289"/>
      <c r="R20" s="289"/>
      <c r="S20" s="289"/>
      <c r="T20" s="289"/>
      <c r="U20" s="289"/>
      <c r="V20" s="289"/>
      <c r="W20" s="289"/>
      <c r="X20" s="289"/>
      <c r="Y20" s="289"/>
      <c r="Z20" s="289"/>
      <c r="AA20" s="289"/>
      <c r="AB20" s="289"/>
      <c r="AC20" s="289"/>
      <c r="AD20" s="289"/>
      <c r="AE20" s="289"/>
      <c r="AF20" s="289"/>
      <c r="AG20" s="289"/>
      <c r="AH20" s="289"/>
      <c r="AI20" s="289"/>
      <c r="AJ20" s="289"/>
      <c r="AK20" s="289"/>
      <c r="AL20" s="289"/>
      <c r="AM20" s="289"/>
      <c r="AN20" s="289"/>
      <c r="AO20" s="289"/>
      <c r="AP20" s="289"/>
      <c r="AQ20" s="289"/>
      <c r="AR20" s="289"/>
    </row>
    <row r="21" spans="1:44" x14ac:dyDescent="0.2">
      <c r="A21" s="289"/>
      <c r="B21" s="1404" t="s">
        <v>1324</v>
      </c>
      <c r="C21" s="1400">
        <f>'Расчет базового уровня'!D13*'Экономический расчет'!$D$13</f>
        <v>0</v>
      </c>
      <c r="D21" s="1400">
        <f>IF(списки!C53=0,0,'Расчет после реализации'!D12/1163*'Экономический расчет'!$D$13)</f>
        <v>0</v>
      </c>
      <c r="E21" s="1405">
        <f>IF(списки!C53=0,0,'Расчет после реализации'!D13/1163)</f>
        <v>0</v>
      </c>
      <c r="F21" s="1698"/>
      <c r="G21" s="294"/>
      <c r="H21" s="289"/>
      <c r="I21" s="289"/>
      <c r="J21" s="289"/>
      <c r="K21" s="289"/>
      <c r="L21" s="289"/>
      <c r="M21" s="289"/>
      <c r="N21" s="289"/>
      <c r="O21" s="289"/>
      <c r="P21" s="289"/>
      <c r="Q21" s="289"/>
      <c r="R21" s="289"/>
      <c r="S21" s="289"/>
      <c r="T21" s="289"/>
      <c r="U21" s="289"/>
      <c r="V21" s="289"/>
      <c r="W21" s="289"/>
      <c r="X21" s="289"/>
      <c r="Y21" s="289"/>
      <c r="Z21" s="289"/>
      <c r="AA21" s="289"/>
      <c r="AB21" s="289"/>
      <c r="AC21" s="289"/>
      <c r="AD21" s="289"/>
      <c r="AE21" s="289"/>
      <c r="AF21" s="289"/>
      <c r="AG21" s="289"/>
      <c r="AH21" s="289"/>
      <c r="AI21" s="289"/>
      <c r="AJ21" s="289"/>
      <c r="AK21" s="289"/>
      <c r="AL21" s="289"/>
      <c r="AM21" s="289"/>
      <c r="AN21" s="289"/>
      <c r="AO21" s="289"/>
      <c r="AP21" s="289"/>
      <c r="AQ21" s="289"/>
      <c r="AR21" s="289"/>
    </row>
    <row r="22" spans="1:44" x14ac:dyDescent="0.2">
      <c r="A22" s="289"/>
      <c r="B22" s="1404" t="s">
        <v>1325</v>
      </c>
      <c r="C22" s="1400">
        <f>'Расчет базового уровня'!D16*'Экономический расчет'!$D$13</f>
        <v>0</v>
      </c>
      <c r="D22" s="1400">
        <f>IF(списки!C53=0,0,'Расчет после реализации'!D15/1163*'Экономический расчет'!$D$13)</f>
        <v>0</v>
      </c>
      <c r="E22" s="1405">
        <f>IF(списки!C53=0,0,'Расчет после реализации'!D86/1163)</f>
        <v>0</v>
      </c>
      <c r="F22" s="1698"/>
      <c r="G22" s="294"/>
      <c r="H22" s="289"/>
      <c r="I22" s="289"/>
      <c r="J22" s="289"/>
      <c r="K22" s="289"/>
      <c r="L22" s="289"/>
      <c r="M22" s="289"/>
      <c r="N22" s="289"/>
      <c r="O22" s="289"/>
      <c r="P22" s="289"/>
      <c r="Q22" s="289"/>
      <c r="R22" s="289"/>
      <c r="S22" s="289"/>
      <c r="T22" s="289"/>
      <c r="U22" s="289"/>
      <c r="V22" s="289"/>
      <c r="W22" s="289"/>
      <c r="X22" s="289"/>
      <c r="Y22" s="289"/>
      <c r="Z22" s="289"/>
      <c r="AA22" s="289"/>
      <c r="AB22" s="289"/>
      <c r="AC22" s="289"/>
      <c r="AD22" s="289"/>
      <c r="AE22" s="289"/>
      <c r="AF22" s="289"/>
      <c r="AG22" s="289"/>
      <c r="AH22" s="289"/>
      <c r="AI22" s="289"/>
      <c r="AJ22" s="289"/>
      <c r="AK22" s="289"/>
      <c r="AL22" s="289"/>
      <c r="AM22" s="289"/>
      <c r="AN22" s="289"/>
      <c r="AO22" s="289"/>
      <c r="AP22" s="289"/>
      <c r="AQ22" s="289"/>
      <c r="AR22" s="289"/>
    </row>
    <row r="23" spans="1:44" x14ac:dyDescent="0.2">
      <c r="A23" s="289"/>
      <c r="B23" s="1403" t="s">
        <v>1421</v>
      </c>
      <c r="C23" s="1400">
        <f>'Расчет базового уровня'!D18*'Экономический расчет'!$D$14</f>
        <v>0</v>
      </c>
      <c r="D23" s="1400">
        <f>IF(списки!C53=0,0,'Расчет после реализации'!D18*'Экономический расчет'!$D$14)</f>
        <v>0</v>
      </c>
      <c r="E23" s="1405">
        <f>IF(списки!C53=0,0,'Расчет после реализации'!C100-'Расчет после реализации'!D100)</f>
        <v>0</v>
      </c>
      <c r="F23" s="1698"/>
      <c r="G23" s="294"/>
      <c r="H23" s="289"/>
      <c r="I23" s="289"/>
      <c r="J23" s="289"/>
      <c r="K23" s="289"/>
      <c r="L23" s="289"/>
      <c r="M23" s="289"/>
      <c r="N23" s="289"/>
      <c r="O23" s="289"/>
      <c r="P23" s="289"/>
      <c r="Q23" s="289"/>
      <c r="R23" s="289"/>
      <c r="S23" s="289"/>
      <c r="T23" s="289"/>
      <c r="U23" s="289"/>
      <c r="V23" s="289"/>
      <c r="W23" s="289"/>
      <c r="X23" s="289"/>
      <c r="Y23" s="289"/>
      <c r="Z23" s="289"/>
      <c r="AA23" s="289"/>
      <c r="AB23" s="289"/>
      <c r="AC23" s="289"/>
      <c r="AD23" s="289"/>
      <c r="AE23" s="289"/>
      <c r="AF23" s="289"/>
      <c r="AG23" s="289"/>
      <c r="AH23" s="289"/>
      <c r="AI23" s="289"/>
      <c r="AJ23" s="289"/>
      <c r="AK23" s="289"/>
      <c r="AL23" s="289"/>
      <c r="AM23" s="289"/>
      <c r="AN23" s="289"/>
      <c r="AO23" s="289"/>
      <c r="AP23" s="289"/>
      <c r="AQ23" s="289"/>
      <c r="AR23" s="289"/>
    </row>
    <row r="24" spans="1:44" ht="28.5" customHeight="1" x14ac:dyDescent="0.2">
      <c r="A24" s="289"/>
      <c r="B24" s="1692" t="s">
        <v>1448</v>
      </c>
      <c r="C24" s="1692"/>
      <c r="D24" s="1692"/>
      <c r="E24" s="1406" t="str">
        <f>IF(списки!C53=0,"",IF('Расчет после реализации'!D106&gt;'Расчет после реализации'!C106,'Расчет после реализации'!D106-'Расчет после реализации'!C106,0))</f>
        <v/>
      </c>
      <c r="F24" s="1698"/>
      <c r="G24" s="289"/>
      <c r="H24" s="289"/>
      <c r="I24" s="289"/>
      <c r="J24" s="289"/>
      <c r="K24" s="289"/>
      <c r="L24" s="289"/>
      <c r="M24" s="289"/>
      <c r="N24" s="289"/>
      <c r="O24" s="289"/>
      <c r="P24" s="289"/>
      <c r="Q24" s="289"/>
      <c r="R24" s="289"/>
      <c r="S24" s="289"/>
      <c r="T24" s="289"/>
      <c r="U24" s="289"/>
      <c r="V24" s="289"/>
      <c r="W24" s="289"/>
      <c r="X24" s="289"/>
      <c r="Y24" s="289"/>
      <c r="Z24" s="289"/>
      <c r="AA24" s="289"/>
      <c r="AB24" s="289"/>
      <c r="AC24" s="289"/>
      <c r="AD24" s="289"/>
      <c r="AE24" s="289"/>
      <c r="AF24" s="289"/>
      <c r="AG24" s="289"/>
      <c r="AH24" s="289"/>
      <c r="AI24" s="289"/>
      <c r="AJ24" s="289"/>
      <c r="AK24" s="289"/>
      <c r="AL24" s="289"/>
      <c r="AM24" s="289"/>
      <c r="AN24" s="289"/>
      <c r="AO24" s="289"/>
      <c r="AP24" s="289"/>
      <c r="AQ24" s="289"/>
      <c r="AR24" s="289"/>
    </row>
    <row r="25" spans="1:44" x14ac:dyDescent="0.2">
      <c r="A25" s="289"/>
      <c r="B25" s="289"/>
      <c r="C25" s="289"/>
      <c r="D25" s="289"/>
      <c r="E25" s="289"/>
      <c r="F25" s="289"/>
      <c r="G25" s="289"/>
      <c r="H25" s="289"/>
      <c r="I25" s="289"/>
      <c r="J25" s="289"/>
      <c r="K25" s="289"/>
      <c r="L25" s="289"/>
      <c r="M25" s="289"/>
      <c r="N25" s="289"/>
      <c r="O25" s="289"/>
      <c r="P25" s="289"/>
      <c r="Q25" s="289"/>
      <c r="R25" s="289"/>
      <c r="S25" s="289"/>
      <c r="T25" s="289"/>
      <c r="U25" s="289"/>
      <c r="V25" s="289"/>
      <c r="W25" s="289"/>
      <c r="X25" s="289"/>
      <c r="Y25" s="289"/>
      <c r="Z25" s="289"/>
      <c r="AA25" s="289"/>
      <c r="AB25" s="289"/>
      <c r="AC25" s="289"/>
      <c r="AD25" s="289"/>
      <c r="AE25" s="289"/>
      <c r="AF25" s="289"/>
      <c r="AG25" s="289"/>
      <c r="AH25" s="289"/>
      <c r="AI25" s="289"/>
      <c r="AJ25" s="289"/>
      <c r="AK25" s="289"/>
      <c r="AL25" s="289"/>
      <c r="AM25" s="289"/>
      <c r="AN25" s="289"/>
      <c r="AO25" s="289"/>
      <c r="AP25" s="289"/>
      <c r="AQ25" s="289"/>
      <c r="AR25" s="289"/>
    </row>
    <row r="26" spans="1:44" x14ac:dyDescent="0.2">
      <c r="A26" s="289"/>
      <c r="B26" s="289"/>
      <c r="C26" s="289"/>
      <c r="D26" s="294"/>
      <c r="E26" s="289"/>
      <c r="F26" s="289"/>
      <c r="G26" s="289"/>
      <c r="H26" s="289"/>
      <c r="I26" s="289"/>
      <c r="J26" s="289"/>
      <c r="K26" s="289"/>
      <c r="L26" s="289"/>
      <c r="M26" s="289"/>
      <c r="N26" s="289"/>
      <c r="O26" s="289"/>
      <c r="P26" s="289"/>
      <c r="Q26" s="289"/>
      <c r="R26" s="289"/>
      <c r="S26" s="289"/>
      <c r="T26" s="289"/>
      <c r="U26" s="289"/>
      <c r="V26" s="289"/>
      <c r="W26" s="289"/>
      <c r="X26" s="289"/>
      <c r="Y26" s="289"/>
      <c r="Z26" s="289"/>
      <c r="AA26" s="289"/>
      <c r="AB26" s="289"/>
      <c r="AC26" s="289"/>
      <c r="AD26" s="289"/>
      <c r="AE26" s="289"/>
      <c r="AF26" s="289"/>
      <c r="AG26" s="289"/>
      <c r="AH26" s="289"/>
      <c r="AI26" s="289"/>
      <c r="AJ26" s="289"/>
      <c r="AK26" s="289"/>
      <c r="AL26" s="289"/>
      <c r="AM26" s="289"/>
      <c r="AN26" s="289"/>
      <c r="AO26" s="289"/>
      <c r="AP26" s="289"/>
      <c r="AQ26" s="289"/>
      <c r="AR26" s="289"/>
    </row>
    <row r="27" spans="1:44" ht="15" customHeight="1" x14ac:dyDescent="0.2">
      <c r="A27" s="289"/>
      <c r="B27" s="1493" t="s">
        <v>1902</v>
      </c>
      <c r="C27" s="1400">
        <f>'Ввод исходных данных'!G44</f>
        <v>0</v>
      </c>
      <c r="D27" s="1701"/>
      <c r="E27" s="1701"/>
      <c r="F27" s="1701"/>
      <c r="G27" s="289"/>
      <c r="H27" s="289"/>
      <c r="I27" s="289"/>
      <c r="J27" s="289"/>
      <c r="K27" s="289"/>
      <c r="L27" s="289"/>
      <c r="M27" s="289"/>
      <c r="N27" s="289"/>
      <c r="O27" s="289"/>
      <c r="P27" s="289"/>
      <c r="Q27" s="289"/>
      <c r="R27" s="289"/>
      <c r="S27" s="289"/>
      <c r="T27" s="289"/>
      <c r="U27" s="289"/>
      <c r="V27" s="289"/>
      <c r="W27" s="289"/>
      <c r="X27" s="289"/>
      <c r="Y27" s="289"/>
      <c r="Z27" s="289"/>
      <c r="AA27" s="289"/>
      <c r="AB27" s="289"/>
      <c r="AC27" s="289"/>
      <c r="AD27" s="289"/>
      <c r="AE27" s="289"/>
      <c r="AF27" s="289"/>
      <c r="AG27" s="289"/>
      <c r="AH27" s="289"/>
      <c r="AI27" s="289"/>
      <c r="AJ27" s="289"/>
      <c r="AK27" s="289"/>
      <c r="AL27" s="289"/>
      <c r="AM27" s="289"/>
      <c r="AN27" s="289"/>
      <c r="AO27" s="289"/>
      <c r="AP27" s="289"/>
      <c r="AQ27" s="289"/>
      <c r="AR27" s="289"/>
    </row>
    <row r="28" spans="1:44" ht="15" customHeight="1" x14ac:dyDescent="0.2">
      <c r="A28" s="289"/>
      <c r="B28" s="1493" t="s">
        <v>1861</v>
      </c>
      <c r="C28" s="1400">
        <f>'Ввод исходных данных'!G45+'Ввод исходных данных'!D23</f>
        <v>0</v>
      </c>
      <c r="D28" s="1701"/>
      <c r="E28" s="1701"/>
      <c r="F28" s="1701"/>
      <c r="G28" s="289"/>
      <c r="H28" s="289"/>
      <c r="I28" s="289"/>
      <c r="J28" s="289"/>
      <c r="K28" s="289"/>
      <c r="L28" s="289"/>
      <c r="M28" s="289"/>
      <c r="N28" s="289"/>
      <c r="O28" s="289"/>
      <c r="P28" s="289"/>
      <c r="Q28" s="289"/>
      <c r="R28" s="289"/>
      <c r="S28" s="289"/>
      <c r="T28" s="289"/>
      <c r="U28" s="289"/>
      <c r="V28" s="289"/>
      <c r="W28" s="289"/>
      <c r="X28" s="289"/>
      <c r="Y28" s="289"/>
      <c r="Z28" s="289"/>
      <c r="AA28" s="289"/>
      <c r="AB28" s="289"/>
      <c r="AC28" s="289"/>
      <c r="AD28" s="289"/>
      <c r="AE28" s="289"/>
      <c r="AF28" s="289"/>
      <c r="AG28" s="289"/>
      <c r="AH28" s="289"/>
      <c r="AI28" s="289"/>
      <c r="AJ28" s="289"/>
      <c r="AK28" s="289"/>
      <c r="AL28" s="289"/>
      <c r="AM28" s="289"/>
      <c r="AN28" s="289"/>
      <c r="AO28" s="289"/>
      <c r="AP28" s="289"/>
      <c r="AQ28" s="289"/>
      <c r="AR28" s="289"/>
    </row>
    <row r="29" spans="1:44" ht="15" customHeight="1" x14ac:dyDescent="0.2">
      <c r="A29" s="289"/>
      <c r="B29" s="1493" t="s">
        <v>1406</v>
      </c>
      <c r="C29" s="1400" t="str">
        <f>'Список мероприятий'!F86</f>
        <v/>
      </c>
      <c r="D29" s="1701"/>
      <c r="E29" s="1701"/>
      <c r="F29" s="1701"/>
      <c r="G29" s="289"/>
      <c r="H29" s="289"/>
      <c r="I29" s="289"/>
      <c r="J29" s="289"/>
      <c r="K29" s="289"/>
      <c r="L29" s="289"/>
      <c r="M29" s="289"/>
      <c r="N29" s="289"/>
      <c r="O29" s="289"/>
      <c r="P29" s="289"/>
      <c r="Q29" s="289"/>
      <c r="R29" s="289"/>
      <c r="S29" s="289"/>
      <c r="T29" s="289"/>
      <c r="U29" s="289"/>
      <c r="V29" s="289"/>
      <c r="W29" s="289"/>
      <c r="X29" s="289"/>
      <c r="Y29" s="289"/>
      <c r="Z29" s="289"/>
      <c r="AA29" s="289"/>
      <c r="AB29" s="289"/>
      <c r="AC29" s="289"/>
      <c r="AD29" s="289"/>
      <c r="AE29" s="289"/>
      <c r="AF29" s="289"/>
      <c r="AG29" s="289"/>
      <c r="AH29" s="289"/>
      <c r="AI29" s="289"/>
      <c r="AJ29" s="289"/>
      <c r="AK29" s="289"/>
      <c r="AL29" s="289"/>
      <c r="AM29" s="289"/>
      <c r="AN29" s="289"/>
      <c r="AO29" s="289"/>
      <c r="AP29" s="289"/>
      <c r="AQ29" s="289"/>
      <c r="AR29" s="289"/>
    </row>
    <row r="30" spans="1:44" ht="15" customHeight="1" x14ac:dyDescent="0.2">
      <c r="A30" s="289"/>
      <c r="B30" s="1493" t="s">
        <v>1903</v>
      </c>
      <c r="C30" s="1400" t="str">
        <f>IFERROR(C29/C27,"")</f>
        <v/>
      </c>
      <c r="D30" s="1701" t="s">
        <v>1595</v>
      </c>
      <c r="E30" s="1701"/>
      <c r="F30" s="1701"/>
      <c r="G30" s="289"/>
      <c r="H30" s="289"/>
      <c r="I30" s="289"/>
      <c r="J30" s="289"/>
      <c r="K30" s="289"/>
      <c r="L30" s="289"/>
      <c r="M30" s="289"/>
      <c r="N30" s="289"/>
      <c r="O30" s="289"/>
      <c r="P30" s="289"/>
      <c r="Q30" s="289"/>
      <c r="R30" s="289"/>
      <c r="S30" s="289"/>
      <c r="T30" s="289"/>
      <c r="U30" s="289"/>
      <c r="V30" s="289"/>
      <c r="W30" s="289"/>
      <c r="X30" s="289"/>
      <c r="Y30" s="289"/>
      <c r="Z30" s="289"/>
      <c r="AA30" s="289"/>
      <c r="AB30" s="289"/>
      <c r="AC30" s="289"/>
      <c r="AD30" s="289"/>
      <c r="AE30" s="289"/>
      <c r="AF30" s="289"/>
      <c r="AG30" s="289"/>
      <c r="AH30" s="289"/>
      <c r="AI30" s="289"/>
      <c r="AJ30" s="289"/>
      <c r="AK30" s="289"/>
      <c r="AL30" s="289"/>
      <c r="AM30" s="289"/>
      <c r="AN30" s="289"/>
      <c r="AO30" s="289"/>
      <c r="AP30" s="289"/>
      <c r="AQ30" s="289"/>
      <c r="AR30" s="289"/>
    </row>
    <row r="31" spans="1:44" ht="15" customHeight="1" x14ac:dyDescent="0.2">
      <c r="A31" s="289"/>
      <c r="B31" s="1493" t="s">
        <v>1903</v>
      </c>
      <c r="C31" s="1400" t="str">
        <f>IFERROR(C29/C28,"")</f>
        <v/>
      </c>
      <c r="D31" s="1701" t="s">
        <v>1636</v>
      </c>
      <c r="E31" s="1701"/>
      <c r="F31" s="1701"/>
      <c r="G31" s="289"/>
      <c r="H31" s="289"/>
      <c r="I31" s="289"/>
      <c r="J31" s="289"/>
      <c r="K31" s="289"/>
      <c r="L31" s="289"/>
      <c r="M31" s="289"/>
      <c r="N31" s="289"/>
      <c r="O31" s="289"/>
      <c r="P31" s="289"/>
      <c r="Q31" s="289"/>
      <c r="R31" s="289"/>
      <c r="S31" s="289"/>
      <c r="T31" s="289"/>
      <c r="U31" s="289"/>
      <c r="V31" s="289"/>
      <c r="W31" s="289"/>
      <c r="X31" s="289"/>
      <c r="Y31" s="289"/>
      <c r="Z31" s="289"/>
      <c r="AA31" s="289"/>
      <c r="AB31" s="289"/>
      <c r="AC31" s="289"/>
      <c r="AD31" s="289"/>
      <c r="AE31" s="289"/>
      <c r="AF31" s="289"/>
      <c r="AG31" s="289"/>
      <c r="AH31" s="289"/>
      <c r="AI31" s="289"/>
      <c r="AJ31" s="289"/>
      <c r="AK31" s="289"/>
      <c r="AL31" s="289"/>
      <c r="AM31" s="289"/>
      <c r="AN31" s="289"/>
      <c r="AO31" s="289"/>
      <c r="AP31" s="289"/>
      <c r="AQ31" s="289"/>
      <c r="AR31" s="289"/>
    </row>
    <row r="32" spans="1:44" ht="15" customHeight="1" x14ac:dyDescent="0.2">
      <c r="A32" s="289"/>
      <c r="B32" s="1493" t="s">
        <v>1408</v>
      </c>
      <c r="C32" s="1400"/>
      <c r="D32" s="1701"/>
      <c r="E32" s="1701"/>
      <c r="F32" s="1701"/>
      <c r="G32" s="289"/>
      <c r="H32" s="289"/>
      <c r="I32" s="289"/>
      <c r="J32" s="289"/>
      <c r="K32" s="289"/>
      <c r="L32" s="289"/>
      <c r="M32" s="289"/>
      <c r="N32" s="289"/>
      <c r="O32" s="289"/>
      <c r="P32" s="289"/>
      <c r="Q32" s="289"/>
      <c r="R32" s="289"/>
      <c r="S32" s="289"/>
      <c r="T32" s="289"/>
      <c r="U32" s="289"/>
      <c r="V32" s="289"/>
      <c r="W32" s="289"/>
      <c r="X32" s="289"/>
      <c r="Y32" s="289"/>
      <c r="Z32" s="289"/>
      <c r="AA32" s="289"/>
      <c r="AB32" s="289"/>
      <c r="AC32" s="289"/>
      <c r="AD32" s="289"/>
      <c r="AE32" s="289"/>
      <c r="AF32" s="289"/>
      <c r="AG32" s="289"/>
      <c r="AH32" s="289"/>
      <c r="AI32" s="289"/>
      <c r="AJ32" s="289"/>
      <c r="AK32" s="289"/>
      <c r="AL32" s="289"/>
      <c r="AM32" s="289"/>
      <c r="AN32" s="289"/>
      <c r="AO32" s="289"/>
      <c r="AP32" s="289"/>
      <c r="AQ32" s="289"/>
      <c r="AR32" s="289"/>
    </row>
    <row r="33" spans="1:44" ht="25.5" customHeight="1" x14ac:dyDescent="0.2">
      <c r="A33" s="289"/>
      <c r="B33" s="1494" t="s">
        <v>1416</v>
      </c>
      <c r="C33" s="1400" t="str">
        <f>IF(OR(D6=0,списки!C51=1),"",MIN(5000000,D6/2,IF(AND(C36&gt;=0.1,C36&lt;=0.3),(C36*10+1)*C35,IF(C36&gt;0.3,4*C35,0))))</f>
        <v/>
      </c>
      <c r="D33" s="1702" t="str">
        <f>E6</f>
        <v>Введите общие затраты, это необходимо для расчета поддержки</v>
      </c>
      <c r="E33" s="1702"/>
      <c r="F33" s="1702"/>
      <c r="G33" s="289"/>
      <c r="H33" s="289"/>
      <c r="I33" s="289"/>
      <c r="J33" s="289"/>
      <c r="K33" s="289"/>
      <c r="L33" s="289"/>
      <c r="M33" s="289"/>
      <c r="N33" s="289"/>
      <c r="O33" s="289"/>
      <c r="P33" s="289"/>
      <c r="Q33" s="289"/>
      <c r="R33" s="289"/>
      <c r="S33" s="289"/>
      <c r="T33" s="289"/>
      <c r="U33" s="289"/>
      <c r="V33" s="289"/>
      <c r="W33" s="289"/>
      <c r="X33" s="289"/>
      <c r="Y33" s="289"/>
      <c r="Z33" s="289"/>
      <c r="AA33" s="289"/>
      <c r="AB33" s="289"/>
      <c r="AC33" s="289"/>
      <c r="AD33" s="289"/>
      <c r="AE33" s="289"/>
      <c r="AF33" s="289"/>
      <c r="AG33" s="289"/>
      <c r="AH33" s="289"/>
      <c r="AI33" s="289"/>
      <c r="AJ33" s="289"/>
      <c r="AK33" s="289"/>
      <c r="AL33" s="289"/>
      <c r="AM33" s="289"/>
      <c r="AN33" s="289"/>
      <c r="AO33" s="289"/>
      <c r="AP33" s="289"/>
      <c r="AQ33" s="289"/>
      <c r="AR33" s="289"/>
    </row>
    <row r="34" spans="1:44" ht="13.5" customHeight="1" x14ac:dyDescent="0.2">
      <c r="A34" s="289"/>
      <c r="B34" s="1494" t="s">
        <v>1417</v>
      </c>
      <c r="C34" s="1400">
        <f>IFERROR(MIN(5*10^6-C33,D6/2-C33,IF(списки!C51=1,0,ABS(D7+PMT(MIN(D9,D10)/12,MIN(D8,60),D7)*MIN(D8,60)))),0)</f>
        <v>0</v>
      </c>
      <c r="D34" s="1703" t="str">
        <f>IF(IFERROR(C34,0)&gt;0,"Внимание: ориентировочная сумма!","")</f>
        <v/>
      </c>
      <c r="E34" s="1703"/>
      <c r="F34" s="1703"/>
      <c r="G34" s="289"/>
      <c r="H34" s="289"/>
      <c r="I34" s="289"/>
      <c r="J34" s="289"/>
      <c r="K34" s="289"/>
      <c r="L34" s="289"/>
      <c r="M34" s="289"/>
      <c r="N34" s="289"/>
      <c r="O34" s="289"/>
      <c r="P34" s="289"/>
      <c r="Q34" s="289"/>
      <c r="R34" s="289"/>
      <c r="S34" s="289"/>
      <c r="T34" s="289"/>
      <c r="U34" s="289"/>
      <c r="V34" s="289"/>
      <c r="W34" s="289"/>
      <c r="X34" s="289"/>
      <c r="Y34" s="289"/>
      <c r="Z34" s="289"/>
      <c r="AA34" s="289"/>
      <c r="AB34" s="289"/>
      <c r="AC34" s="289"/>
      <c r="AD34" s="289"/>
      <c r="AE34" s="289"/>
      <c r="AF34" s="289"/>
      <c r="AG34" s="289"/>
      <c r="AH34" s="289"/>
      <c r="AI34" s="289"/>
      <c r="AJ34" s="289"/>
      <c r="AK34" s="289"/>
      <c r="AL34" s="289"/>
      <c r="AM34" s="289"/>
      <c r="AN34" s="289"/>
      <c r="AO34" s="289"/>
      <c r="AP34" s="289"/>
      <c r="AQ34" s="289"/>
      <c r="AR34" s="289"/>
    </row>
    <row r="35" spans="1:44" ht="15" customHeight="1" x14ac:dyDescent="0.2">
      <c r="A35" s="289"/>
      <c r="B35" s="1493" t="s">
        <v>1610</v>
      </c>
      <c r="C35" s="1400">
        <f>IF(списки!C49=1,0,C36*(C19))</f>
        <v>0</v>
      </c>
      <c r="D35" s="1701"/>
      <c r="E35" s="1701"/>
      <c r="F35" s="1701"/>
      <c r="G35" s="289"/>
      <c r="H35" s="289"/>
      <c r="I35" s="289"/>
      <c r="J35" s="289"/>
      <c r="K35" s="289"/>
      <c r="L35" s="289"/>
      <c r="M35" s="289"/>
      <c r="N35" s="289"/>
      <c r="O35" s="289"/>
      <c r="P35" s="289"/>
      <c r="Q35" s="289"/>
      <c r="R35" s="289"/>
      <c r="S35" s="289"/>
      <c r="T35" s="289"/>
      <c r="U35" s="289"/>
      <c r="V35" s="289"/>
      <c r="W35" s="289"/>
      <c r="X35" s="289"/>
      <c r="Y35" s="289"/>
      <c r="Z35" s="289"/>
      <c r="AA35" s="289"/>
      <c r="AB35" s="289"/>
      <c r="AC35" s="289"/>
      <c r="AD35" s="289"/>
      <c r="AE35" s="289"/>
      <c r="AF35" s="289"/>
      <c r="AG35" s="289"/>
      <c r="AH35" s="289"/>
      <c r="AI35" s="289"/>
      <c r="AJ35" s="289"/>
      <c r="AK35" s="289"/>
      <c r="AL35" s="289"/>
      <c r="AM35" s="289"/>
      <c r="AN35" s="289"/>
      <c r="AO35" s="289"/>
      <c r="AP35" s="289"/>
      <c r="AQ35" s="289"/>
      <c r="AR35" s="289"/>
    </row>
    <row r="36" spans="1:44" ht="15" customHeight="1" x14ac:dyDescent="0.2">
      <c r="A36" s="289"/>
      <c r="B36" s="1493" t="s">
        <v>1409</v>
      </c>
      <c r="C36" s="296" t="str">
        <f>IF(списки!C53=0,"",1-D19/C19)</f>
        <v/>
      </c>
      <c r="D36" s="1704"/>
      <c r="E36" s="1704"/>
      <c r="F36" s="1704"/>
      <c r="G36" s="289"/>
      <c r="H36" s="289"/>
      <c r="I36" s="289"/>
      <c r="J36" s="289"/>
      <c r="K36" s="289"/>
      <c r="L36" s="289"/>
      <c r="M36" s="289"/>
      <c r="N36" s="289"/>
      <c r="O36" s="289"/>
      <c r="P36" s="289"/>
      <c r="Q36" s="289"/>
      <c r="R36" s="289"/>
      <c r="S36" s="289"/>
      <c r="T36" s="289"/>
      <c r="U36" s="289"/>
      <c r="V36" s="289"/>
      <c r="W36" s="289"/>
      <c r="X36" s="289"/>
      <c r="Y36" s="289"/>
      <c r="Z36" s="289"/>
      <c r="AA36" s="289"/>
      <c r="AB36" s="289"/>
      <c r="AC36" s="289"/>
      <c r="AD36" s="289"/>
      <c r="AE36" s="289"/>
      <c r="AF36" s="289"/>
      <c r="AG36" s="289"/>
      <c r="AH36" s="289"/>
      <c r="AI36" s="289"/>
      <c r="AJ36" s="289"/>
      <c r="AK36" s="289"/>
      <c r="AL36" s="289"/>
      <c r="AM36" s="289"/>
      <c r="AN36" s="289"/>
      <c r="AO36" s="289"/>
      <c r="AP36" s="289"/>
      <c r="AQ36" s="289"/>
      <c r="AR36" s="289"/>
    </row>
    <row r="37" spans="1:44" ht="15" customHeight="1" x14ac:dyDescent="0.2">
      <c r="A37" s="289"/>
      <c r="B37" s="1493" t="s">
        <v>1407</v>
      </c>
      <c r="C37" s="295" t="str">
        <f>IF(списки!C51=1,"",D5/C35)</f>
        <v/>
      </c>
      <c r="D37" s="1701"/>
      <c r="E37" s="1701"/>
      <c r="F37" s="1701"/>
      <c r="G37" s="289"/>
      <c r="H37" s="289"/>
      <c r="I37" s="289"/>
      <c r="J37" s="289"/>
      <c r="K37" s="289"/>
      <c r="L37" s="289"/>
      <c r="M37" s="289"/>
      <c r="N37" s="289"/>
      <c r="O37" s="289"/>
      <c r="P37" s="289"/>
      <c r="Q37" s="289"/>
      <c r="R37" s="289"/>
      <c r="S37" s="289"/>
      <c r="T37" s="289"/>
      <c r="U37" s="289"/>
      <c r="V37" s="289"/>
      <c r="W37" s="289"/>
      <c r="X37" s="289"/>
      <c r="Y37" s="289"/>
      <c r="Z37" s="289"/>
      <c r="AA37" s="289"/>
      <c r="AB37" s="289"/>
      <c r="AC37" s="289"/>
      <c r="AD37" s="289"/>
      <c r="AE37" s="289"/>
      <c r="AF37" s="289"/>
      <c r="AG37" s="289"/>
      <c r="AH37" s="289"/>
      <c r="AI37" s="289"/>
      <c r="AJ37" s="289"/>
      <c r="AK37" s="289"/>
      <c r="AL37" s="289"/>
      <c r="AM37" s="289"/>
      <c r="AN37" s="289"/>
      <c r="AO37" s="289"/>
      <c r="AP37" s="289"/>
      <c r="AQ37" s="289"/>
      <c r="AR37" s="289"/>
    </row>
    <row r="38" spans="1:44" x14ac:dyDescent="0.2">
      <c r="A38" s="289"/>
      <c r="B38" s="289"/>
      <c r="C38" s="289"/>
      <c r="D38" s="289"/>
      <c r="E38" s="289"/>
      <c r="F38" s="289"/>
      <c r="G38" s="289"/>
      <c r="H38" s="289"/>
      <c r="I38" s="289"/>
      <c r="J38" s="289"/>
      <c r="K38" s="289"/>
      <c r="L38" s="289"/>
      <c r="M38" s="289"/>
      <c r="N38" s="289"/>
      <c r="O38" s="289"/>
      <c r="P38" s="289"/>
      <c r="Q38" s="289"/>
      <c r="R38" s="289"/>
      <c r="S38" s="289"/>
      <c r="T38" s="289"/>
      <c r="U38" s="289"/>
      <c r="V38" s="289"/>
      <c r="W38" s="289"/>
      <c r="X38" s="289"/>
      <c r="Y38" s="289"/>
      <c r="Z38" s="289"/>
      <c r="AA38" s="289"/>
      <c r="AB38" s="289"/>
      <c r="AC38" s="289"/>
      <c r="AD38" s="289"/>
      <c r="AE38" s="289"/>
      <c r="AF38" s="289"/>
      <c r="AG38" s="289"/>
      <c r="AH38" s="289"/>
      <c r="AI38" s="289"/>
      <c r="AJ38" s="289"/>
      <c r="AK38" s="289"/>
      <c r="AL38" s="289"/>
      <c r="AM38" s="289"/>
      <c r="AN38" s="289"/>
      <c r="AO38" s="289"/>
      <c r="AP38" s="289"/>
      <c r="AQ38" s="289"/>
      <c r="AR38" s="289"/>
    </row>
    <row r="39" spans="1:44" x14ac:dyDescent="0.2">
      <c r="A39" s="289"/>
      <c r="B39" s="289"/>
      <c r="C39" s="289"/>
      <c r="D39" s="289"/>
      <c r="E39" s="289"/>
      <c r="F39" s="289"/>
      <c r="G39" s="289"/>
      <c r="H39" s="289"/>
      <c r="I39" s="289"/>
      <c r="J39" s="289"/>
      <c r="K39" s="289"/>
      <c r="L39" s="289"/>
      <c r="M39" s="289"/>
      <c r="N39" s="289"/>
      <c r="O39" s="289"/>
      <c r="P39" s="289"/>
      <c r="Q39" s="289"/>
      <c r="R39" s="289"/>
      <c r="S39" s="289"/>
      <c r="T39" s="289"/>
      <c r="U39" s="289"/>
      <c r="V39" s="289"/>
      <c r="W39" s="289"/>
      <c r="X39" s="289"/>
      <c r="Y39" s="289"/>
      <c r="Z39" s="289"/>
      <c r="AA39" s="289"/>
      <c r="AB39" s="289"/>
      <c r="AC39" s="289"/>
      <c r="AD39" s="289"/>
      <c r="AE39" s="289"/>
      <c r="AF39" s="289"/>
      <c r="AG39" s="289"/>
      <c r="AH39" s="289"/>
      <c r="AI39" s="289"/>
      <c r="AJ39" s="289"/>
      <c r="AK39" s="289"/>
      <c r="AL39" s="289"/>
      <c r="AM39" s="289"/>
      <c r="AN39" s="289"/>
      <c r="AO39" s="289"/>
      <c r="AP39" s="289"/>
      <c r="AQ39" s="289"/>
      <c r="AR39" s="289"/>
    </row>
    <row r="40" spans="1:44" x14ac:dyDescent="0.2">
      <c r="A40" s="289"/>
      <c r="B40" s="289"/>
      <c r="C40" s="289"/>
      <c r="D40" s="289"/>
      <c r="E40" s="289"/>
      <c r="F40" s="289"/>
      <c r="G40" s="289"/>
      <c r="H40" s="289"/>
      <c r="I40" s="289"/>
      <c r="J40" s="289"/>
      <c r="K40" s="289"/>
      <c r="L40" s="289"/>
      <c r="M40" s="289"/>
      <c r="N40" s="289"/>
      <c r="O40" s="289"/>
      <c r="P40" s="289"/>
      <c r="Q40" s="289"/>
      <c r="R40" s="289"/>
      <c r="S40" s="289"/>
      <c r="T40" s="289"/>
      <c r="U40" s="289"/>
      <c r="V40" s="289"/>
      <c r="W40" s="289"/>
      <c r="X40" s="289"/>
      <c r="Y40" s="289"/>
      <c r="Z40" s="289"/>
      <c r="AA40" s="289"/>
      <c r="AB40" s="289"/>
      <c r="AC40" s="289"/>
      <c r="AD40" s="289"/>
      <c r="AE40" s="289"/>
      <c r="AF40" s="289"/>
      <c r="AG40" s="289"/>
      <c r="AH40" s="289"/>
      <c r="AI40" s="289"/>
      <c r="AJ40" s="289"/>
      <c r="AK40" s="289"/>
      <c r="AL40" s="289"/>
      <c r="AM40" s="289"/>
      <c r="AN40" s="289"/>
      <c r="AO40" s="289"/>
      <c r="AP40" s="289"/>
      <c r="AQ40" s="289"/>
      <c r="AR40" s="289"/>
    </row>
    <row r="41" spans="1:44" x14ac:dyDescent="0.2">
      <c r="A41" s="289"/>
      <c r="B41" s="1270"/>
      <c r="C41" s="1270"/>
      <c r="D41" s="1270"/>
      <c r="E41" s="1270" t="s">
        <v>1752</v>
      </c>
      <c r="F41" s="1270"/>
      <c r="G41" s="289"/>
      <c r="H41" s="289"/>
      <c r="I41" s="289"/>
      <c r="J41" s="289"/>
      <c r="K41" s="289"/>
      <c r="L41" s="289"/>
      <c r="M41" s="289"/>
      <c r="N41" s="289"/>
      <c r="O41" s="289"/>
      <c r="P41" s="289"/>
      <c r="Q41" s="289"/>
      <c r="R41" s="289"/>
      <c r="S41" s="289"/>
      <c r="T41" s="289"/>
      <c r="U41" s="289"/>
      <c r="V41" s="289"/>
      <c r="W41" s="289"/>
      <c r="X41" s="289"/>
      <c r="Y41" s="289"/>
      <c r="Z41" s="289"/>
      <c r="AA41" s="289"/>
      <c r="AB41" s="289"/>
      <c r="AC41" s="289"/>
      <c r="AD41" s="289"/>
      <c r="AE41" s="289"/>
      <c r="AF41" s="289"/>
      <c r="AG41" s="289"/>
      <c r="AH41" s="289"/>
      <c r="AI41" s="289"/>
      <c r="AJ41" s="289"/>
      <c r="AK41" s="289"/>
      <c r="AL41" s="289"/>
      <c r="AM41" s="289"/>
      <c r="AN41" s="289"/>
      <c r="AO41" s="289"/>
      <c r="AP41" s="289"/>
      <c r="AQ41" s="289"/>
      <c r="AR41" s="289"/>
    </row>
    <row r="42" spans="1:44" x14ac:dyDescent="0.2">
      <c r="A42" s="289"/>
      <c r="B42" s="1270">
        <v>1</v>
      </c>
      <c r="C42" s="1271" t="e">
        <f>'Список мероприятий'!W9</f>
        <v>#DIV/0!</v>
      </c>
      <c r="D42" s="1270" t="e">
        <f>IF(E42=0,"","Повыш-е теплозащ. наружных стен")</f>
        <v>#DIV/0!</v>
      </c>
      <c r="E42" s="1272" t="e">
        <f t="shared" ref="E42:E64" si="0">F42/SUM($F$42:$F$64)</f>
        <v>#DIV/0!</v>
      </c>
      <c r="F42" s="1270" t="e">
        <f t="shared" ref="F42:F53" si="1">$C42*$C$20</f>
        <v>#DIV/0!</v>
      </c>
      <c r="G42" s="289"/>
      <c r="H42" s="289"/>
      <c r="I42" s="289"/>
      <c r="J42" s="289"/>
      <c r="K42" s="289"/>
      <c r="L42" s="289"/>
      <c r="M42" s="289"/>
      <c r="N42" s="289"/>
      <c r="O42" s="289"/>
      <c r="P42" s="289"/>
      <c r="Q42" s="289"/>
      <c r="R42" s="289"/>
      <c r="S42" s="289"/>
      <c r="T42" s="289"/>
      <c r="U42" s="289"/>
      <c r="V42" s="289"/>
      <c r="W42" s="289"/>
      <c r="X42" s="289"/>
      <c r="Y42" s="289"/>
      <c r="Z42" s="289"/>
      <c r="AA42" s="289"/>
      <c r="AB42" s="289"/>
      <c r="AC42" s="289"/>
      <c r="AD42" s="289"/>
      <c r="AE42" s="289"/>
      <c r="AF42" s="289"/>
      <c r="AG42" s="289"/>
      <c r="AH42" s="289"/>
      <c r="AI42" s="289"/>
      <c r="AJ42" s="289"/>
      <c r="AK42" s="289"/>
      <c r="AL42" s="289"/>
      <c r="AM42" s="289"/>
      <c r="AN42" s="289"/>
      <c r="AO42" s="289"/>
      <c r="AP42" s="289"/>
      <c r="AQ42" s="289"/>
      <c r="AR42" s="289"/>
    </row>
    <row r="43" spans="1:44" x14ac:dyDescent="0.2">
      <c r="A43" s="289"/>
      <c r="B43" s="1270">
        <v>2</v>
      </c>
      <c r="C43" s="1271" t="e">
        <f>'Список мероприятий'!W12</f>
        <v>#DIV/0!</v>
      </c>
      <c r="D43" s="1270" t="e">
        <f>IF(E43=0,"","Заделка и герметизация межпанельных соединений")</f>
        <v>#DIV/0!</v>
      </c>
      <c r="E43" s="1272" t="e">
        <f t="shared" si="0"/>
        <v>#DIV/0!</v>
      </c>
      <c r="F43" s="1270" t="e">
        <f t="shared" si="1"/>
        <v>#DIV/0!</v>
      </c>
      <c r="G43" s="289"/>
      <c r="H43" s="289"/>
      <c r="I43" s="289"/>
      <c r="J43" s="289"/>
      <c r="K43" s="289"/>
      <c r="L43" s="289"/>
      <c r="M43" s="289"/>
      <c r="N43" s="289"/>
      <c r="O43" s="289"/>
      <c r="P43" s="289"/>
      <c r="Q43" s="289"/>
      <c r="R43" s="289"/>
      <c r="S43" s="289"/>
      <c r="T43" s="289"/>
      <c r="U43" s="289"/>
      <c r="V43" s="289"/>
      <c r="W43" s="289"/>
      <c r="X43" s="289"/>
      <c r="Y43" s="289"/>
      <c r="Z43" s="289"/>
      <c r="AA43" s="289"/>
      <c r="AB43" s="289"/>
      <c r="AC43" s="289"/>
      <c r="AD43" s="289"/>
      <c r="AE43" s="289"/>
      <c r="AF43" s="289"/>
      <c r="AG43" s="289"/>
      <c r="AH43" s="289"/>
      <c r="AI43" s="289"/>
      <c r="AJ43" s="289"/>
      <c r="AK43" s="289"/>
      <c r="AL43" s="289"/>
      <c r="AM43" s="289"/>
      <c r="AN43" s="289"/>
      <c r="AO43" s="289"/>
      <c r="AP43" s="289"/>
      <c r="AQ43" s="289"/>
      <c r="AR43" s="289"/>
    </row>
    <row r="44" spans="1:44" x14ac:dyDescent="0.2">
      <c r="A44" s="289"/>
      <c r="B44" s="1270">
        <v>3</v>
      </c>
      <c r="C44" s="1271" t="e">
        <f>'Список мероприятий'!W14</f>
        <v>#DIV/0!</v>
      </c>
      <c r="D44" s="1270" t="e">
        <f>IF(E44=0,"","Замена окон МОП")</f>
        <v>#DIV/0!</v>
      </c>
      <c r="E44" s="1272" t="e">
        <f t="shared" si="0"/>
        <v>#DIV/0!</v>
      </c>
      <c r="F44" s="1270" t="e">
        <f t="shared" si="1"/>
        <v>#DIV/0!</v>
      </c>
      <c r="G44" s="289"/>
      <c r="H44" s="289"/>
      <c r="I44" s="289"/>
      <c r="J44" s="289"/>
      <c r="K44" s="289"/>
      <c r="L44" s="289"/>
      <c r="M44" s="289"/>
      <c r="N44" s="289"/>
      <c r="O44" s="289"/>
      <c r="P44" s="289"/>
      <c r="Q44" s="289"/>
      <c r="R44" s="289"/>
      <c r="S44" s="289"/>
      <c r="T44" s="289"/>
      <c r="U44" s="289"/>
      <c r="V44" s="289"/>
      <c r="W44" s="289"/>
      <c r="X44" s="289"/>
      <c r="Y44" s="289"/>
      <c r="Z44" s="289"/>
      <c r="AA44" s="289"/>
      <c r="AB44" s="289"/>
      <c r="AC44" s="289"/>
      <c r="AD44" s="289"/>
      <c r="AE44" s="289"/>
      <c r="AF44" s="289"/>
      <c r="AG44" s="289"/>
      <c r="AH44" s="289"/>
      <c r="AI44" s="289"/>
      <c r="AJ44" s="289"/>
      <c r="AK44" s="289"/>
      <c r="AL44" s="289"/>
      <c r="AM44" s="289"/>
      <c r="AN44" s="289"/>
      <c r="AO44" s="289"/>
      <c r="AP44" s="289"/>
      <c r="AQ44" s="289"/>
      <c r="AR44" s="289"/>
    </row>
    <row r="45" spans="1:44" x14ac:dyDescent="0.2">
      <c r="A45" s="289"/>
      <c r="B45" s="1270">
        <v>4</v>
      </c>
      <c r="C45" s="1271" t="e">
        <f>'Список мероприятий'!W20</f>
        <v>#DIV/0!</v>
      </c>
      <c r="D45" s="1270" t="e">
        <f>IF(E45=0,"","Повыш-е теплозащ. совмещенной кровли")</f>
        <v>#DIV/0!</v>
      </c>
      <c r="E45" s="1272" t="e">
        <f t="shared" si="0"/>
        <v>#DIV/0!</v>
      </c>
      <c r="F45" s="1270" t="e">
        <f t="shared" si="1"/>
        <v>#DIV/0!</v>
      </c>
      <c r="G45" s="289"/>
      <c r="H45" s="289"/>
      <c r="I45" s="289"/>
      <c r="J45" s="289"/>
      <c r="K45" s="289"/>
      <c r="L45" s="289"/>
      <c r="M45" s="289"/>
      <c r="N45" s="289"/>
      <c r="O45" s="289"/>
      <c r="P45" s="289"/>
      <c r="Q45" s="289"/>
      <c r="R45" s="289"/>
      <c r="S45" s="289"/>
      <c r="T45" s="289"/>
      <c r="U45" s="289"/>
      <c r="V45" s="289"/>
      <c r="W45" s="289"/>
      <c r="X45" s="289"/>
      <c r="Y45" s="289"/>
      <c r="Z45" s="289"/>
      <c r="AA45" s="289"/>
      <c r="AB45" s="289"/>
      <c r="AC45" s="289"/>
      <c r="AD45" s="289"/>
      <c r="AE45" s="289"/>
      <c r="AF45" s="289"/>
      <c r="AG45" s="289"/>
      <c r="AH45" s="289"/>
      <c r="AI45" s="289"/>
      <c r="AJ45" s="289"/>
      <c r="AK45" s="289"/>
      <c r="AL45" s="289"/>
      <c r="AM45" s="289"/>
      <c r="AN45" s="289"/>
      <c r="AO45" s="289"/>
      <c r="AP45" s="289"/>
      <c r="AQ45" s="289"/>
      <c r="AR45" s="289"/>
    </row>
    <row r="46" spans="1:44" x14ac:dyDescent="0.2">
      <c r="A46" s="289"/>
      <c r="B46" s="1270">
        <v>5</v>
      </c>
      <c r="C46" s="1271" t="e">
        <f>'Список мероприятий'!W24</f>
        <v>#DIV/0!</v>
      </c>
      <c r="D46" s="1270" t="e">
        <f>IF(E46=0,"","Устройство теплого чердака")</f>
        <v>#DIV/0!</v>
      </c>
      <c r="E46" s="1272" t="e">
        <f t="shared" si="0"/>
        <v>#DIV/0!</v>
      </c>
      <c r="F46" s="1270" t="e">
        <f t="shared" si="1"/>
        <v>#DIV/0!</v>
      </c>
      <c r="G46" s="289"/>
      <c r="H46" s="289"/>
      <c r="I46" s="289"/>
      <c r="J46" s="289"/>
      <c r="K46" s="289"/>
      <c r="L46" s="289"/>
      <c r="M46" s="289"/>
      <c r="N46" s="289"/>
      <c r="O46" s="289"/>
      <c r="P46" s="289"/>
      <c r="Q46" s="289"/>
      <c r="R46" s="289"/>
      <c r="S46" s="289"/>
      <c r="T46" s="289"/>
      <c r="U46" s="289"/>
      <c r="V46" s="289"/>
      <c r="W46" s="289"/>
      <c r="X46" s="289"/>
      <c r="Y46" s="289"/>
      <c r="Z46" s="289"/>
      <c r="AA46" s="289"/>
      <c r="AB46" s="289"/>
      <c r="AC46" s="289"/>
      <c r="AD46" s="289"/>
      <c r="AE46" s="289"/>
      <c r="AF46" s="289"/>
      <c r="AG46" s="289"/>
      <c r="AH46" s="289"/>
      <c r="AI46" s="289"/>
      <c r="AJ46" s="289"/>
      <c r="AK46" s="289"/>
      <c r="AL46" s="289"/>
      <c r="AM46" s="289"/>
      <c r="AN46" s="289"/>
      <c r="AO46" s="289"/>
      <c r="AP46" s="289"/>
      <c r="AQ46" s="289"/>
      <c r="AR46" s="289"/>
    </row>
    <row r="47" spans="1:44" x14ac:dyDescent="0.2">
      <c r="A47" s="289"/>
      <c r="B47" s="1270">
        <v>6</v>
      </c>
      <c r="C47" s="1271" t="e">
        <f>'Список мероприятий'!W27</f>
        <v>#DIV/0!</v>
      </c>
      <c r="D47" s="1270" t="e">
        <f>IF(E47=0,"","Повыш-е теплозащ. чердачных перекрытий")</f>
        <v>#DIV/0!</v>
      </c>
      <c r="E47" s="1272" t="e">
        <f t="shared" si="0"/>
        <v>#DIV/0!</v>
      </c>
      <c r="F47" s="1270" t="e">
        <f t="shared" si="1"/>
        <v>#DIV/0!</v>
      </c>
      <c r="G47" s="289"/>
      <c r="H47" s="289"/>
      <c r="I47" s="289"/>
      <c r="J47" s="289"/>
      <c r="K47" s="289"/>
      <c r="L47" s="289"/>
      <c r="M47" s="289"/>
      <c r="N47" s="289"/>
      <c r="O47" s="289"/>
      <c r="P47" s="289"/>
      <c r="Q47" s="289"/>
      <c r="R47" s="289"/>
      <c r="S47" s="289"/>
      <c r="T47" s="289"/>
      <c r="U47" s="289"/>
      <c r="V47" s="289"/>
      <c r="W47" s="289"/>
      <c r="X47" s="289"/>
      <c r="Y47" s="289"/>
      <c r="Z47" s="289"/>
      <c r="AA47" s="289"/>
      <c r="AB47" s="289"/>
      <c r="AC47" s="289"/>
      <c r="AD47" s="289"/>
      <c r="AE47" s="289"/>
      <c r="AF47" s="289"/>
      <c r="AG47" s="289"/>
      <c r="AH47" s="289"/>
      <c r="AI47" s="289"/>
      <c r="AJ47" s="289"/>
      <c r="AK47" s="289"/>
      <c r="AL47" s="289"/>
      <c r="AM47" s="289"/>
      <c r="AN47" s="289"/>
      <c r="AO47" s="289"/>
      <c r="AP47" s="289"/>
      <c r="AQ47" s="289"/>
      <c r="AR47" s="289"/>
    </row>
    <row r="48" spans="1:44" x14ac:dyDescent="0.2">
      <c r="A48" s="289"/>
      <c r="B48" s="1270">
        <v>7</v>
      </c>
      <c r="C48" s="1271" t="e">
        <f>'Список мероприятий'!W32</f>
        <v>#VALUE!</v>
      </c>
      <c r="D48" s="1270" t="e">
        <f>IF(E48=0,"","Установка узлов управления")</f>
        <v>#VALUE!</v>
      </c>
      <c r="E48" s="1272" t="e">
        <f t="shared" si="0"/>
        <v>#VALUE!</v>
      </c>
      <c r="F48" s="1517" t="e">
        <f t="shared" si="1"/>
        <v>#VALUE!</v>
      </c>
      <c r="G48" s="289"/>
      <c r="H48" s="289"/>
      <c r="I48" s="289"/>
      <c r="J48" s="289"/>
      <c r="K48" s="289"/>
      <c r="L48" s="289"/>
      <c r="M48" s="289"/>
      <c r="N48" s="289"/>
      <c r="O48" s="289"/>
      <c r="P48" s="289"/>
      <c r="Q48" s="289"/>
      <c r="R48" s="289"/>
      <c r="S48" s="289"/>
      <c r="T48" s="289"/>
      <c r="U48" s="289"/>
      <c r="V48" s="289"/>
      <c r="W48" s="289"/>
      <c r="X48" s="289"/>
      <c r="Y48" s="289"/>
      <c r="Z48" s="289"/>
      <c r="AA48" s="289"/>
      <c r="AB48" s="289"/>
      <c r="AC48" s="289"/>
      <c r="AD48" s="289"/>
      <c r="AE48" s="289"/>
      <c r="AF48" s="289"/>
      <c r="AG48" s="289"/>
      <c r="AH48" s="289"/>
      <c r="AI48" s="289"/>
      <c r="AJ48" s="289"/>
      <c r="AK48" s="289"/>
      <c r="AL48" s="289"/>
      <c r="AM48" s="289"/>
      <c r="AN48" s="289"/>
      <c r="AO48" s="289"/>
      <c r="AP48" s="289"/>
      <c r="AQ48" s="289"/>
      <c r="AR48" s="289"/>
    </row>
    <row r="49" spans="1:44" x14ac:dyDescent="0.2">
      <c r="A49" s="289"/>
      <c r="B49" s="1270">
        <v>8</v>
      </c>
      <c r="C49" s="1271" t="e">
        <f>'Список мероприятий'!W34</f>
        <v>#DIV/0!</v>
      </c>
      <c r="D49" s="1270" t="e">
        <f>IF(E49=0,"","Модернизация ИТП")</f>
        <v>#DIV/0!</v>
      </c>
      <c r="E49" s="1272" t="e">
        <f t="shared" si="0"/>
        <v>#DIV/0!</v>
      </c>
      <c r="F49" s="1517" t="e">
        <f t="shared" si="1"/>
        <v>#DIV/0!</v>
      </c>
      <c r="G49" s="289"/>
      <c r="H49" s="289"/>
      <c r="I49" s="289"/>
      <c r="J49" s="289"/>
      <c r="K49" s="289"/>
      <c r="L49" s="289"/>
      <c r="M49" s="289"/>
      <c r="N49" s="289"/>
      <c r="O49" s="289"/>
      <c r="P49" s="289"/>
      <c r="Q49" s="289"/>
      <c r="R49" s="289"/>
      <c r="S49" s="289"/>
      <c r="T49" s="289"/>
      <c r="U49" s="289"/>
      <c r="V49" s="289"/>
      <c r="W49" s="289"/>
      <c r="X49" s="289"/>
      <c r="Y49" s="289"/>
      <c r="Z49" s="289"/>
      <c r="AA49" s="289"/>
      <c r="AB49" s="289"/>
      <c r="AC49" s="289"/>
      <c r="AD49" s="289"/>
      <c r="AE49" s="289"/>
      <c r="AF49" s="289"/>
      <c r="AG49" s="289"/>
      <c r="AH49" s="289"/>
      <c r="AI49" s="289"/>
      <c r="AJ49" s="289"/>
      <c r="AK49" s="289"/>
      <c r="AL49" s="289"/>
      <c r="AM49" s="289"/>
      <c r="AN49" s="289"/>
      <c r="AO49" s="289"/>
      <c r="AP49" s="289"/>
      <c r="AQ49" s="289"/>
      <c r="AR49" s="289"/>
    </row>
    <row r="50" spans="1:44" x14ac:dyDescent="0.2">
      <c r="A50" s="289"/>
      <c r="B50" s="1270">
        <v>9</v>
      </c>
      <c r="C50" s="1271" t="e">
        <f>'Список мероприятий'!W35</f>
        <v>#DIV/0!</v>
      </c>
      <c r="D50" s="1270" t="e">
        <f>IF(E50=0,"","Установка регуляторов температуры ГВС")</f>
        <v>#DIV/0!</v>
      </c>
      <c r="E50" s="1272" t="e">
        <f t="shared" si="0"/>
        <v>#DIV/0!</v>
      </c>
      <c r="F50" s="1517" t="e">
        <f t="shared" si="1"/>
        <v>#DIV/0!</v>
      </c>
      <c r="G50" s="289"/>
      <c r="H50" s="289"/>
      <c r="I50" s="289"/>
      <c r="J50" s="289"/>
      <c r="K50" s="289"/>
      <c r="L50" s="289"/>
      <c r="M50" s="289"/>
      <c r="N50" s="289"/>
      <c r="O50" s="289"/>
      <c r="P50" s="289"/>
      <c r="Q50" s="289"/>
      <c r="R50" s="289"/>
      <c r="S50" s="289"/>
      <c r="T50" s="289"/>
      <c r="U50" s="289"/>
      <c r="V50" s="289"/>
      <c r="W50" s="289"/>
      <c r="X50" s="289"/>
      <c r="Y50" s="289"/>
      <c r="Z50" s="289"/>
      <c r="AA50" s="289"/>
      <c r="AB50" s="289"/>
      <c r="AC50" s="289"/>
      <c r="AD50" s="289"/>
      <c r="AE50" s="289"/>
      <c r="AF50" s="289"/>
      <c r="AG50" s="289"/>
      <c r="AH50" s="289"/>
      <c r="AI50" s="289"/>
      <c r="AJ50" s="289"/>
      <c r="AK50" s="289"/>
      <c r="AL50" s="289"/>
      <c r="AM50" s="289"/>
      <c r="AN50" s="289"/>
      <c r="AO50" s="289"/>
      <c r="AP50" s="289"/>
      <c r="AQ50" s="289"/>
      <c r="AR50" s="289"/>
    </row>
    <row r="51" spans="1:44" x14ac:dyDescent="0.2">
      <c r="A51" s="289"/>
      <c r="B51" s="1270">
        <v>10</v>
      </c>
      <c r="C51" s="1271" t="e">
        <f>'Список мероприятий'!W37</f>
        <v>#DIV/0!</v>
      </c>
      <c r="D51" s="1270" t="e">
        <f>IF(E51=0,"","Ремонт трубопровода СО")</f>
        <v>#DIV/0!</v>
      </c>
      <c r="E51" s="1272" t="e">
        <f t="shared" si="0"/>
        <v>#DIV/0!</v>
      </c>
      <c r="F51" s="1517" t="e">
        <f t="shared" si="1"/>
        <v>#DIV/0!</v>
      </c>
      <c r="G51" s="289"/>
      <c r="H51" s="289"/>
      <c r="I51" s="289"/>
      <c r="J51" s="289"/>
      <c r="K51" s="289"/>
      <c r="L51" s="289"/>
      <c r="M51" s="289"/>
      <c r="N51" s="289"/>
      <c r="O51" s="289"/>
      <c r="P51" s="289"/>
      <c r="Q51" s="289"/>
      <c r="R51" s="289"/>
      <c r="S51" s="289"/>
      <c r="T51" s="289"/>
      <c r="U51" s="289"/>
      <c r="V51" s="289"/>
      <c r="W51" s="289"/>
      <c r="X51" s="289"/>
      <c r="Y51" s="289"/>
      <c r="Z51" s="289"/>
      <c r="AA51" s="289"/>
      <c r="AB51" s="289"/>
      <c r="AC51" s="289"/>
      <c r="AD51" s="289"/>
      <c r="AE51" s="289"/>
      <c r="AF51" s="289"/>
      <c r="AG51" s="289"/>
      <c r="AH51" s="289"/>
      <c r="AI51" s="289"/>
      <c r="AJ51" s="289"/>
      <c r="AK51" s="289"/>
      <c r="AL51" s="289"/>
      <c r="AM51" s="289"/>
      <c r="AN51" s="289"/>
      <c r="AO51" s="289"/>
      <c r="AP51" s="289"/>
      <c r="AQ51" s="289"/>
      <c r="AR51" s="289"/>
    </row>
    <row r="52" spans="1:44" x14ac:dyDescent="0.2">
      <c r="A52" s="289"/>
      <c r="B52" s="1270">
        <v>11</v>
      </c>
      <c r="C52" s="1271" t="e">
        <f>'Список мероприятий'!W38</f>
        <v>#DIV/0!</v>
      </c>
      <c r="D52" s="1270" t="e">
        <f>IF(E52=0,"","Ремонт трубопровода ГВС")</f>
        <v>#DIV/0!</v>
      </c>
      <c r="E52" s="1272" t="e">
        <f t="shared" si="0"/>
        <v>#DIV/0!</v>
      </c>
      <c r="F52" s="1270" t="e">
        <f t="shared" si="1"/>
        <v>#DIV/0!</v>
      </c>
      <c r="G52" s="289"/>
      <c r="H52" s="289"/>
      <c r="I52" s="289"/>
      <c r="J52" s="289"/>
      <c r="K52" s="289"/>
      <c r="L52" s="289"/>
      <c r="M52" s="289"/>
      <c r="N52" s="289"/>
      <c r="O52" s="289"/>
      <c r="P52" s="289"/>
      <c r="Q52" s="289"/>
      <c r="R52" s="289"/>
      <c r="S52" s="289"/>
      <c r="T52" s="289"/>
      <c r="U52" s="289"/>
      <c r="V52" s="289"/>
      <c r="W52" s="289"/>
      <c r="X52" s="289"/>
      <c r="Y52" s="289"/>
      <c r="Z52" s="289"/>
      <c r="AA52" s="289"/>
      <c r="AB52" s="289"/>
      <c r="AC52" s="289"/>
      <c r="AD52" s="289"/>
      <c r="AE52" s="289"/>
      <c r="AF52" s="289"/>
      <c r="AG52" s="289"/>
      <c r="AH52" s="289"/>
      <c r="AI52" s="289"/>
      <c r="AJ52" s="289"/>
      <c r="AK52" s="289"/>
      <c r="AL52" s="289"/>
      <c r="AM52" s="289"/>
      <c r="AN52" s="289"/>
      <c r="AO52" s="289"/>
      <c r="AP52" s="289"/>
      <c r="AQ52" s="289"/>
      <c r="AR52" s="289"/>
    </row>
    <row r="53" spans="1:44" x14ac:dyDescent="0.2">
      <c r="A53" s="289"/>
      <c r="B53" s="1270">
        <v>12</v>
      </c>
      <c r="C53" s="1271" t="e">
        <f>'Список мероприятий'!W39</f>
        <v>#DIV/0!</v>
      </c>
      <c r="D53" s="1270" t="e">
        <f>IF(E53=0,"","Устройство циркуляции ГВС")</f>
        <v>#DIV/0!</v>
      </c>
      <c r="E53" s="1272" t="e">
        <f t="shared" si="0"/>
        <v>#DIV/0!</v>
      </c>
      <c r="F53" s="1270" t="e">
        <f t="shared" si="1"/>
        <v>#DIV/0!</v>
      </c>
      <c r="G53" s="289"/>
      <c r="H53" s="289"/>
      <c r="I53" s="289"/>
      <c r="J53" s="289"/>
      <c r="K53" s="289"/>
      <c r="L53" s="289"/>
      <c r="M53" s="289"/>
      <c r="N53" s="289"/>
      <c r="O53" s="289"/>
      <c r="P53" s="289"/>
      <c r="Q53" s="289"/>
      <c r="R53" s="289"/>
      <c r="S53" s="289"/>
      <c r="T53" s="289"/>
      <c r="U53" s="289"/>
      <c r="V53" s="289"/>
      <c r="W53" s="289"/>
      <c r="X53" s="289"/>
      <c r="Y53" s="289"/>
      <c r="Z53" s="289"/>
      <c r="AA53" s="289"/>
      <c r="AB53" s="289"/>
      <c r="AC53" s="289"/>
      <c r="AD53" s="289"/>
      <c r="AE53" s="289"/>
      <c r="AF53" s="289"/>
      <c r="AG53" s="289"/>
      <c r="AH53" s="289"/>
      <c r="AI53" s="289"/>
      <c r="AJ53" s="289"/>
      <c r="AK53" s="289"/>
      <c r="AL53" s="289"/>
      <c r="AM53" s="289"/>
      <c r="AN53" s="289"/>
      <c r="AO53" s="289"/>
      <c r="AP53" s="289"/>
      <c r="AQ53" s="289"/>
      <c r="AR53" s="289"/>
    </row>
    <row r="54" spans="1:44" x14ac:dyDescent="0.2">
      <c r="A54" s="289"/>
      <c r="B54" s="1270">
        <v>13</v>
      </c>
      <c r="C54" s="1271" t="e">
        <f>'Список мероприятий'!Y42</f>
        <v>#DIV/0!</v>
      </c>
      <c r="D54" s="1270" t="e">
        <f>IF(E54=0,"","Установка ЧРП на насосное оборудование")</f>
        <v>#DIV/0!</v>
      </c>
      <c r="E54" s="1272" t="e">
        <f t="shared" si="0"/>
        <v>#DIV/0!</v>
      </c>
      <c r="F54" s="1270" t="e">
        <f t="shared" ref="F54:F59" si="2">$C54*$C$23</f>
        <v>#DIV/0!</v>
      </c>
      <c r="G54" s="289"/>
      <c r="H54" s="289"/>
      <c r="I54" s="289"/>
      <c r="J54" s="289"/>
      <c r="K54" s="289"/>
      <c r="L54" s="289"/>
      <c r="M54" s="289"/>
      <c r="N54" s="289"/>
      <c r="O54" s="289"/>
      <c r="P54" s="289"/>
      <c r="Q54" s="289"/>
      <c r="R54" s="289"/>
      <c r="S54" s="289"/>
      <c r="T54" s="289"/>
      <c r="U54" s="289"/>
      <c r="V54" s="289"/>
      <c r="W54" s="289"/>
      <c r="X54" s="289"/>
      <c r="Y54" s="289"/>
      <c r="Z54" s="289"/>
      <c r="AA54" s="289"/>
      <c r="AB54" s="289"/>
      <c r="AC54" s="289"/>
      <c r="AD54" s="289"/>
      <c r="AE54" s="289"/>
      <c r="AF54" s="289"/>
      <c r="AG54" s="289"/>
      <c r="AH54" s="289"/>
      <c r="AI54" s="289"/>
      <c r="AJ54" s="289"/>
      <c r="AK54" s="289"/>
      <c r="AL54" s="289"/>
      <c r="AM54" s="289"/>
      <c r="AN54" s="289"/>
      <c r="AO54" s="289"/>
      <c r="AP54" s="289"/>
      <c r="AQ54" s="289"/>
      <c r="AR54" s="289"/>
    </row>
    <row r="55" spans="1:44" x14ac:dyDescent="0.2">
      <c r="A55" s="289"/>
      <c r="B55" s="1270">
        <v>14</v>
      </c>
      <c r="C55" s="1271" t="e">
        <f>'Список мероприятий'!Y47</f>
        <v>#DIV/0!</v>
      </c>
      <c r="D55" s="1270" t="e">
        <f>IF(E55=0,"","Замена насосного оборудования")</f>
        <v>#DIV/0!</v>
      </c>
      <c r="E55" s="1272" t="e">
        <f t="shared" si="0"/>
        <v>#DIV/0!</v>
      </c>
      <c r="F55" s="1270" t="e">
        <f t="shared" si="2"/>
        <v>#DIV/0!</v>
      </c>
      <c r="G55" s="289"/>
      <c r="H55" s="289"/>
      <c r="I55" s="289"/>
      <c r="J55" s="289"/>
      <c r="K55" s="289"/>
      <c r="L55" s="289"/>
      <c r="M55" s="289"/>
      <c r="N55" s="289"/>
      <c r="O55" s="289"/>
      <c r="P55" s="289"/>
      <c r="Q55" s="289"/>
      <c r="R55" s="289"/>
      <c r="S55" s="289"/>
      <c r="T55" s="289"/>
      <c r="U55" s="289"/>
      <c r="V55" s="289"/>
      <c r="W55" s="289"/>
      <c r="X55" s="289"/>
      <c r="Y55" s="289"/>
      <c r="Z55" s="289"/>
      <c r="AA55" s="289"/>
      <c r="AB55" s="289"/>
      <c r="AC55" s="289"/>
      <c r="AD55" s="289"/>
      <c r="AE55" s="289"/>
      <c r="AF55" s="289"/>
      <c r="AG55" s="289"/>
      <c r="AH55" s="289"/>
      <c r="AI55" s="289"/>
      <c r="AJ55" s="289"/>
      <c r="AK55" s="289"/>
      <c r="AL55" s="289"/>
      <c r="AM55" s="289"/>
      <c r="AN55" s="289"/>
      <c r="AO55" s="289"/>
      <c r="AP55" s="289"/>
      <c r="AQ55" s="289"/>
      <c r="AR55" s="289"/>
    </row>
    <row r="56" spans="1:44" x14ac:dyDescent="0.2">
      <c r="A56" s="289"/>
      <c r="B56" s="1270">
        <v>15</v>
      </c>
      <c r="C56" s="1271" t="e">
        <f>'Список мероприятий'!Y52</f>
        <v>#DIV/0!</v>
      </c>
      <c r="D56" s="1270" t="e">
        <f>IF(E56=0,"","Установка УКРМ на насосное оборудование")</f>
        <v>#DIV/0!</v>
      </c>
      <c r="E56" s="1272" t="e">
        <f t="shared" si="0"/>
        <v>#DIV/0!</v>
      </c>
      <c r="F56" s="1270" t="e">
        <f t="shared" si="2"/>
        <v>#DIV/0!</v>
      </c>
      <c r="G56" s="289"/>
      <c r="H56" s="289"/>
      <c r="I56" s="289"/>
      <c r="J56" s="289"/>
      <c r="K56" s="289"/>
      <c r="L56" s="289"/>
      <c r="M56" s="289"/>
      <c r="N56" s="289"/>
      <c r="O56" s="289"/>
      <c r="P56" s="289"/>
      <c r="Q56" s="289"/>
      <c r="R56" s="289"/>
      <c r="S56" s="289"/>
      <c r="T56" s="289"/>
      <c r="U56" s="289"/>
      <c r="V56" s="289"/>
      <c r="W56" s="289"/>
      <c r="X56" s="289"/>
      <c r="Y56" s="289"/>
      <c r="Z56" s="289"/>
      <c r="AA56" s="289"/>
      <c r="AB56" s="289"/>
      <c r="AC56" s="289"/>
      <c r="AD56" s="289"/>
      <c r="AE56" s="289"/>
      <c r="AF56" s="289"/>
      <c r="AG56" s="289"/>
      <c r="AH56" s="289"/>
      <c r="AI56" s="289"/>
      <c r="AJ56" s="289"/>
      <c r="AK56" s="289"/>
      <c r="AL56" s="289"/>
      <c r="AM56" s="289"/>
      <c r="AN56" s="289"/>
      <c r="AO56" s="289"/>
      <c r="AP56" s="289"/>
      <c r="AQ56" s="289"/>
      <c r="AR56" s="289"/>
    </row>
    <row r="57" spans="1:44" x14ac:dyDescent="0.2">
      <c r="A57" s="289"/>
      <c r="B57" s="1270">
        <v>16</v>
      </c>
      <c r="C57" s="1271" t="e">
        <f>'Список мероприятий'!Y55</f>
        <v>#DIV/0!</v>
      </c>
      <c r="D57" s="1270" t="e">
        <f>IF(E57=0,"","Ремонт лифта")</f>
        <v>#DIV/0!</v>
      </c>
      <c r="E57" s="1272" t="e">
        <f t="shared" si="0"/>
        <v>#DIV/0!</v>
      </c>
      <c r="F57" s="1270" t="e">
        <f t="shared" si="2"/>
        <v>#DIV/0!</v>
      </c>
      <c r="G57" s="289"/>
      <c r="H57" s="289"/>
      <c r="I57" s="289"/>
      <c r="J57" s="289"/>
      <c r="K57" s="289"/>
      <c r="L57" s="289"/>
      <c r="M57" s="289"/>
      <c r="N57" s="289"/>
      <c r="O57" s="289"/>
      <c r="P57" s="289"/>
      <c r="Q57" s="289"/>
      <c r="R57" s="289"/>
      <c r="S57" s="289"/>
      <c r="T57" s="289"/>
      <c r="U57" s="289"/>
      <c r="V57" s="289"/>
      <c r="W57" s="289"/>
      <c r="X57" s="289"/>
      <c r="Y57" s="289"/>
      <c r="Z57" s="289"/>
      <c r="AA57" s="289"/>
      <c r="AB57" s="289"/>
      <c r="AC57" s="289"/>
      <c r="AD57" s="289"/>
      <c r="AE57" s="289"/>
      <c r="AF57" s="289"/>
      <c r="AG57" s="289"/>
      <c r="AH57" s="289"/>
      <c r="AI57" s="289"/>
      <c r="AJ57" s="289"/>
      <c r="AK57" s="289"/>
      <c r="AL57" s="289"/>
      <c r="AM57" s="289"/>
      <c r="AN57" s="289"/>
      <c r="AO57" s="289"/>
      <c r="AP57" s="289"/>
      <c r="AQ57" s="289"/>
      <c r="AR57" s="289"/>
    </row>
    <row r="58" spans="1:44" x14ac:dyDescent="0.2">
      <c r="A58" s="289"/>
      <c r="B58" s="1270">
        <v>17</v>
      </c>
      <c r="C58" s="1271" t="e">
        <f>'Список мероприятий'!Y56</f>
        <v>#DIV/0!</v>
      </c>
      <c r="D58" s="1270" t="e">
        <f>IF(E58=0,"","Замена лифта")</f>
        <v>#DIV/0!</v>
      </c>
      <c r="E58" s="1272" t="e">
        <f t="shared" si="0"/>
        <v>#DIV/0!</v>
      </c>
      <c r="F58" s="1270" t="e">
        <f t="shared" si="2"/>
        <v>#DIV/0!</v>
      </c>
      <c r="G58" s="289"/>
      <c r="H58" s="289"/>
      <c r="I58" s="289"/>
      <c r="J58" s="289"/>
      <c r="K58" s="289"/>
      <c r="L58" s="289"/>
      <c r="M58" s="289"/>
      <c r="N58" s="289"/>
      <c r="O58" s="289"/>
      <c r="P58" s="289"/>
      <c r="Q58" s="289"/>
      <c r="R58" s="289"/>
      <c r="S58" s="289"/>
      <c r="T58" s="289"/>
      <c r="U58" s="289"/>
      <c r="V58" s="289"/>
      <c r="W58" s="289"/>
      <c r="X58" s="289"/>
      <c r="Y58" s="289"/>
      <c r="Z58" s="289"/>
      <c r="AA58" s="289"/>
      <c r="AB58" s="289"/>
      <c r="AC58" s="289"/>
      <c r="AD58" s="289"/>
      <c r="AE58" s="289"/>
      <c r="AF58" s="289"/>
      <c r="AG58" s="289"/>
      <c r="AH58" s="289"/>
      <c r="AI58" s="289"/>
      <c r="AJ58" s="289"/>
      <c r="AK58" s="289"/>
      <c r="AL58" s="289"/>
      <c r="AM58" s="289"/>
      <c r="AN58" s="289"/>
      <c r="AO58" s="289"/>
      <c r="AP58" s="289"/>
      <c r="AQ58" s="289"/>
      <c r="AR58" s="289"/>
    </row>
    <row r="59" spans="1:44" x14ac:dyDescent="0.2">
      <c r="A59" s="289"/>
      <c r="B59" s="1270">
        <v>18</v>
      </c>
      <c r="C59" s="1271" t="e">
        <f>'Список мероприятий'!Y58</f>
        <v>#DIV/0!</v>
      </c>
      <c r="D59" s="1270" t="e">
        <f>IF(E59=0,"","Установка УКРМ на лифт")</f>
        <v>#DIV/0!</v>
      </c>
      <c r="E59" s="1272" t="e">
        <f t="shared" si="0"/>
        <v>#DIV/0!</v>
      </c>
      <c r="F59" s="1270" t="e">
        <f t="shared" si="2"/>
        <v>#DIV/0!</v>
      </c>
      <c r="G59" s="289"/>
      <c r="H59" s="289"/>
      <c r="I59" s="289"/>
      <c r="J59" s="289"/>
      <c r="K59" s="289"/>
      <c r="L59" s="289"/>
      <c r="M59" s="289"/>
      <c r="N59" s="289"/>
      <c r="O59" s="289"/>
      <c r="P59" s="289"/>
      <c r="Q59" s="289"/>
      <c r="R59" s="289"/>
      <c r="S59" s="289"/>
      <c r="T59" s="289"/>
      <c r="U59" s="289"/>
      <c r="V59" s="289"/>
      <c r="W59" s="289"/>
      <c r="X59" s="289"/>
      <c r="Y59" s="289"/>
      <c r="Z59" s="289"/>
      <c r="AA59" s="289"/>
      <c r="AB59" s="289"/>
      <c r="AC59" s="289"/>
      <c r="AD59" s="289"/>
      <c r="AE59" s="289"/>
      <c r="AF59" s="289"/>
      <c r="AG59" s="289"/>
      <c r="AH59" s="289"/>
      <c r="AI59" s="289"/>
      <c r="AJ59" s="289"/>
      <c r="AK59" s="289"/>
      <c r="AL59" s="289"/>
      <c r="AM59" s="289"/>
      <c r="AN59" s="289"/>
      <c r="AO59" s="289"/>
      <c r="AP59" s="289"/>
      <c r="AQ59" s="289"/>
      <c r="AR59" s="289"/>
    </row>
    <row r="60" spans="1:44" x14ac:dyDescent="0.2">
      <c r="A60" s="289"/>
      <c r="B60" s="1270">
        <v>19</v>
      </c>
      <c r="C60" s="1271" t="e">
        <f>'Список мероприятий'!W62</f>
        <v>#DIV/0!</v>
      </c>
      <c r="D60" s="1270" t="e">
        <f>IF(E60=0,"","Повыш-е теплозащ. пола по грунту")</f>
        <v>#DIV/0!</v>
      </c>
      <c r="E60" s="1272" t="e">
        <f t="shared" si="0"/>
        <v>#DIV/0!</v>
      </c>
      <c r="F60" s="1270" t="e">
        <f t="shared" ref="F60:F62" si="3">$C60*$C$20</f>
        <v>#DIV/0!</v>
      </c>
      <c r="G60" s="289"/>
      <c r="H60" s="289"/>
      <c r="I60" s="289"/>
      <c r="J60" s="289"/>
      <c r="K60" s="289"/>
      <c r="L60" s="289"/>
      <c r="M60" s="289"/>
      <c r="N60" s="289"/>
      <c r="O60" s="289"/>
      <c r="P60" s="289"/>
      <c r="Q60" s="289"/>
      <c r="R60" s="289"/>
      <c r="S60" s="289"/>
      <c r="T60" s="289"/>
      <c r="U60" s="289"/>
      <c r="V60" s="289"/>
      <c r="W60" s="289"/>
      <c r="X60" s="289"/>
      <c r="Y60" s="289"/>
      <c r="Z60" s="289"/>
      <c r="AA60" s="289"/>
      <c r="AB60" s="289"/>
      <c r="AC60" s="289"/>
      <c r="AD60" s="289"/>
      <c r="AE60" s="289"/>
      <c r="AF60" s="289"/>
      <c r="AG60" s="289"/>
      <c r="AH60" s="289"/>
      <c r="AI60" s="289"/>
      <c r="AJ60" s="289"/>
      <c r="AK60" s="289"/>
      <c r="AL60" s="289"/>
      <c r="AM60" s="289"/>
      <c r="AN60" s="289"/>
      <c r="AO60" s="289"/>
      <c r="AP60" s="289"/>
      <c r="AQ60" s="289"/>
      <c r="AR60" s="289"/>
    </row>
    <row r="61" spans="1:44" x14ac:dyDescent="0.2">
      <c r="A61" s="289"/>
      <c r="B61" s="1270">
        <v>20</v>
      </c>
      <c r="C61" s="1271" t="e">
        <f>'Список мероприятий'!W67</f>
        <v>#DIV/0!</v>
      </c>
      <c r="D61" s="1270" t="e">
        <f>IF(E61=0,"","Повыш-е теплозащ. перекрытий над подвалом")</f>
        <v>#DIV/0!</v>
      </c>
      <c r="E61" s="1272" t="e">
        <f t="shared" si="0"/>
        <v>#DIV/0!</v>
      </c>
      <c r="F61" s="1270" t="e">
        <f t="shared" si="3"/>
        <v>#DIV/0!</v>
      </c>
      <c r="G61" s="289"/>
      <c r="H61" s="289"/>
      <c r="I61" s="289"/>
      <c r="J61" s="289"/>
      <c r="K61" s="289"/>
      <c r="L61" s="289"/>
      <c r="M61" s="289"/>
      <c r="N61" s="289"/>
      <c r="O61" s="289"/>
      <c r="P61" s="289"/>
      <c r="Q61" s="289"/>
      <c r="R61" s="289"/>
      <c r="S61" s="289"/>
      <c r="T61" s="289"/>
      <c r="U61" s="289"/>
      <c r="V61" s="289"/>
      <c r="W61" s="289"/>
      <c r="X61" s="289"/>
      <c r="Y61" s="289"/>
      <c r="Z61" s="289"/>
      <c r="AA61" s="289"/>
      <c r="AB61" s="289"/>
      <c r="AC61" s="289"/>
      <c r="AD61" s="289"/>
      <c r="AE61" s="289"/>
      <c r="AF61" s="289"/>
      <c r="AG61" s="289"/>
      <c r="AH61" s="289"/>
      <c r="AI61" s="289"/>
      <c r="AJ61" s="289"/>
      <c r="AK61" s="289"/>
      <c r="AL61" s="289"/>
      <c r="AM61" s="289"/>
      <c r="AN61" s="289"/>
      <c r="AO61" s="289"/>
      <c r="AP61" s="289"/>
      <c r="AQ61" s="289"/>
      <c r="AR61" s="289"/>
    </row>
    <row r="62" spans="1:44" x14ac:dyDescent="0.2">
      <c r="A62" s="289"/>
      <c r="B62" s="1270">
        <v>21</v>
      </c>
      <c r="C62" s="1271" t="e">
        <f>'Список мероприятий'!W73</f>
        <v>#DIV/0!</v>
      </c>
      <c r="D62" s="1270" t="e">
        <f>IF(E62=0,"","Утепление наружных дверей")</f>
        <v>#DIV/0!</v>
      </c>
      <c r="E62" s="1272" t="e">
        <f t="shared" si="0"/>
        <v>#DIV/0!</v>
      </c>
      <c r="F62" s="1270" t="e">
        <f t="shared" si="3"/>
        <v>#DIV/0!</v>
      </c>
      <c r="G62" s="289"/>
      <c r="H62" s="289"/>
      <c r="I62" s="289"/>
      <c r="J62" s="289"/>
      <c r="K62" s="289"/>
      <c r="L62" s="289"/>
      <c r="M62" s="289"/>
      <c r="N62" s="289"/>
      <c r="O62" s="289"/>
      <c r="P62" s="289"/>
      <c r="Q62" s="289"/>
      <c r="R62" s="289"/>
      <c r="S62" s="289"/>
      <c r="T62" s="289"/>
      <c r="U62" s="289"/>
      <c r="V62" s="289"/>
      <c r="W62" s="289"/>
      <c r="X62" s="289"/>
      <c r="Y62" s="289"/>
      <c r="Z62" s="289"/>
      <c r="AA62" s="289"/>
      <c r="AB62" s="289"/>
      <c r="AC62" s="289"/>
      <c r="AD62" s="289"/>
      <c r="AE62" s="289"/>
      <c r="AF62" s="289"/>
      <c r="AG62" s="289"/>
      <c r="AH62" s="289"/>
      <c r="AI62" s="289"/>
      <c r="AJ62" s="289"/>
      <c r="AK62" s="289"/>
      <c r="AL62" s="289"/>
      <c r="AM62" s="289"/>
      <c r="AN62" s="289"/>
      <c r="AO62" s="289"/>
      <c r="AP62" s="289"/>
      <c r="AQ62" s="289"/>
      <c r="AR62" s="289"/>
    </row>
    <row r="63" spans="1:44" x14ac:dyDescent="0.2">
      <c r="A63" s="289"/>
      <c r="B63" s="1270">
        <v>22</v>
      </c>
      <c r="C63" s="1271" t="e">
        <f>'Список мероприятий'!Y74</f>
        <v>#DIV/0!</v>
      </c>
      <c r="D63" s="1270" t="e">
        <f>IF(E63=0,"","Замена осветительных приборов")</f>
        <v>#DIV/0!</v>
      </c>
      <c r="E63" s="1272" t="e">
        <f t="shared" si="0"/>
        <v>#DIV/0!</v>
      </c>
      <c r="F63" s="1270" t="e">
        <f>$C63*$C$23</f>
        <v>#DIV/0!</v>
      </c>
      <c r="G63" s="289"/>
      <c r="H63" s="289"/>
      <c r="I63" s="289"/>
      <c r="J63" s="289"/>
      <c r="K63" s="289"/>
      <c r="L63" s="289"/>
      <c r="M63" s="289"/>
      <c r="N63" s="289"/>
      <c r="O63" s="289"/>
      <c r="P63" s="289"/>
      <c r="Q63" s="289"/>
      <c r="R63" s="289"/>
      <c r="S63" s="289"/>
      <c r="T63" s="289"/>
      <c r="U63" s="289"/>
      <c r="V63" s="289"/>
      <c r="W63" s="289"/>
      <c r="X63" s="289"/>
      <c r="Y63" s="289"/>
      <c r="Z63" s="289"/>
      <c r="AA63" s="289"/>
      <c r="AB63" s="289"/>
      <c r="AC63" s="289"/>
      <c r="AD63" s="289"/>
      <c r="AE63" s="289"/>
      <c r="AF63" s="289"/>
      <c r="AG63" s="289"/>
      <c r="AH63" s="289"/>
      <c r="AI63" s="289"/>
      <c r="AJ63" s="289"/>
      <c r="AK63" s="289"/>
      <c r="AL63" s="289"/>
      <c r="AM63" s="289"/>
      <c r="AN63" s="289"/>
      <c r="AO63" s="289"/>
      <c r="AP63" s="289"/>
      <c r="AQ63" s="289"/>
      <c r="AR63" s="289"/>
    </row>
    <row r="64" spans="1:44" x14ac:dyDescent="0.2">
      <c r="A64" s="289"/>
      <c r="B64" s="1270">
        <v>23</v>
      </c>
      <c r="C64" s="1271" t="e">
        <f>'Список мероприятий'!Y76</f>
        <v>#DIV/0!</v>
      </c>
      <c r="D64" s="1270" t="e">
        <f>IF(E64=0,"","Установка датчиков движения")</f>
        <v>#DIV/0!</v>
      </c>
      <c r="E64" s="1272" t="e">
        <f t="shared" si="0"/>
        <v>#DIV/0!</v>
      </c>
      <c r="F64" s="1270" t="e">
        <f>$C64*$C$23</f>
        <v>#DIV/0!</v>
      </c>
      <c r="G64" s="289"/>
      <c r="H64" s="289"/>
      <c r="I64" s="289"/>
      <c r="J64" s="289"/>
      <c r="K64" s="289"/>
      <c r="L64" s="289"/>
      <c r="M64" s="289"/>
      <c r="N64" s="289"/>
      <c r="O64" s="289"/>
      <c r="P64" s="289"/>
      <c r="Q64" s="289"/>
      <c r="R64" s="289"/>
      <c r="S64" s="289"/>
      <c r="T64" s="289"/>
      <c r="U64" s="289"/>
      <c r="V64" s="289"/>
      <c r="W64" s="289"/>
      <c r="X64" s="289"/>
      <c r="Y64" s="289"/>
      <c r="Z64" s="289"/>
      <c r="AA64" s="289"/>
      <c r="AB64" s="289"/>
      <c r="AC64" s="289"/>
      <c r="AD64" s="289"/>
      <c r="AE64" s="289"/>
      <c r="AF64" s="289"/>
      <c r="AG64" s="289"/>
      <c r="AH64" s="289"/>
      <c r="AI64" s="289"/>
      <c r="AJ64" s="289"/>
      <c r="AK64" s="289"/>
      <c r="AL64" s="289"/>
      <c r="AM64" s="289"/>
      <c r="AN64" s="289"/>
      <c r="AO64" s="289"/>
      <c r="AP64" s="289"/>
      <c r="AQ64" s="289"/>
      <c r="AR64" s="289"/>
    </row>
    <row r="65" spans="1:44" x14ac:dyDescent="0.2">
      <c r="A65" s="289"/>
      <c r="B65" s="289"/>
      <c r="C65" s="289"/>
      <c r="D65" s="289"/>
      <c r="E65" s="289"/>
      <c r="F65" s="289"/>
      <c r="G65" s="289"/>
      <c r="H65" s="289"/>
      <c r="I65" s="289"/>
      <c r="J65" s="289"/>
      <c r="K65" s="289"/>
      <c r="L65" s="289"/>
      <c r="M65" s="289"/>
      <c r="N65" s="289"/>
      <c r="O65" s="289"/>
      <c r="P65" s="289"/>
      <c r="Q65" s="289"/>
      <c r="R65" s="289"/>
      <c r="S65" s="289"/>
      <c r="T65" s="289"/>
      <c r="U65" s="289"/>
      <c r="V65" s="289"/>
      <c r="W65" s="289"/>
      <c r="X65" s="289"/>
      <c r="Y65" s="289"/>
      <c r="Z65" s="289"/>
      <c r="AA65" s="289"/>
      <c r="AB65" s="289"/>
      <c r="AC65" s="289"/>
      <c r="AD65" s="289"/>
      <c r="AE65" s="289"/>
      <c r="AF65" s="289"/>
      <c r="AG65" s="289"/>
      <c r="AH65" s="289"/>
      <c r="AI65" s="289"/>
      <c r="AJ65" s="289"/>
      <c r="AK65" s="289"/>
      <c r="AL65" s="289"/>
      <c r="AM65" s="289"/>
      <c r="AN65" s="289"/>
      <c r="AO65" s="289"/>
      <c r="AP65" s="289"/>
      <c r="AQ65" s="289"/>
      <c r="AR65" s="289"/>
    </row>
    <row r="66" spans="1:44" x14ac:dyDescent="0.2">
      <c r="A66" s="289"/>
      <c r="B66" s="289"/>
      <c r="C66" s="289"/>
      <c r="D66" s="289"/>
      <c r="E66" s="289"/>
      <c r="F66" s="289"/>
      <c r="G66" s="289"/>
      <c r="H66" s="289"/>
      <c r="I66" s="289"/>
      <c r="J66" s="289"/>
      <c r="K66" s="289"/>
      <c r="L66" s="289"/>
      <c r="M66" s="289"/>
      <c r="N66" s="289"/>
      <c r="O66" s="289"/>
      <c r="P66" s="289"/>
      <c r="Q66" s="289"/>
      <c r="R66" s="289"/>
      <c r="S66" s="289"/>
      <c r="T66" s="289"/>
      <c r="U66" s="289"/>
      <c r="V66" s="289"/>
      <c r="W66" s="289"/>
      <c r="X66" s="289"/>
      <c r="Y66" s="289"/>
      <c r="Z66" s="289"/>
      <c r="AA66" s="289"/>
      <c r="AB66" s="289"/>
      <c r="AC66" s="289"/>
      <c r="AD66" s="289"/>
      <c r="AE66" s="289"/>
      <c r="AF66" s="289"/>
      <c r="AG66" s="289"/>
      <c r="AH66" s="289"/>
      <c r="AI66" s="289"/>
      <c r="AJ66" s="289"/>
      <c r="AK66" s="289"/>
      <c r="AL66" s="289"/>
      <c r="AM66" s="289"/>
      <c r="AN66" s="289"/>
      <c r="AO66" s="289"/>
      <c r="AP66" s="289"/>
      <c r="AQ66" s="289"/>
      <c r="AR66" s="289"/>
    </row>
    <row r="67" spans="1:44" x14ac:dyDescent="0.2">
      <c r="A67" s="289"/>
      <c r="B67" s="289"/>
      <c r="C67" s="289"/>
      <c r="D67" s="289"/>
      <c r="E67" s="289"/>
      <c r="F67" s="289"/>
      <c r="G67" s="289"/>
      <c r="H67" s="289"/>
      <c r="I67" s="289"/>
      <c r="J67" s="289"/>
      <c r="K67" s="289"/>
      <c r="L67" s="289"/>
      <c r="M67" s="289"/>
      <c r="N67" s="289"/>
      <c r="O67" s="289"/>
      <c r="P67" s="289"/>
      <c r="Q67" s="289"/>
      <c r="R67" s="289"/>
      <c r="S67" s="289"/>
      <c r="T67" s="289"/>
      <c r="U67" s="289"/>
      <c r="V67" s="289"/>
      <c r="W67" s="289"/>
      <c r="X67" s="289"/>
      <c r="Y67" s="289"/>
      <c r="Z67" s="289"/>
      <c r="AA67" s="289"/>
      <c r="AB67" s="289"/>
      <c r="AC67" s="289"/>
      <c r="AD67" s="289"/>
      <c r="AE67" s="289"/>
      <c r="AF67" s="289"/>
      <c r="AG67" s="289"/>
      <c r="AH67" s="289"/>
      <c r="AI67" s="289"/>
      <c r="AJ67" s="289"/>
      <c r="AK67" s="289"/>
      <c r="AL67" s="289"/>
      <c r="AM67" s="289"/>
      <c r="AN67" s="289"/>
      <c r="AO67" s="289"/>
      <c r="AP67" s="289"/>
      <c r="AQ67" s="289"/>
      <c r="AR67" s="289"/>
    </row>
    <row r="68" spans="1:44" x14ac:dyDescent="0.2">
      <c r="A68" s="289"/>
      <c r="B68" s="289"/>
      <c r="C68" s="289"/>
      <c r="D68" s="289"/>
      <c r="E68" s="289"/>
      <c r="F68" s="289"/>
      <c r="G68" s="289"/>
      <c r="H68" s="289"/>
      <c r="I68" s="289"/>
      <c r="J68" s="289"/>
      <c r="K68" s="289"/>
      <c r="L68" s="289"/>
      <c r="M68" s="289"/>
      <c r="N68" s="289"/>
      <c r="O68" s="289"/>
      <c r="P68" s="289"/>
      <c r="Q68" s="289"/>
      <c r="R68" s="289"/>
      <c r="S68" s="289"/>
      <c r="T68" s="289"/>
      <c r="U68" s="289"/>
      <c r="V68" s="289"/>
      <c r="W68" s="289"/>
      <c r="X68" s="289"/>
      <c r="Y68" s="289"/>
      <c r="Z68" s="289"/>
      <c r="AA68" s="289"/>
      <c r="AB68" s="289"/>
      <c r="AC68" s="289"/>
      <c r="AD68" s="289"/>
      <c r="AE68" s="289"/>
      <c r="AF68" s="289"/>
      <c r="AG68" s="289"/>
      <c r="AH68" s="289"/>
      <c r="AI68" s="289"/>
      <c r="AJ68" s="289"/>
      <c r="AK68" s="289"/>
      <c r="AL68" s="289"/>
      <c r="AM68" s="289"/>
      <c r="AN68" s="289"/>
      <c r="AO68" s="289"/>
      <c r="AP68" s="289"/>
      <c r="AQ68" s="289"/>
      <c r="AR68" s="289"/>
    </row>
    <row r="69" spans="1:44" x14ac:dyDescent="0.2">
      <c r="A69" s="289"/>
      <c r="B69" s="289"/>
      <c r="C69" s="289"/>
      <c r="D69" s="289"/>
      <c r="E69" s="289"/>
      <c r="F69" s="289"/>
      <c r="G69" s="289"/>
      <c r="H69" s="289"/>
      <c r="I69" s="289"/>
      <c r="J69" s="289"/>
      <c r="K69" s="289"/>
      <c r="L69" s="289"/>
      <c r="M69" s="289"/>
      <c r="N69" s="289"/>
      <c r="O69" s="289"/>
      <c r="P69" s="289"/>
      <c r="Q69" s="289"/>
      <c r="R69" s="289"/>
      <c r="S69" s="289"/>
      <c r="T69" s="289"/>
      <c r="U69" s="289"/>
      <c r="V69" s="289"/>
      <c r="W69" s="289"/>
      <c r="X69" s="289"/>
      <c r="Y69" s="289"/>
      <c r="Z69" s="289"/>
      <c r="AA69" s="289"/>
      <c r="AB69" s="289"/>
      <c r="AC69" s="289"/>
      <c r="AD69" s="289"/>
      <c r="AE69" s="289"/>
      <c r="AF69" s="289"/>
      <c r="AG69" s="289"/>
      <c r="AH69" s="289"/>
      <c r="AI69" s="289"/>
      <c r="AJ69" s="289"/>
      <c r="AK69" s="289"/>
      <c r="AL69" s="289"/>
      <c r="AM69" s="289"/>
      <c r="AN69" s="289"/>
      <c r="AO69" s="289"/>
      <c r="AP69" s="289"/>
      <c r="AQ69" s="289"/>
      <c r="AR69" s="289"/>
    </row>
    <row r="70" spans="1:44" x14ac:dyDescent="0.2">
      <c r="A70" s="289"/>
      <c r="B70" s="289"/>
      <c r="C70" s="289"/>
      <c r="D70" s="289"/>
      <c r="E70" s="289"/>
      <c r="F70" s="289"/>
      <c r="G70" s="289"/>
      <c r="H70" s="289"/>
      <c r="I70" s="289"/>
      <c r="J70" s="289"/>
      <c r="K70" s="289"/>
      <c r="L70" s="289"/>
      <c r="M70" s="289"/>
      <c r="N70" s="289"/>
      <c r="O70" s="289"/>
      <c r="P70" s="289"/>
      <c r="Q70" s="289"/>
      <c r="R70" s="289"/>
      <c r="S70" s="289"/>
      <c r="T70" s="289"/>
      <c r="U70" s="289"/>
      <c r="V70" s="289"/>
      <c r="W70" s="289"/>
      <c r="X70" s="289"/>
      <c r="Y70" s="289"/>
      <c r="Z70" s="289"/>
      <c r="AA70" s="289"/>
      <c r="AB70" s="289"/>
      <c r="AC70" s="289"/>
      <c r="AD70" s="289"/>
      <c r="AE70" s="289"/>
      <c r="AF70" s="289"/>
      <c r="AG70" s="289"/>
      <c r="AH70" s="289"/>
      <c r="AI70" s="289"/>
      <c r="AJ70" s="289"/>
      <c r="AK70" s="289"/>
      <c r="AL70" s="289"/>
      <c r="AM70" s="289"/>
      <c r="AN70" s="289"/>
      <c r="AO70" s="289"/>
      <c r="AP70" s="289"/>
      <c r="AQ70" s="289"/>
      <c r="AR70" s="289"/>
    </row>
    <row r="71" spans="1:44" x14ac:dyDescent="0.2">
      <c r="A71" s="289"/>
      <c r="B71" s="289"/>
      <c r="C71" s="289"/>
      <c r="D71" s="289"/>
      <c r="E71" s="289"/>
      <c r="F71" s="289"/>
      <c r="G71" s="289"/>
      <c r="H71" s="289"/>
      <c r="I71" s="289"/>
      <c r="J71" s="289"/>
      <c r="K71" s="289"/>
      <c r="L71" s="289"/>
      <c r="M71" s="289"/>
      <c r="N71" s="289"/>
      <c r="O71" s="289"/>
      <c r="P71" s="289"/>
      <c r="Q71" s="289"/>
      <c r="R71" s="289"/>
      <c r="S71" s="289"/>
      <c r="T71" s="289"/>
      <c r="U71" s="289"/>
      <c r="V71" s="289"/>
      <c r="W71" s="289"/>
      <c r="X71" s="289"/>
      <c r="Y71" s="289"/>
      <c r="Z71" s="289"/>
      <c r="AA71" s="289"/>
      <c r="AB71" s="289"/>
      <c r="AC71" s="289"/>
      <c r="AD71" s="289"/>
      <c r="AE71" s="289"/>
      <c r="AF71" s="289"/>
      <c r="AG71" s="289"/>
      <c r="AH71" s="289"/>
      <c r="AI71" s="289"/>
      <c r="AJ71" s="289"/>
      <c r="AK71" s="289"/>
      <c r="AL71" s="289"/>
      <c r="AM71" s="289"/>
      <c r="AN71" s="289"/>
      <c r="AO71" s="289"/>
      <c r="AP71" s="289"/>
      <c r="AQ71" s="289"/>
      <c r="AR71" s="289"/>
    </row>
    <row r="72" spans="1:44" x14ac:dyDescent="0.2">
      <c r="A72" s="289"/>
      <c r="B72" s="289"/>
      <c r="C72" s="289"/>
      <c r="D72" s="289"/>
      <c r="E72" s="289"/>
      <c r="F72" s="289"/>
      <c r="G72" s="289"/>
      <c r="H72" s="289"/>
      <c r="I72" s="289"/>
      <c r="J72" s="289"/>
      <c r="K72" s="289"/>
      <c r="L72" s="289"/>
      <c r="M72" s="289"/>
      <c r="N72" s="289"/>
      <c r="O72" s="289"/>
      <c r="P72" s="289"/>
      <c r="Q72" s="289"/>
      <c r="R72" s="289"/>
      <c r="S72" s="289"/>
      <c r="T72" s="289"/>
      <c r="U72" s="289"/>
      <c r="V72" s="289"/>
      <c r="W72" s="289"/>
      <c r="X72" s="289"/>
      <c r="Y72" s="289"/>
      <c r="Z72" s="289"/>
      <c r="AA72" s="289"/>
      <c r="AB72" s="289"/>
      <c r="AC72" s="289"/>
      <c r="AD72" s="289"/>
      <c r="AE72" s="289"/>
      <c r="AF72" s="289"/>
      <c r="AG72" s="289"/>
      <c r="AH72" s="289"/>
      <c r="AI72" s="289"/>
      <c r="AJ72" s="289"/>
      <c r="AK72" s="289"/>
      <c r="AL72" s="289"/>
      <c r="AM72" s="289"/>
      <c r="AN72" s="289"/>
      <c r="AO72" s="289"/>
      <c r="AP72" s="289"/>
      <c r="AQ72" s="289"/>
      <c r="AR72" s="289"/>
    </row>
    <row r="73" spans="1:44" x14ac:dyDescent="0.2">
      <c r="A73" s="289"/>
      <c r="B73" s="289"/>
      <c r="C73" s="289"/>
      <c r="D73" s="289"/>
      <c r="E73" s="289"/>
      <c r="F73" s="289"/>
      <c r="G73" s="289"/>
      <c r="H73" s="289"/>
      <c r="I73" s="289"/>
      <c r="J73" s="289"/>
      <c r="K73" s="289"/>
      <c r="L73" s="289"/>
      <c r="M73" s="289"/>
      <c r="N73" s="289"/>
      <c r="O73" s="289"/>
      <c r="P73" s="289"/>
      <c r="Q73" s="289"/>
      <c r="R73" s="289"/>
      <c r="S73" s="289"/>
      <c r="T73" s="289"/>
      <c r="U73" s="289"/>
      <c r="V73" s="289"/>
      <c r="W73" s="289"/>
      <c r="X73" s="289"/>
      <c r="Y73" s="289"/>
      <c r="Z73" s="289"/>
      <c r="AA73" s="289"/>
      <c r="AB73" s="289"/>
      <c r="AC73" s="289"/>
      <c r="AD73" s="289"/>
      <c r="AE73" s="289"/>
      <c r="AF73" s="289"/>
      <c r="AG73" s="289"/>
      <c r="AH73" s="289"/>
      <c r="AI73" s="289"/>
      <c r="AJ73" s="289"/>
      <c r="AK73" s="289"/>
      <c r="AL73" s="289"/>
      <c r="AM73" s="289"/>
      <c r="AN73" s="289"/>
      <c r="AO73" s="289"/>
      <c r="AP73" s="289"/>
      <c r="AQ73" s="289"/>
      <c r="AR73" s="289"/>
    </row>
    <row r="74" spans="1:44" x14ac:dyDescent="0.2">
      <c r="A74" s="289"/>
      <c r="B74" s="289"/>
      <c r="C74" s="289"/>
      <c r="D74" s="289"/>
      <c r="E74" s="289"/>
      <c r="F74" s="289"/>
      <c r="G74" s="289"/>
      <c r="H74" s="289"/>
      <c r="I74" s="289"/>
      <c r="J74" s="289"/>
      <c r="K74" s="289"/>
      <c r="L74" s="289"/>
      <c r="M74" s="289"/>
      <c r="N74" s="289"/>
      <c r="O74" s="289"/>
      <c r="P74" s="289"/>
      <c r="Q74" s="289"/>
      <c r="R74" s="289"/>
      <c r="S74" s="289"/>
      <c r="T74" s="289"/>
      <c r="U74" s="289"/>
      <c r="V74" s="289"/>
      <c r="W74" s="289"/>
      <c r="X74" s="289"/>
      <c r="Y74" s="289"/>
      <c r="Z74" s="289"/>
      <c r="AA74" s="289"/>
      <c r="AB74" s="289"/>
      <c r="AC74" s="289"/>
      <c r="AD74" s="289"/>
      <c r="AE74" s="289"/>
      <c r="AF74" s="289"/>
      <c r="AG74" s="289"/>
      <c r="AH74" s="289"/>
      <c r="AI74" s="289"/>
      <c r="AJ74" s="289"/>
      <c r="AK74" s="289"/>
      <c r="AL74" s="289"/>
      <c r="AM74" s="289"/>
      <c r="AN74" s="289"/>
      <c r="AO74" s="289"/>
      <c r="AP74" s="289"/>
      <c r="AQ74" s="289"/>
      <c r="AR74" s="289"/>
    </row>
    <row r="75" spans="1:44" x14ac:dyDescent="0.2">
      <c r="A75" s="289"/>
      <c r="B75" s="289"/>
      <c r="C75" s="289"/>
      <c r="D75" s="289"/>
      <c r="E75" s="289"/>
      <c r="F75" s="289"/>
      <c r="G75" s="289"/>
      <c r="H75" s="289"/>
      <c r="I75" s="289"/>
      <c r="J75" s="289"/>
      <c r="K75" s="289"/>
      <c r="L75" s="289"/>
      <c r="M75" s="289"/>
      <c r="N75" s="289"/>
      <c r="O75" s="289"/>
      <c r="P75" s="289"/>
      <c r="Q75" s="289"/>
      <c r="R75" s="289"/>
      <c r="S75" s="289"/>
      <c r="T75" s="289"/>
      <c r="U75" s="289"/>
      <c r="V75" s="289"/>
      <c r="W75" s="289"/>
      <c r="X75" s="289"/>
      <c r="Y75" s="289"/>
      <c r="Z75" s="289"/>
      <c r="AA75" s="289"/>
      <c r="AB75" s="289"/>
      <c r="AC75" s="289"/>
      <c r="AD75" s="289"/>
      <c r="AE75" s="289"/>
      <c r="AF75" s="289"/>
      <c r="AG75" s="289"/>
      <c r="AH75" s="289"/>
      <c r="AI75" s="289"/>
      <c r="AJ75" s="289"/>
      <c r="AK75" s="289"/>
      <c r="AL75" s="289"/>
      <c r="AM75" s="289"/>
      <c r="AN75" s="289"/>
      <c r="AO75" s="289"/>
      <c r="AP75" s="289"/>
      <c r="AQ75" s="289"/>
      <c r="AR75" s="289"/>
    </row>
    <row r="76" spans="1:44" x14ac:dyDescent="0.2">
      <c r="A76" s="289"/>
      <c r="B76" s="289"/>
      <c r="C76" s="289"/>
      <c r="D76" s="289"/>
      <c r="E76" s="289"/>
      <c r="F76" s="289"/>
      <c r="G76" s="289"/>
      <c r="H76" s="289"/>
      <c r="I76" s="289"/>
      <c r="J76" s="289"/>
      <c r="K76" s="289"/>
      <c r="L76" s="289"/>
      <c r="M76" s="289"/>
      <c r="N76" s="289"/>
      <c r="O76" s="289"/>
      <c r="P76" s="289"/>
      <c r="Q76" s="289"/>
      <c r="R76" s="289"/>
      <c r="S76" s="289"/>
      <c r="T76" s="289"/>
      <c r="U76" s="289"/>
      <c r="V76" s="289"/>
      <c r="W76" s="289"/>
      <c r="X76" s="289"/>
      <c r="Y76" s="289"/>
      <c r="Z76" s="289"/>
      <c r="AA76" s="289"/>
      <c r="AB76" s="289"/>
      <c r="AC76" s="289"/>
      <c r="AD76" s="289"/>
      <c r="AE76" s="289"/>
      <c r="AF76" s="289"/>
      <c r="AG76" s="289"/>
      <c r="AH76" s="289"/>
      <c r="AI76" s="289"/>
      <c r="AJ76" s="289"/>
      <c r="AK76" s="289"/>
      <c r="AL76" s="289"/>
      <c r="AM76" s="289"/>
      <c r="AN76" s="289"/>
      <c r="AO76" s="289"/>
      <c r="AP76" s="289"/>
      <c r="AQ76" s="289"/>
      <c r="AR76" s="289"/>
    </row>
    <row r="77" spans="1:44" x14ac:dyDescent="0.2">
      <c r="A77" s="289"/>
      <c r="B77" s="289"/>
      <c r="C77" s="289"/>
      <c r="D77" s="289"/>
      <c r="E77" s="289"/>
      <c r="F77" s="289"/>
      <c r="G77" s="289"/>
      <c r="H77" s="289"/>
      <c r="I77" s="289"/>
      <c r="J77" s="289"/>
      <c r="K77" s="289"/>
      <c r="L77" s="289"/>
      <c r="M77" s="289"/>
      <c r="N77" s="289"/>
      <c r="O77" s="289"/>
      <c r="P77" s="289"/>
      <c r="Q77" s="289"/>
      <c r="R77" s="289"/>
      <c r="S77" s="289"/>
      <c r="T77" s="289"/>
      <c r="U77" s="289"/>
      <c r="V77" s="289"/>
      <c r="W77" s="289"/>
      <c r="X77" s="289"/>
      <c r="Y77" s="289"/>
      <c r="Z77" s="289"/>
      <c r="AA77" s="289"/>
      <c r="AB77" s="289"/>
      <c r="AC77" s="289"/>
      <c r="AD77" s="289"/>
      <c r="AE77" s="289"/>
      <c r="AF77" s="289"/>
      <c r="AG77" s="289"/>
      <c r="AH77" s="289"/>
      <c r="AI77" s="289"/>
      <c r="AJ77" s="289"/>
      <c r="AK77" s="289"/>
      <c r="AL77" s="289"/>
      <c r="AM77" s="289"/>
      <c r="AN77" s="289"/>
      <c r="AO77" s="289"/>
      <c r="AP77" s="289"/>
      <c r="AQ77" s="289"/>
      <c r="AR77" s="289"/>
    </row>
    <row r="78" spans="1:44" x14ac:dyDescent="0.2">
      <c r="A78" s="289"/>
      <c r="B78" s="289"/>
      <c r="C78" s="289"/>
      <c r="D78" s="289"/>
      <c r="E78" s="289"/>
      <c r="F78" s="289"/>
      <c r="G78" s="289"/>
      <c r="H78" s="289"/>
      <c r="I78" s="289"/>
      <c r="J78" s="289"/>
      <c r="K78" s="289"/>
      <c r="L78" s="289"/>
      <c r="M78" s="289"/>
      <c r="N78" s="289"/>
      <c r="O78" s="289"/>
      <c r="P78" s="289"/>
      <c r="Q78" s="289"/>
      <c r="R78" s="289"/>
      <c r="S78" s="289"/>
      <c r="T78" s="289"/>
      <c r="U78" s="289"/>
      <c r="V78" s="289"/>
      <c r="W78" s="289"/>
      <c r="X78" s="289"/>
      <c r="Y78" s="289"/>
      <c r="Z78" s="289"/>
      <c r="AA78" s="289"/>
      <c r="AB78" s="289"/>
      <c r="AC78" s="289"/>
      <c r="AD78" s="289"/>
      <c r="AE78" s="289"/>
      <c r="AF78" s="289"/>
      <c r="AG78" s="289"/>
      <c r="AH78" s="289"/>
      <c r="AI78" s="289"/>
      <c r="AJ78" s="289"/>
      <c r="AK78" s="289"/>
      <c r="AL78" s="289"/>
      <c r="AM78" s="289"/>
      <c r="AN78" s="289"/>
      <c r="AO78" s="289"/>
      <c r="AP78" s="289"/>
      <c r="AQ78" s="289"/>
      <c r="AR78" s="289"/>
    </row>
    <row r="79" spans="1:44" x14ac:dyDescent="0.2">
      <c r="A79" s="289"/>
      <c r="B79" s="289"/>
      <c r="C79" s="289"/>
      <c r="D79" s="289"/>
      <c r="E79" s="289"/>
      <c r="F79" s="289"/>
      <c r="G79" s="289"/>
      <c r="H79" s="289"/>
      <c r="I79" s="289"/>
      <c r="J79" s="289"/>
      <c r="K79" s="289"/>
      <c r="L79" s="289"/>
      <c r="M79" s="289"/>
      <c r="N79" s="289"/>
      <c r="O79" s="289"/>
      <c r="P79" s="289"/>
      <c r="Q79" s="289"/>
      <c r="R79" s="289"/>
      <c r="S79" s="289"/>
      <c r="T79" s="289"/>
      <c r="U79" s="289"/>
      <c r="V79" s="289"/>
      <c r="W79" s="289"/>
      <c r="X79" s="289"/>
      <c r="Y79" s="289"/>
      <c r="Z79" s="289"/>
      <c r="AA79" s="289"/>
      <c r="AB79" s="289"/>
      <c r="AC79" s="289"/>
      <c r="AD79" s="289"/>
      <c r="AE79" s="289"/>
      <c r="AF79" s="289"/>
      <c r="AG79" s="289"/>
      <c r="AH79" s="289"/>
      <c r="AI79" s="289"/>
      <c r="AJ79" s="289"/>
      <c r="AK79" s="289"/>
      <c r="AL79" s="289"/>
      <c r="AM79" s="289"/>
      <c r="AN79" s="289"/>
      <c r="AO79" s="289"/>
      <c r="AP79" s="289"/>
      <c r="AQ79" s="289"/>
      <c r="AR79" s="289"/>
    </row>
    <row r="80" spans="1:44" x14ac:dyDescent="0.2">
      <c r="A80" s="289"/>
      <c r="B80" s="289"/>
      <c r="C80" s="289"/>
      <c r="D80" s="289"/>
      <c r="E80" s="289"/>
      <c r="F80" s="289"/>
      <c r="G80" s="289"/>
      <c r="H80" s="289"/>
      <c r="I80" s="289"/>
      <c r="J80" s="289"/>
      <c r="K80" s="289"/>
      <c r="L80" s="289"/>
      <c r="M80" s="289"/>
      <c r="N80" s="289"/>
      <c r="O80" s="289"/>
      <c r="P80" s="289"/>
      <c r="Q80" s="289"/>
      <c r="R80" s="289"/>
      <c r="S80" s="289"/>
      <c r="T80" s="289"/>
      <c r="U80" s="289"/>
      <c r="V80" s="289"/>
      <c r="W80" s="289"/>
      <c r="X80" s="289"/>
      <c r="Y80" s="289"/>
      <c r="Z80" s="289"/>
      <c r="AA80" s="289"/>
      <c r="AB80" s="289"/>
      <c r="AC80" s="289"/>
      <c r="AD80" s="289"/>
      <c r="AE80" s="289"/>
      <c r="AF80" s="289"/>
      <c r="AG80" s="289"/>
      <c r="AH80" s="289"/>
      <c r="AI80" s="289"/>
      <c r="AJ80" s="289"/>
      <c r="AK80" s="289"/>
      <c r="AL80" s="289"/>
      <c r="AM80" s="289"/>
      <c r="AN80" s="289"/>
      <c r="AO80" s="289"/>
      <c r="AP80" s="289"/>
      <c r="AQ80" s="289"/>
      <c r="AR80" s="289"/>
    </row>
    <row r="81" spans="1:44" x14ac:dyDescent="0.2">
      <c r="A81" s="289"/>
      <c r="B81" s="289"/>
      <c r="C81" s="289"/>
      <c r="D81" s="289"/>
      <c r="E81" s="289"/>
      <c r="F81" s="289"/>
      <c r="G81" s="289"/>
      <c r="H81" s="289"/>
      <c r="I81" s="289"/>
      <c r="J81" s="289"/>
      <c r="K81" s="289"/>
      <c r="L81" s="289"/>
      <c r="M81" s="289"/>
      <c r="N81" s="289"/>
      <c r="O81" s="289"/>
      <c r="P81" s="289"/>
      <c r="Q81" s="289"/>
      <c r="R81" s="289"/>
      <c r="S81" s="289"/>
      <c r="T81" s="289"/>
      <c r="U81" s="289"/>
      <c r="V81" s="289"/>
      <c r="W81" s="289"/>
      <c r="X81" s="289"/>
      <c r="Y81" s="289"/>
      <c r="Z81" s="289"/>
      <c r="AA81" s="289"/>
      <c r="AB81" s="289"/>
      <c r="AC81" s="289"/>
      <c r="AD81" s="289"/>
      <c r="AE81" s="289"/>
      <c r="AF81" s="289"/>
      <c r="AG81" s="289"/>
      <c r="AH81" s="289"/>
      <c r="AI81" s="289"/>
      <c r="AJ81" s="289"/>
      <c r="AK81" s="289"/>
      <c r="AL81" s="289"/>
      <c r="AM81" s="289"/>
      <c r="AN81" s="289"/>
      <c r="AO81" s="289"/>
      <c r="AP81" s="289"/>
      <c r="AQ81" s="289"/>
      <c r="AR81" s="289"/>
    </row>
    <row r="82" spans="1:44" x14ac:dyDescent="0.2">
      <c r="A82" s="289"/>
      <c r="B82" s="289"/>
      <c r="C82" s="289"/>
      <c r="D82" s="289"/>
      <c r="E82" s="289"/>
      <c r="F82" s="289"/>
      <c r="G82" s="289"/>
      <c r="H82" s="289"/>
      <c r="I82" s="289"/>
      <c r="J82" s="289"/>
      <c r="K82" s="289"/>
      <c r="L82" s="289"/>
      <c r="M82" s="289"/>
      <c r="N82" s="289"/>
      <c r="O82" s="289"/>
      <c r="P82" s="289"/>
      <c r="Q82" s="289"/>
      <c r="R82" s="289"/>
      <c r="S82" s="289"/>
      <c r="T82" s="289"/>
      <c r="U82" s="289"/>
      <c r="V82" s="289"/>
      <c r="W82" s="289"/>
      <c r="X82" s="289"/>
      <c r="Y82" s="289"/>
      <c r="Z82" s="289"/>
      <c r="AA82" s="289"/>
      <c r="AB82" s="289"/>
      <c r="AC82" s="289"/>
      <c r="AD82" s="289"/>
      <c r="AE82" s="289"/>
      <c r="AF82" s="289"/>
      <c r="AG82" s="289"/>
      <c r="AH82" s="289"/>
      <c r="AI82" s="289"/>
      <c r="AJ82" s="289"/>
      <c r="AK82" s="289"/>
      <c r="AL82" s="289"/>
      <c r="AM82" s="289"/>
      <c r="AN82" s="289"/>
      <c r="AO82" s="289"/>
      <c r="AP82" s="289"/>
      <c r="AQ82" s="289"/>
      <c r="AR82" s="289"/>
    </row>
    <row r="83" spans="1:44" x14ac:dyDescent="0.2">
      <c r="A83" s="289"/>
      <c r="B83" s="289"/>
      <c r="C83" s="289"/>
      <c r="D83" s="289"/>
      <c r="E83" s="289"/>
      <c r="F83" s="289"/>
      <c r="G83" s="289"/>
      <c r="H83" s="289"/>
      <c r="I83" s="289"/>
      <c r="J83" s="289"/>
      <c r="K83" s="289"/>
      <c r="L83" s="289"/>
      <c r="M83" s="289"/>
      <c r="N83" s="289"/>
      <c r="O83" s="289"/>
      <c r="P83" s="289"/>
      <c r="Q83" s="289"/>
      <c r="R83" s="289"/>
      <c r="S83" s="289"/>
      <c r="T83" s="289"/>
      <c r="U83" s="289"/>
      <c r="V83" s="289"/>
      <c r="W83" s="289"/>
      <c r="X83" s="289"/>
      <c r="Y83" s="289"/>
      <c r="Z83" s="289"/>
      <c r="AA83" s="289"/>
      <c r="AB83" s="289"/>
      <c r="AC83" s="289"/>
      <c r="AD83" s="289"/>
      <c r="AE83" s="289"/>
      <c r="AF83" s="289"/>
      <c r="AG83" s="289"/>
      <c r="AH83" s="289"/>
      <c r="AI83" s="289"/>
      <c r="AJ83" s="289"/>
      <c r="AK83" s="289"/>
      <c r="AL83" s="289"/>
      <c r="AM83" s="289"/>
      <c r="AN83" s="289"/>
      <c r="AO83" s="289"/>
      <c r="AP83" s="289"/>
      <c r="AQ83" s="289"/>
      <c r="AR83" s="289"/>
    </row>
    <row r="84" spans="1:44" x14ac:dyDescent="0.2">
      <c r="A84" s="289"/>
      <c r="B84" s="289"/>
      <c r="C84" s="289"/>
      <c r="D84" s="289"/>
      <c r="E84" s="289"/>
      <c r="F84" s="289"/>
      <c r="G84" s="289"/>
      <c r="H84" s="289"/>
      <c r="I84" s="289"/>
      <c r="J84" s="289"/>
      <c r="K84" s="289"/>
      <c r="L84" s="289"/>
      <c r="M84" s="289"/>
      <c r="N84" s="289"/>
      <c r="O84" s="289"/>
      <c r="P84" s="289"/>
      <c r="Q84" s="289"/>
      <c r="R84" s="289"/>
      <c r="S84" s="289"/>
      <c r="T84" s="289"/>
      <c r="U84" s="289"/>
      <c r="V84" s="289"/>
      <c r="W84" s="289"/>
      <c r="X84" s="289"/>
      <c r="Y84" s="289"/>
      <c r="Z84" s="289"/>
      <c r="AA84" s="289"/>
      <c r="AB84" s="289"/>
      <c r="AC84" s="289"/>
      <c r="AD84" s="289"/>
      <c r="AE84" s="289"/>
      <c r="AF84" s="289"/>
      <c r="AG84" s="289"/>
      <c r="AH84" s="289"/>
      <c r="AI84" s="289"/>
      <c r="AJ84" s="289"/>
      <c r="AK84" s="289"/>
      <c r="AL84" s="289"/>
      <c r="AM84" s="289"/>
      <c r="AN84" s="289"/>
      <c r="AO84" s="289"/>
      <c r="AP84" s="289"/>
      <c r="AQ84" s="289"/>
      <c r="AR84" s="289"/>
    </row>
    <row r="85" spans="1:44" x14ac:dyDescent="0.2">
      <c r="A85" s="289"/>
      <c r="B85" s="289"/>
      <c r="C85" s="289"/>
      <c r="D85" s="289"/>
      <c r="E85" s="289"/>
      <c r="F85" s="289"/>
      <c r="G85" s="289"/>
      <c r="H85" s="289"/>
      <c r="I85" s="289"/>
      <c r="J85" s="289"/>
      <c r="K85" s="289"/>
      <c r="L85" s="289"/>
      <c r="M85" s="289"/>
      <c r="N85" s="289"/>
      <c r="O85" s="289"/>
      <c r="P85" s="289"/>
      <c r="Q85" s="289"/>
      <c r="R85" s="289"/>
      <c r="S85" s="289"/>
      <c r="T85" s="289"/>
      <c r="U85" s="289"/>
      <c r="V85" s="289"/>
      <c r="W85" s="289"/>
      <c r="X85" s="289"/>
      <c r="Y85" s="289"/>
      <c r="Z85" s="289"/>
      <c r="AA85" s="289"/>
      <c r="AB85" s="289"/>
      <c r="AC85" s="289"/>
      <c r="AD85" s="289"/>
      <c r="AE85" s="289"/>
      <c r="AF85" s="289"/>
      <c r="AG85" s="289"/>
      <c r="AH85" s="289"/>
      <c r="AI85" s="289"/>
      <c r="AJ85" s="289"/>
      <c r="AK85" s="289"/>
      <c r="AL85" s="289"/>
      <c r="AM85" s="289"/>
      <c r="AN85" s="289"/>
      <c r="AO85" s="289"/>
      <c r="AP85" s="289"/>
      <c r="AQ85" s="289"/>
      <c r="AR85" s="289"/>
    </row>
    <row r="86" spans="1:44" x14ac:dyDescent="0.2">
      <c r="A86" s="289"/>
      <c r="B86" s="289"/>
      <c r="C86" s="289"/>
      <c r="D86" s="289"/>
      <c r="E86" s="289"/>
      <c r="F86" s="289"/>
      <c r="G86" s="289"/>
      <c r="H86" s="289"/>
      <c r="I86" s="289"/>
      <c r="J86" s="289"/>
      <c r="K86" s="289"/>
      <c r="L86" s="289"/>
      <c r="M86" s="289"/>
      <c r="N86" s="289"/>
      <c r="O86" s="289"/>
      <c r="P86" s="289"/>
      <c r="Q86" s="289"/>
      <c r="R86" s="289"/>
      <c r="S86" s="289"/>
      <c r="T86" s="289"/>
      <c r="U86" s="289"/>
      <c r="V86" s="289"/>
      <c r="W86" s="289"/>
      <c r="X86" s="289"/>
      <c r="Y86" s="289"/>
      <c r="Z86" s="289"/>
      <c r="AA86" s="289"/>
      <c r="AB86" s="289"/>
      <c r="AC86" s="289"/>
      <c r="AD86" s="289"/>
      <c r="AE86" s="289"/>
      <c r="AF86" s="289"/>
      <c r="AG86" s="289"/>
      <c r="AH86" s="289"/>
      <c r="AI86" s="289"/>
      <c r="AJ86" s="289"/>
      <c r="AK86" s="289"/>
      <c r="AL86" s="289"/>
      <c r="AM86" s="289"/>
      <c r="AN86" s="289"/>
      <c r="AO86" s="289"/>
      <c r="AP86" s="289"/>
      <c r="AQ86" s="289"/>
      <c r="AR86" s="289"/>
    </row>
    <row r="87" spans="1:44" x14ac:dyDescent="0.2">
      <c r="A87" s="289"/>
      <c r="B87" s="289"/>
      <c r="C87" s="289"/>
      <c r="D87" s="289"/>
      <c r="E87" s="289"/>
      <c r="F87" s="289"/>
      <c r="G87" s="289"/>
      <c r="H87" s="289"/>
      <c r="I87" s="289"/>
      <c r="J87" s="289"/>
      <c r="K87" s="289"/>
      <c r="L87" s="289"/>
      <c r="M87" s="289"/>
      <c r="N87" s="289"/>
      <c r="O87" s="289"/>
      <c r="P87" s="289"/>
      <c r="Q87" s="289"/>
      <c r="R87" s="289"/>
      <c r="S87" s="289"/>
      <c r="T87" s="289"/>
      <c r="U87" s="289"/>
      <c r="V87" s="289"/>
      <c r="W87" s="289"/>
      <c r="X87" s="289"/>
      <c r="Y87" s="289"/>
      <c r="Z87" s="289"/>
      <c r="AA87" s="289"/>
      <c r="AB87" s="289"/>
      <c r="AC87" s="289"/>
      <c r="AD87" s="289"/>
      <c r="AE87" s="289"/>
      <c r="AF87" s="289"/>
      <c r="AG87" s="289"/>
      <c r="AH87" s="289"/>
      <c r="AI87" s="289"/>
      <c r="AJ87" s="289"/>
      <c r="AK87" s="289"/>
      <c r="AL87" s="289"/>
      <c r="AM87" s="289"/>
      <c r="AN87" s="289"/>
      <c r="AO87" s="289"/>
      <c r="AP87" s="289"/>
      <c r="AQ87" s="289"/>
      <c r="AR87" s="289"/>
    </row>
    <row r="88" spans="1:44" x14ac:dyDescent="0.2">
      <c r="A88" s="289"/>
      <c r="B88" s="289"/>
      <c r="C88" s="289"/>
      <c r="D88" s="289"/>
      <c r="E88" s="289"/>
      <c r="F88" s="289"/>
      <c r="G88" s="289"/>
      <c r="H88" s="289"/>
      <c r="I88" s="289"/>
      <c r="J88" s="289"/>
      <c r="K88" s="289"/>
      <c r="L88" s="289"/>
      <c r="M88" s="289"/>
      <c r="N88" s="289"/>
      <c r="O88" s="289"/>
      <c r="P88" s="289"/>
      <c r="Q88" s="289"/>
      <c r="R88" s="289"/>
      <c r="S88" s="289"/>
      <c r="T88" s="289"/>
      <c r="U88" s="289"/>
      <c r="V88" s="289"/>
      <c r="W88" s="289"/>
      <c r="X88" s="289"/>
      <c r="Y88" s="289"/>
      <c r="Z88" s="289"/>
      <c r="AA88" s="289"/>
      <c r="AB88" s="289"/>
      <c r="AC88" s="289"/>
      <c r="AD88" s="289"/>
      <c r="AE88" s="289"/>
      <c r="AF88" s="289"/>
      <c r="AG88" s="289"/>
      <c r="AH88" s="289"/>
      <c r="AI88" s="289"/>
      <c r="AJ88" s="289"/>
      <c r="AK88" s="289"/>
      <c r="AL88" s="289"/>
      <c r="AM88" s="289"/>
      <c r="AN88" s="289"/>
      <c r="AO88" s="289"/>
      <c r="AP88" s="289"/>
      <c r="AQ88" s="289"/>
      <c r="AR88" s="289"/>
    </row>
    <row r="89" spans="1:44" x14ac:dyDescent="0.2">
      <c r="A89" s="289"/>
      <c r="B89" s="289"/>
      <c r="C89" s="289"/>
      <c r="D89" s="289"/>
      <c r="E89" s="289"/>
      <c r="F89" s="289"/>
      <c r="G89" s="289"/>
      <c r="H89" s="289"/>
      <c r="I89" s="289"/>
      <c r="J89" s="289"/>
      <c r="K89" s="289"/>
      <c r="L89" s="289"/>
      <c r="M89" s="289"/>
      <c r="N89" s="289"/>
      <c r="O89" s="289"/>
      <c r="P89" s="289"/>
      <c r="Q89" s="289"/>
      <c r="R89" s="289"/>
      <c r="S89" s="289"/>
      <c r="T89" s="289"/>
      <c r="U89" s="289"/>
      <c r="V89" s="289"/>
      <c r="W89" s="289"/>
      <c r="X89" s="289"/>
      <c r="Y89" s="289"/>
      <c r="Z89" s="289"/>
      <c r="AA89" s="289"/>
      <c r="AB89" s="289"/>
      <c r="AC89" s="289"/>
      <c r="AD89" s="289"/>
      <c r="AE89" s="289"/>
      <c r="AF89" s="289"/>
      <c r="AG89" s="289"/>
      <c r="AH89" s="289"/>
      <c r="AI89" s="289"/>
      <c r="AJ89" s="289"/>
      <c r="AK89" s="289"/>
      <c r="AL89" s="289"/>
      <c r="AM89" s="289"/>
      <c r="AN89" s="289"/>
      <c r="AO89" s="289"/>
      <c r="AP89" s="289"/>
      <c r="AQ89" s="289"/>
      <c r="AR89" s="289"/>
    </row>
    <row r="90" spans="1:44" x14ac:dyDescent="0.2">
      <c r="A90" s="289"/>
      <c r="B90" s="289"/>
      <c r="C90" s="289"/>
      <c r="D90" s="289"/>
      <c r="E90" s="289"/>
      <c r="F90" s="289"/>
      <c r="G90" s="289"/>
      <c r="H90" s="289"/>
      <c r="I90" s="289"/>
      <c r="J90" s="289"/>
      <c r="K90" s="289"/>
      <c r="L90" s="289"/>
      <c r="M90" s="289"/>
      <c r="N90" s="289"/>
      <c r="O90" s="289"/>
      <c r="P90" s="289"/>
      <c r="Q90" s="289"/>
      <c r="R90" s="289"/>
      <c r="S90" s="289"/>
      <c r="T90" s="289"/>
      <c r="U90" s="289"/>
      <c r="V90" s="289"/>
      <c r="W90" s="289"/>
      <c r="X90" s="289"/>
      <c r="Y90" s="289"/>
      <c r="Z90" s="289"/>
      <c r="AA90" s="289"/>
      <c r="AB90" s="289"/>
      <c r="AC90" s="289"/>
      <c r="AD90" s="289"/>
      <c r="AE90" s="289"/>
      <c r="AF90" s="289"/>
      <c r="AG90" s="289"/>
      <c r="AH90" s="289"/>
      <c r="AI90" s="289"/>
      <c r="AJ90" s="289"/>
      <c r="AK90" s="289"/>
      <c r="AL90" s="289"/>
      <c r="AM90" s="289"/>
      <c r="AN90" s="289"/>
      <c r="AO90" s="289"/>
      <c r="AP90" s="289"/>
      <c r="AQ90" s="289"/>
      <c r="AR90" s="289"/>
    </row>
    <row r="91" spans="1:44" x14ac:dyDescent="0.2">
      <c r="A91" s="289"/>
      <c r="B91" s="289"/>
      <c r="C91" s="289"/>
      <c r="D91" s="289"/>
      <c r="E91" s="289"/>
      <c r="F91" s="289"/>
      <c r="G91" s="289"/>
      <c r="H91" s="289"/>
      <c r="I91" s="289"/>
      <c r="J91" s="289"/>
      <c r="K91" s="289"/>
      <c r="L91" s="289"/>
      <c r="M91" s="289"/>
      <c r="N91" s="289"/>
      <c r="O91" s="289"/>
      <c r="P91" s="289"/>
      <c r="Q91" s="289"/>
      <c r="R91" s="289"/>
      <c r="S91" s="289"/>
      <c r="T91" s="289"/>
      <c r="U91" s="289"/>
      <c r="V91" s="289"/>
      <c r="W91" s="289"/>
      <c r="X91" s="289"/>
      <c r="Y91" s="289"/>
      <c r="Z91" s="289"/>
      <c r="AA91" s="289"/>
      <c r="AB91" s="289"/>
      <c r="AC91" s="289"/>
      <c r="AD91" s="289"/>
      <c r="AE91" s="289"/>
      <c r="AF91" s="289"/>
      <c r="AG91" s="289"/>
      <c r="AH91" s="289"/>
      <c r="AI91" s="289"/>
      <c r="AJ91" s="289"/>
      <c r="AK91" s="289"/>
      <c r="AL91" s="289"/>
      <c r="AM91" s="289"/>
      <c r="AN91" s="289"/>
      <c r="AO91" s="289"/>
      <c r="AP91" s="289"/>
      <c r="AQ91" s="289"/>
      <c r="AR91" s="289"/>
    </row>
    <row r="92" spans="1:44" x14ac:dyDescent="0.2">
      <c r="A92" s="289"/>
      <c r="B92" s="289"/>
      <c r="C92" s="289"/>
      <c r="D92" s="289"/>
      <c r="E92" s="289"/>
      <c r="F92" s="289"/>
      <c r="G92" s="289"/>
      <c r="H92" s="289"/>
      <c r="I92" s="289"/>
      <c r="J92" s="289"/>
      <c r="K92" s="289"/>
      <c r="L92" s="289"/>
      <c r="M92" s="289"/>
      <c r="N92" s="289"/>
      <c r="O92" s="289"/>
      <c r="P92" s="289"/>
      <c r="Q92" s="289"/>
      <c r="R92" s="289"/>
      <c r="S92" s="289"/>
      <c r="T92" s="289"/>
      <c r="U92" s="289"/>
      <c r="V92" s="289"/>
      <c r="W92" s="289"/>
      <c r="X92" s="289"/>
      <c r="Y92" s="289"/>
      <c r="Z92" s="289"/>
      <c r="AA92" s="289"/>
      <c r="AB92" s="289"/>
      <c r="AC92" s="289"/>
      <c r="AD92" s="289"/>
      <c r="AE92" s="289"/>
      <c r="AF92" s="289"/>
      <c r="AG92" s="289"/>
      <c r="AH92" s="289"/>
      <c r="AI92" s="289"/>
      <c r="AJ92" s="289"/>
      <c r="AK92" s="289"/>
      <c r="AL92" s="289"/>
      <c r="AM92" s="289"/>
      <c r="AN92" s="289"/>
      <c r="AO92" s="289"/>
      <c r="AP92" s="289"/>
      <c r="AQ92" s="289"/>
      <c r="AR92" s="289"/>
    </row>
    <row r="93" spans="1:44" x14ac:dyDescent="0.2">
      <c r="A93" s="289"/>
      <c r="B93" s="289"/>
      <c r="C93" s="289"/>
      <c r="D93" s="289"/>
      <c r="E93" s="289"/>
      <c r="F93" s="289"/>
      <c r="G93" s="289"/>
      <c r="H93" s="289"/>
      <c r="I93" s="289"/>
      <c r="J93" s="289"/>
      <c r="K93" s="289"/>
      <c r="L93" s="289"/>
      <c r="M93" s="289"/>
      <c r="N93" s="289"/>
      <c r="O93" s="289"/>
      <c r="P93" s="289"/>
      <c r="Q93" s="289"/>
      <c r="R93" s="289"/>
      <c r="S93" s="289"/>
      <c r="T93" s="289"/>
      <c r="U93" s="289"/>
      <c r="V93" s="289"/>
      <c r="W93" s="289"/>
      <c r="X93" s="289"/>
      <c r="Y93" s="289"/>
      <c r="Z93" s="289"/>
      <c r="AA93" s="289"/>
      <c r="AB93" s="289"/>
      <c r="AC93" s="289"/>
      <c r="AD93" s="289"/>
      <c r="AE93" s="289"/>
      <c r="AF93" s="289"/>
      <c r="AG93" s="289"/>
      <c r="AH93" s="289"/>
      <c r="AI93" s="289"/>
      <c r="AJ93" s="289"/>
      <c r="AK93" s="289"/>
      <c r="AL93" s="289"/>
      <c r="AM93" s="289"/>
      <c r="AN93" s="289"/>
      <c r="AO93" s="289"/>
      <c r="AP93" s="289"/>
      <c r="AQ93" s="289"/>
      <c r="AR93" s="289"/>
    </row>
    <row r="94" spans="1:44" x14ac:dyDescent="0.2">
      <c r="A94" s="289"/>
      <c r="B94" s="289"/>
      <c r="C94" s="289"/>
      <c r="D94" s="289"/>
      <c r="E94" s="289"/>
      <c r="F94" s="289"/>
      <c r="G94" s="289"/>
      <c r="H94" s="289"/>
      <c r="I94" s="289"/>
      <c r="J94" s="289"/>
      <c r="K94" s="289"/>
      <c r="L94" s="289"/>
      <c r="M94" s="289"/>
      <c r="N94" s="289"/>
      <c r="O94" s="289"/>
      <c r="P94" s="289"/>
      <c r="Q94" s="289"/>
      <c r="R94" s="289"/>
      <c r="S94" s="289"/>
      <c r="T94" s="289"/>
      <c r="U94" s="289"/>
      <c r="V94" s="289"/>
      <c r="W94" s="289"/>
      <c r="X94" s="289"/>
      <c r="Y94" s="289"/>
      <c r="Z94" s="289"/>
      <c r="AA94" s="289"/>
      <c r="AB94" s="289"/>
      <c r="AC94" s="289"/>
      <c r="AD94" s="289"/>
      <c r="AE94" s="289"/>
      <c r="AF94" s="289"/>
      <c r="AG94" s="289"/>
      <c r="AH94" s="289"/>
      <c r="AI94" s="289"/>
      <c r="AJ94" s="289"/>
      <c r="AK94" s="289"/>
      <c r="AL94" s="289"/>
      <c r="AM94" s="289"/>
      <c r="AN94" s="289"/>
      <c r="AO94" s="289"/>
      <c r="AP94" s="289"/>
      <c r="AQ94" s="289"/>
      <c r="AR94" s="289"/>
    </row>
    <row r="95" spans="1:44" x14ac:dyDescent="0.2">
      <c r="A95" s="289"/>
      <c r="B95" s="289"/>
      <c r="C95" s="289"/>
      <c r="D95" s="289"/>
      <c r="E95" s="289"/>
      <c r="F95" s="289"/>
      <c r="G95" s="289"/>
      <c r="H95" s="289"/>
      <c r="I95" s="289"/>
      <c r="J95" s="289"/>
      <c r="K95" s="289"/>
      <c r="L95" s="289"/>
      <c r="M95" s="289"/>
      <c r="N95" s="289"/>
      <c r="O95" s="289"/>
      <c r="P95" s="289"/>
      <c r="Q95" s="289"/>
      <c r="R95" s="289"/>
      <c r="S95" s="289"/>
      <c r="T95" s="289"/>
      <c r="U95" s="289"/>
      <c r="V95" s="289"/>
      <c r="W95" s="289"/>
      <c r="X95" s="289"/>
      <c r="Y95" s="289"/>
      <c r="Z95" s="289"/>
      <c r="AA95" s="289"/>
      <c r="AB95" s="289"/>
      <c r="AC95" s="289"/>
      <c r="AD95" s="289"/>
      <c r="AE95" s="289"/>
      <c r="AF95" s="289"/>
      <c r="AG95" s="289"/>
      <c r="AH95" s="289"/>
      <c r="AI95" s="289"/>
      <c r="AJ95" s="289"/>
      <c r="AK95" s="289"/>
      <c r="AL95" s="289"/>
      <c r="AM95" s="289"/>
      <c r="AN95" s="289"/>
      <c r="AO95" s="289"/>
      <c r="AP95" s="289"/>
      <c r="AQ95" s="289"/>
      <c r="AR95" s="289"/>
    </row>
    <row r="96" spans="1:44" x14ac:dyDescent="0.2">
      <c r="A96" s="289"/>
      <c r="B96" s="289"/>
      <c r="C96" s="289"/>
      <c r="D96" s="289"/>
      <c r="E96" s="289"/>
      <c r="F96" s="289"/>
      <c r="G96" s="289"/>
      <c r="H96" s="289"/>
      <c r="I96" s="289"/>
      <c r="J96" s="289"/>
      <c r="K96" s="289"/>
      <c r="L96" s="289"/>
      <c r="M96" s="289"/>
      <c r="N96" s="289"/>
      <c r="O96" s="289"/>
      <c r="P96" s="289"/>
      <c r="Q96" s="289"/>
      <c r="R96" s="289"/>
      <c r="S96" s="289"/>
      <c r="T96" s="289"/>
      <c r="U96" s="289"/>
      <c r="V96" s="289"/>
      <c r="W96" s="289"/>
      <c r="X96" s="289"/>
      <c r="Y96" s="289"/>
      <c r="Z96" s="289"/>
      <c r="AA96" s="289"/>
      <c r="AB96" s="289"/>
      <c r="AC96" s="289"/>
      <c r="AD96" s="289"/>
      <c r="AE96" s="289"/>
      <c r="AF96" s="289"/>
      <c r="AG96" s="289"/>
      <c r="AH96" s="289"/>
      <c r="AI96" s="289"/>
      <c r="AJ96" s="289"/>
      <c r="AK96" s="289"/>
      <c r="AL96" s="289"/>
      <c r="AM96" s="289"/>
      <c r="AN96" s="289"/>
      <c r="AO96" s="289"/>
      <c r="AP96" s="289"/>
      <c r="AQ96" s="289"/>
      <c r="AR96" s="289"/>
    </row>
    <row r="97" spans="1:44" x14ac:dyDescent="0.2">
      <c r="A97" s="289"/>
      <c r="B97" s="289"/>
      <c r="C97" s="289"/>
      <c r="D97" s="289"/>
      <c r="E97" s="289"/>
      <c r="F97" s="289"/>
      <c r="G97" s="289"/>
      <c r="H97" s="289"/>
      <c r="I97" s="289"/>
      <c r="J97" s="289"/>
      <c r="K97" s="289"/>
      <c r="L97" s="289"/>
      <c r="M97" s="289"/>
      <c r="N97" s="289"/>
      <c r="O97" s="289"/>
      <c r="P97" s="289"/>
      <c r="Q97" s="289"/>
      <c r="R97" s="289"/>
      <c r="S97" s="289"/>
      <c r="T97" s="289"/>
      <c r="U97" s="289"/>
      <c r="V97" s="289"/>
      <c r="W97" s="289"/>
      <c r="X97" s="289"/>
      <c r="Y97" s="289"/>
      <c r="Z97" s="289"/>
      <c r="AA97" s="289"/>
      <c r="AB97" s="289"/>
      <c r="AC97" s="289"/>
      <c r="AD97" s="289"/>
      <c r="AE97" s="289"/>
      <c r="AF97" s="289"/>
      <c r="AG97" s="289"/>
      <c r="AH97" s="289"/>
      <c r="AI97" s="289"/>
      <c r="AJ97" s="289"/>
      <c r="AK97" s="289"/>
      <c r="AL97" s="289"/>
      <c r="AM97" s="289"/>
      <c r="AN97" s="289"/>
      <c r="AO97" s="289"/>
      <c r="AP97" s="289"/>
      <c r="AQ97" s="289"/>
      <c r="AR97" s="289"/>
    </row>
    <row r="98" spans="1:44" x14ac:dyDescent="0.2">
      <c r="A98" s="289"/>
      <c r="B98" s="289"/>
      <c r="C98" s="289"/>
      <c r="D98" s="289"/>
      <c r="E98" s="289"/>
      <c r="F98" s="289"/>
      <c r="G98" s="289"/>
      <c r="H98" s="289"/>
      <c r="I98" s="289"/>
      <c r="J98" s="289"/>
      <c r="K98" s="289"/>
      <c r="L98" s="289"/>
      <c r="M98" s="289"/>
      <c r="N98" s="289"/>
      <c r="O98" s="289"/>
      <c r="P98" s="289"/>
      <c r="Q98" s="289"/>
      <c r="R98" s="289"/>
      <c r="S98" s="289"/>
      <c r="T98" s="289"/>
      <c r="U98" s="289"/>
      <c r="V98" s="289"/>
      <c r="W98" s="289"/>
      <c r="X98" s="289"/>
      <c r="Y98" s="289"/>
      <c r="Z98" s="289"/>
      <c r="AA98" s="289"/>
      <c r="AB98" s="289"/>
      <c r="AC98" s="289"/>
      <c r="AD98" s="289"/>
      <c r="AE98" s="289"/>
      <c r="AF98" s="289"/>
      <c r="AG98" s="289"/>
      <c r="AH98" s="289"/>
      <c r="AI98" s="289"/>
      <c r="AJ98" s="289"/>
      <c r="AK98" s="289"/>
      <c r="AL98" s="289"/>
      <c r="AM98" s="289"/>
      <c r="AN98" s="289"/>
      <c r="AO98" s="289"/>
      <c r="AP98" s="289"/>
      <c r="AQ98" s="289"/>
      <c r="AR98" s="289"/>
    </row>
    <row r="99" spans="1:44" x14ac:dyDescent="0.2">
      <c r="A99" s="289"/>
      <c r="B99" s="289"/>
      <c r="C99" s="289"/>
      <c r="D99" s="289"/>
      <c r="E99" s="289"/>
      <c r="F99" s="289"/>
      <c r="G99" s="289"/>
      <c r="H99" s="289"/>
      <c r="I99" s="289"/>
      <c r="J99" s="289"/>
      <c r="K99" s="289"/>
      <c r="L99" s="289"/>
      <c r="M99" s="289"/>
      <c r="N99" s="289"/>
      <c r="O99" s="289"/>
      <c r="P99" s="289"/>
      <c r="Q99" s="289"/>
      <c r="R99" s="289"/>
      <c r="S99" s="289"/>
      <c r="T99" s="289"/>
      <c r="U99" s="289"/>
      <c r="V99" s="289"/>
      <c r="W99" s="289"/>
      <c r="X99" s="289"/>
      <c r="Y99" s="289"/>
      <c r="Z99" s="289"/>
      <c r="AA99" s="289"/>
      <c r="AB99" s="289"/>
      <c r="AC99" s="289"/>
      <c r="AD99" s="289"/>
      <c r="AE99" s="289"/>
      <c r="AF99" s="289"/>
      <c r="AG99" s="289"/>
      <c r="AH99" s="289"/>
      <c r="AI99" s="289"/>
      <c r="AJ99" s="289"/>
      <c r="AK99" s="289"/>
      <c r="AL99" s="289"/>
      <c r="AM99" s="289"/>
      <c r="AN99" s="289"/>
      <c r="AO99" s="289"/>
      <c r="AP99" s="289"/>
      <c r="AQ99" s="289"/>
      <c r="AR99" s="289"/>
    </row>
    <row r="100" spans="1:44" x14ac:dyDescent="0.2">
      <c r="A100" s="289"/>
      <c r="B100" s="289"/>
      <c r="C100" s="289"/>
      <c r="D100" s="289"/>
      <c r="E100" s="289"/>
      <c r="F100" s="289"/>
      <c r="G100" s="289"/>
      <c r="H100" s="289"/>
      <c r="I100" s="289"/>
      <c r="J100" s="289"/>
      <c r="K100" s="289"/>
      <c r="L100" s="289"/>
      <c r="M100" s="289"/>
      <c r="N100" s="289"/>
      <c r="O100" s="289"/>
      <c r="P100" s="289"/>
      <c r="Q100" s="289"/>
      <c r="R100" s="289"/>
      <c r="S100" s="289"/>
      <c r="T100" s="289"/>
      <c r="U100" s="289"/>
      <c r="V100" s="289"/>
      <c r="W100" s="289"/>
      <c r="X100" s="289"/>
      <c r="Y100" s="289"/>
      <c r="Z100" s="289"/>
      <c r="AA100" s="289"/>
      <c r="AB100" s="289"/>
      <c r="AC100" s="289"/>
      <c r="AD100" s="289"/>
      <c r="AE100" s="289"/>
      <c r="AF100" s="289"/>
      <c r="AG100" s="289"/>
      <c r="AH100" s="289"/>
      <c r="AI100" s="289"/>
      <c r="AJ100" s="289"/>
      <c r="AK100" s="289"/>
      <c r="AL100" s="289"/>
      <c r="AM100" s="289"/>
      <c r="AN100" s="289"/>
      <c r="AO100" s="289"/>
      <c r="AP100" s="289"/>
      <c r="AQ100" s="289"/>
      <c r="AR100" s="289"/>
    </row>
    <row r="101" spans="1:44" x14ac:dyDescent="0.2">
      <c r="A101" s="289"/>
      <c r="B101" s="289"/>
      <c r="C101" s="289"/>
      <c r="D101" s="289"/>
      <c r="E101" s="289"/>
      <c r="F101" s="289"/>
      <c r="G101" s="289"/>
      <c r="H101" s="289"/>
      <c r="I101" s="289"/>
      <c r="J101" s="289"/>
      <c r="K101" s="289"/>
      <c r="L101" s="289"/>
      <c r="M101" s="289"/>
      <c r="N101" s="289"/>
      <c r="O101" s="289"/>
      <c r="P101" s="289"/>
      <c r="Q101" s="289"/>
      <c r="R101" s="289"/>
      <c r="S101" s="289"/>
      <c r="T101" s="289"/>
      <c r="U101" s="289"/>
      <c r="V101" s="289"/>
      <c r="W101" s="289"/>
      <c r="X101" s="289"/>
      <c r="Y101" s="289"/>
      <c r="Z101" s="289"/>
      <c r="AA101" s="289"/>
      <c r="AB101" s="289"/>
      <c r="AC101" s="289"/>
      <c r="AD101" s="289"/>
      <c r="AE101" s="289"/>
      <c r="AF101" s="289"/>
      <c r="AG101" s="289"/>
      <c r="AH101" s="289"/>
      <c r="AI101" s="289"/>
      <c r="AJ101" s="289"/>
      <c r="AK101" s="289"/>
      <c r="AL101" s="289"/>
      <c r="AM101" s="289"/>
      <c r="AN101" s="289"/>
      <c r="AO101" s="289"/>
      <c r="AP101" s="289"/>
      <c r="AQ101" s="289"/>
      <c r="AR101" s="289"/>
    </row>
    <row r="102" spans="1:44" x14ac:dyDescent="0.2">
      <c r="A102" s="289"/>
      <c r="B102" s="289"/>
      <c r="C102" s="289"/>
      <c r="D102" s="289"/>
      <c r="E102" s="289"/>
      <c r="F102" s="289"/>
      <c r="G102" s="289"/>
      <c r="H102" s="289"/>
      <c r="I102" s="289"/>
      <c r="J102" s="289"/>
      <c r="K102" s="289"/>
      <c r="L102" s="289"/>
      <c r="M102" s="289"/>
      <c r="N102" s="289"/>
      <c r="O102" s="289"/>
      <c r="P102" s="289"/>
      <c r="Q102" s="289"/>
      <c r="R102" s="289"/>
      <c r="S102" s="289"/>
      <c r="T102" s="289"/>
      <c r="U102" s="289"/>
      <c r="V102" s="289"/>
      <c r="W102" s="289"/>
      <c r="X102" s="289"/>
      <c r="Y102" s="289"/>
      <c r="Z102" s="289"/>
      <c r="AA102" s="289"/>
      <c r="AB102" s="289"/>
      <c r="AC102" s="289"/>
      <c r="AD102" s="289"/>
      <c r="AE102" s="289"/>
      <c r="AF102" s="289"/>
      <c r="AG102" s="289"/>
      <c r="AH102" s="289"/>
      <c r="AI102" s="289"/>
      <c r="AJ102" s="289"/>
      <c r="AK102" s="289"/>
      <c r="AL102" s="289"/>
      <c r="AM102" s="289"/>
      <c r="AN102" s="289"/>
      <c r="AO102" s="289"/>
      <c r="AP102" s="289"/>
      <c r="AQ102" s="289"/>
      <c r="AR102" s="289"/>
    </row>
    <row r="103" spans="1:44" x14ac:dyDescent="0.2">
      <c r="A103" s="289"/>
      <c r="B103" s="289"/>
      <c r="C103" s="289"/>
      <c r="D103" s="289"/>
      <c r="E103" s="289"/>
      <c r="F103" s="289"/>
      <c r="G103" s="289"/>
      <c r="H103" s="289"/>
      <c r="I103" s="289"/>
      <c r="J103" s="289"/>
      <c r="K103" s="289"/>
      <c r="L103" s="289"/>
      <c r="M103" s="289"/>
      <c r="N103" s="289"/>
      <c r="O103" s="289"/>
      <c r="P103" s="289"/>
      <c r="Q103" s="289"/>
      <c r="R103" s="289"/>
      <c r="S103" s="289"/>
      <c r="T103" s="289"/>
      <c r="U103" s="289"/>
      <c r="V103" s="289"/>
      <c r="W103" s="289"/>
      <c r="X103" s="289"/>
      <c r="Y103" s="289"/>
      <c r="Z103" s="289"/>
      <c r="AA103" s="289"/>
      <c r="AB103" s="289"/>
      <c r="AC103" s="289"/>
      <c r="AD103" s="289"/>
      <c r="AE103" s="289"/>
      <c r="AF103" s="289"/>
      <c r="AG103" s="289"/>
      <c r="AH103" s="289"/>
      <c r="AI103" s="289"/>
      <c r="AJ103" s="289"/>
      <c r="AK103" s="289"/>
      <c r="AL103" s="289"/>
      <c r="AM103" s="289"/>
      <c r="AN103" s="289"/>
      <c r="AO103" s="289"/>
      <c r="AP103" s="289"/>
      <c r="AQ103" s="289"/>
      <c r="AR103" s="289"/>
    </row>
    <row r="104" spans="1:44" x14ac:dyDescent="0.2">
      <c r="A104" s="289"/>
      <c r="B104" s="289"/>
      <c r="C104" s="289"/>
      <c r="D104" s="289"/>
      <c r="E104" s="289"/>
      <c r="F104" s="289"/>
      <c r="G104" s="289"/>
      <c r="H104" s="289"/>
      <c r="I104" s="289"/>
      <c r="J104" s="289"/>
      <c r="K104" s="289"/>
      <c r="L104" s="289"/>
      <c r="M104" s="289"/>
      <c r="N104" s="289"/>
      <c r="O104" s="289"/>
      <c r="P104" s="289"/>
      <c r="Q104" s="289"/>
      <c r="R104" s="289"/>
      <c r="S104" s="289"/>
      <c r="T104" s="289"/>
      <c r="U104" s="289"/>
      <c r="V104" s="289"/>
      <c r="W104" s="289"/>
      <c r="X104" s="289"/>
      <c r="Y104" s="289"/>
      <c r="Z104" s="289"/>
      <c r="AA104" s="289"/>
      <c r="AB104" s="289"/>
      <c r="AC104" s="289"/>
      <c r="AD104" s="289"/>
      <c r="AE104" s="289"/>
      <c r="AF104" s="289"/>
      <c r="AG104" s="289"/>
      <c r="AH104" s="289"/>
      <c r="AI104" s="289"/>
      <c r="AJ104" s="289"/>
      <c r="AK104" s="289"/>
      <c r="AL104" s="289"/>
      <c r="AM104" s="289"/>
      <c r="AN104" s="289"/>
      <c r="AO104" s="289"/>
      <c r="AP104" s="289"/>
      <c r="AQ104" s="289"/>
      <c r="AR104" s="289"/>
    </row>
    <row r="105" spans="1:44" x14ac:dyDescent="0.2">
      <c r="A105" s="289"/>
      <c r="B105" s="289"/>
      <c r="C105" s="289"/>
      <c r="D105" s="289"/>
      <c r="E105" s="289"/>
      <c r="F105" s="289"/>
      <c r="G105" s="289"/>
      <c r="H105" s="289"/>
      <c r="I105" s="289"/>
      <c r="J105" s="289"/>
      <c r="K105" s="289"/>
      <c r="L105" s="289"/>
      <c r="M105" s="289"/>
      <c r="N105" s="289"/>
      <c r="O105" s="289"/>
      <c r="P105" s="289"/>
      <c r="Q105" s="289"/>
      <c r="R105" s="289"/>
      <c r="S105" s="289"/>
      <c r="T105" s="289"/>
      <c r="U105" s="289"/>
      <c r="V105" s="289"/>
      <c r="W105" s="289"/>
      <c r="X105" s="289"/>
      <c r="Y105" s="289"/>
      <c r="Z105" s="289"/>
      <c r="AA105" s="289"/>
      <c r="AB105" s="289"/>
      <c r="AC105" s="289"/>
      <c r="AD105" s="289"/>
      <c r="AE105" s="289"/>
      <c r="AF105" s="289"/>
      <c r="AG105" s="289"/>
      <c r="AH105" s="289"/>
      <c r="AI105" s="289"/>
      <c r="AJ105" s="289"/>
      <c r="AK105" s="289"/>
      <c r="AL105" s="289"/>
      <c r="AM105" s="289"/>
      <c r="AN105" s="289"/>
      <c r="AO105" s="289"/>
      <c r="AP105" s="289"/>
      <c r="AQ105" s="289"/>
      <c r="AR105" s="289"/>
    </row>
    <row r="106" spans="1:44" x14ac:dyDescent="0.2">
      <c r="A106" s="289"/>
      <c r="B106" s="289"/>
      <c r="C106" s="289"/>
      <c r="D106" s="289"/>
      <c r="E106" s="289"/>
      <c r="F106" s="289"/>
      <c r="G106" s="289"/>
      <c r="H106" s="289"/>
      <c r="I106" s="289"/>
      <c r="J106" s="289"/>
      <c r="K106" s="289"/>
      <c r="L106" s="289"/>
      <c r="M106" s="289"/>
      <c r="N106" s="289"/>
      <c r="O106" s="289"/>
      <c r="P106" s="289"/>
      <c r="Q106" s="289"/>
      <c r="R106" s="289"/>
      <c r="S106" s="289"/>
      <c r="T106" s="289"/>
      <c r="U106" s="289"/>
      <c r="V106" s="289"/>
      <c r="W106" s="289"/>
      <c r="X106" s="289"/>
      <c r="Y106" s="289"/>
      <c r="Z106" s="289"/>
      <c r="AA106" s="289"/>
      <c r="AB106" s="289"/>
      <c r="AC106" s="289"/>
      <c r="AD106" s="289"/>
      <c r="AE106" s="289"/>
      <c r="AF106" s="289"/>
      <c r="AG106" s="289"/>
      <c r="AH106" s="289"/>
      <c r="AI106" s="289"/>
      <c r="AJ106" s="289"/>
      <c r="AK106" s="289"/>
      <c r="AL106" s="289"/>
      <c r="AM106" s="289"/>
      <c r="AN106" s="289"/>
      <c r="AO106" s="289"/>
      <c r="AP106" s="289"/>
      <c r="AQ106" s="289"/>
      <c r="AR106" s="289"/>
    </row>
    <row r="107" spans="1:44" x14ac:dyDescent="0.2">
      <c r="A107" s="289"/>
      <c r="B107" s="289"/>
      <c r="C107" s="289"/>
      <c r="D107" s="289"/>
      <c r="E107" s="289"/>
      <c r="F107" s="289"/>
      <c r="G107" s="289"/>
      <c r="H107" s="289"/>
      <c r="I107" s="289"/>
      <c r="J107" s="289"/>
      <c r="K107" s="289"/>
      <c r="L107" s="289"/>
      <c r="M107" s="289"/>
      <c r="N107" s="289"/>
      <c r="O107" s="289"/>
      <c r="P107" s="289"/>
      <c r="Q107" s="289"/>
      <c r="R107" s="289"/>
      <c r="S107" s="289"/>
      <c r="T107" s="289"/>
      <c r="U107" s="289"/>
      <c r="V107" s="289"/>
      <c r="W107" s="289"/>
      <c r="X107" s="289"/>
      <c r="Y107" s="289"/>
      <c r="Z107" s="289"/>
      <c r="AA107" s="289"/>
      <c r="AB107" s="289"/>
      <c r="AC107" s="289"/>
      <c r="AD107" s="289"/>
      <c r="AE107" s="289"/>
      <c r="AF107" s="289"/>
      <c r="AG107" s="289"/>
      <c r="AH107" s="289"/>
      <c r="AI107" s="289"/>
      <c r="AJ107" s="289"/>
      <c r="AK107" s="289"/>
      <c r="AL107" s="289"/>
      <c r="AM107" s="289"/>
      <c r="AN107" s="289"/>
      <c r="AO107" s="289"/>
      <c r="AP107" s="289"/>
      <c r="AQ107" s="289"/>
      <c r="AR107" s="289"/>
    </row>
    <row r="108" spans="1:44" x14ac:dyDescent="0.2">
      <c r="A108" s="289"/>
      <c r="B108" s="289"/>
      <c r="C108" s="289"/>
      <c r="D108" s="289"/>
      <c r="E108" s="289"/>
      <c r="F108" s="289"/>
      <c r="G108" s="289"/>
      <c r="H108" s="289"/>
      <c r="I108" s="289"/>
      <c r="J108" s="289"/>
      <c r="K108" s="289"/>
      <c r="L108" s="289"/>
      <c r="M108" s="289"/>
      <c r="N108" s="289"/>
      <c r="O108" s="289"/>
      <c r="P108" s="289"/>
      <c r="Q108" s="289"/>
      <c r="R108" s="289"/>
      <c r="S108" s="289"/>
      <c r="T108" s="289"/>
      <c r="U108" s="289"/>
      <c r="V108" s="289"/>
      <c r="W108" s="289"/>
      <c r="X108" s="289"/>
      <c r="Y108" s="289"/>
      <c r="Z108" s="289"/>
      <c r="AA108" s="289"/>
      <c r="AB108" s="289"/>
      <c r="AC108" s="289"/>
      <c r="AD108" s="289"/>
      <c r="AE108" s="289"/>
      <c r="AF108" s="289"/>
      <c r="AG108" s="289"/>
      <c r="AH108" s="289"/>
      <c r="AI108" s="289"/>
      <c r="AJ108" s="289"/>
      <c r="AK108" s="289"/>
      <c r="AL108" s="289"/>
      <c r="AM108" s="289"/>
      <c r="AN108" s="289"/>
      <c r="AO108" s="289"/>
      <c r="AP108" s="289"/>
      <c r="AQ108" s="289"/>
      <c r="AR108" s="289"/>
    </row>
    <row r="109" spans="1:44" x14ac:dyDescent="0.2">
      <c r="A109" s="289"/>
      <c r="B109" s="289"/>
      <c r="C109" s="289"/>
      <c r="D109" s="289"/>
      <c r="E109" s="289"/>
      <c r="F109" s="289"/>
      <c r="G109" s="289"/>
      <c r="H109" s="289"/>
      <c r="I109" s="289"/>
      <c r="J109" s="289"/>
      <c r="K109" s="289"/>
      <c r="L109" s="289"/>
      <c r="M109" s="289"/>
      <c r="N109" s="289"/>
      <c r="O109" s="289"/>
      <c r="P109" s="289"/>
      <c r="Q109" s="289"/>
      <c r="R109" s="289"/>
      <c r="S109" s="289"/>
      <c r="T109" s="289"/>
      <c r="U109" s="289"/>
      <c r="V109" s="289"/>
      <c r="W109" s="289"/>
      <c r="X109" s="289"/>
      <c r="Y109" s="289"/>
      <c r="Z109" s="289"/>
      <c r="AA109" s="289"/>
      <c r="AB109" s="289"/>
      <c r="AC109" s="289"/>
      <c r="AD109" s="289"/>
      <c r="AE109" s="289"/>
      <c r="AF109" s="289"/>
      <c r="AG109" s="289"/>
      <c r="AH109" s="289"/>
      <c r="AI109" s="289"/>
      <c r="AJ109" s="289"/>
      <c r="AK109" s="289"/>
      <c r="AL109" s="289"/>
      <c r="AM109" s="289"/>
      <c r="AN109" s="289"/>
      <c r="AO109" s="289"/>
      <c r="AP109" s="289"/>
      <c r="AQ109" s="289"/>
      <c r="AR109" s="289"/>
    </row>
    <row r="110" spans="1:44" x14ac:dyDescent="0.2">
      <c r="A110" s="289"/>
      <c r="B110" s="289"/>
      <c r="C110" s="289"/>
      <c r="D110" s="289"/>
      <c r="E110" s="289"/>
      <c r="F110" s="289"/>
      <c r="G110" s="289"/>
      <c r="H110" s="289"/>
      <c r="I110" s="289"/>
      <c r="J110" s="289"/>
      <c r="K110" s="289"/>
      <c r="L110" s="289"/>
      <c r="M110" s="289"/>
      <c r="N110" s="289"/>
      <c r="O110" s="289"/>
      <c r="P110" s="289"/>
      <c r="Q110" s="289"/>
      <c r="R110" s="289"/>
      <c r="S110" s="289"/>
      <c r="T110" s="289"/>
      <c r="U110" s="289"/>
      <c r="V110" s="289"/>
      <c r="W110" s="289"/>
      <c r="X110" s="289"/>
      <c r="Y110" s="289"/>
      <c r="Z110" s="289"/>
      <c r="AA110" s="289"/>
      <c r="AB110" s="289"/>
      <c r="AC110" s="289"/>
      <c r="AD110" s="289"/>
      <c r="AE110" s="289"/>
      <c r="AF110" s="289"/>
      <c r="AG110" s="289"/>
      <c r="AH110" s="289"/>
      <c r="AI110" s="289"/>
      <c r="AJ110" s="289"/>
      <c r="AK110" s="289"/>
      <c r="AL110" s="289"/>
      <c r="AM110" s="289"/>
      <c r="AN110" s="289"/>
      <c r="AO110" s="289"/>
      <c r="AP110" s="289"/>
      <c r="AQ110" s="289"/>
      <c r="AR110" s="289"/>
    </row>
    <row r="111" spans="1:44" x14ac:dyDescent="0.2">
      <c r="A111" s="289"/>
      <c r="B111" s="289"/>
      <c r="C111" s="289"/>
      <c r="D111" s="289"/>
      <c r="E111" s="289"/>
      <c r="F111" s="289"/>
      <c r="G111" s="289"/>
      <c r="H111" s="289"/>
      <c r="I111" s="289"/>
      <c r="J111" s="289"/>
      <c r="K111" s="289"/>
      <c r="L111" s="289"/>
      <c r="M111" s="289"/>
      <c r="N111" s="289"/>
      <c r="O111" s="289"/>
      <c r="P111" s="289"/>
      <c r="Q111" s="289"/>
      <c r="R111" s="289"/>
      <c r="S111" s="289"/>
      <c r="T111" s="289"/>
      <c r="U111" s="289"/>
      <c r="V111" s="289"/>
      <c r="W111" s="289"/>
      <c r="X111" s="289"/>
      <c r="Y111" s="289"/>
      <c r="Z111" s="289"/>
      <c r="AA111" s="289"/>
      <c r="AB111" s="289"/>
      <c r="AC111" s="289"/>
      <c r="AD111" s="289"/>
      <c r="AE111" s="289"/>
      <c r="AF111" s="289"/>
      <c r="AG111" s="289"/>
      <c r="AH111" s="289"/>
      <c r="AI111" s="289"/>
      <c r="AJ111" s="289"/>
      <c r="AK111" s="289"/>
      <c r="AL111" s="289"/>
      <c r="AM111" s="289"/>
      <c r="AN111" s="289"/>
      <c r="AO111" s="289"/>
      <c r="AP111" s="289"/>
      <c r="AQ111" s="289"/>
      <c r="AR111" s="289"/>
    </row>
    <row r="112" spans="1:44" x14ac:dyDescent="0.2">
      <c r="A112" s="289"/>
      <c r="B112" s="289"/>
      <c r="C112" s="289"/>
      <c r="D112" s="289"/>
      <c r="E112" s="289"/>
      <c r="F112" s="289"/>
      <c r="G112" s="289"/>
      <c r="H112" s="289"/>
      <c r="I112" s="289"/>
      <c r="J112" s="289"/>
      <c r="K112" s="289"/>
      <c r="L112" s="289"/>
      <c r="M112" s="289"/>
      <c r="N112" s="289"/>
      <c r="O112" s="289"/>
      <c r="P112" s="289"/>
      <c r="Q112" s="289"/>
      <c r="R112" s="289"/>
      <c r="S112" s="289"/>
      <c r="T112" s="289"/>
      <c r="U112" s="289"/>
      <c r="V112" s="289"/>
      <c r="W112" s="289"/>
      <c r="X112" s="289"/>
      <c r="Y112" s="289"/>
      <c r="Z112" s="289"/>
      <c r="AA112" s="289"/>
      <c r="AB112" s="289"/>
      <c r="AC112" s="289"/>
      <c r="AD112" s="289"/>
      <c r="AE112" s="289"/>
      <c r="AF112" s="289"/>
      <c r="AG112" s="289"/>
      <c r="AH112" s="289"/>
      <c r="AI112" s="289"/>
      <c r="AJ112" s="289"/>
      <c r="AK112" s="289"/>
      <c r="AL112" s="289"/>
      <c r="AM112" s="289"/>
      <c r="AN112" s="289"/>
      <c r="AO112" s="289"/>
      <c r="AP112" s="289"/>
      <c r="AQ112" s="289"/>
      <c r="AR112" s="289"/>
    </row>
    <row r="113" spans="1:44" x14ac:dyDescent="0.2">
      <c r="A113" s="289"/>
      <c r="B113" s="289"/>
      <c r="C113" s="289"/>
      <c r="D113" s="289"/>
      <c r="E113" s="289"/>
      <c r="F113" s="289"/>
      <c r="G113" s="289"/>
      <c r="H113" s="289"/>
      <c r="I113" s="289"/>
      <c r="J113" s="289"/>
      <c r="K113" s="289"/>
      <c r="L113" s="289"/>
      <c r="M113" s="289"/>
      <c r="N113" s="289"/>
      <c r="O113" s="289"/>
      <c r="P113" s="289"/>
      <c r="Q113" s="289"/>
      <c r="R113" s="289"/>
      <c r="S113" s="289"/>
      <c r="T113" s="289"/>
      <c r="U113" s="289"/>
      <c r="V113" s="289"/>
      <c r="W113" s="289"/>
      <c r="X113" s="289"/>
      <c r="Y113" s="289"/>
      <c r="Z113" s="289"/>
      <c r="AA113" s="289"/>
      <c r="AB113" s="289"/>
      <c r="AC113" s="289"/>
      <c r="AD113" s="289"/>
      <c r="AE113" s="289"/>
      <c r="AF113" s="289"/>
      <c r="AG113" s="289"/>
      <c r="AH113" s="289"/>
      <c r="AI113" s="289"/>
      <c r="AJ113" s="289"/>
      <c r="AK113" s="289"/>
      <c r="AL113" s="289"/>
      <c r="AM113" s="289"/>
      <c r="AN113" s="289"/>
      <c r="AO113" s="289"/>
      <c r="AP113" s="289"/>
      <c r="AQ113" s="289"/>
      <c r="AR113" s="289"/>
    </row>
    <row r="114" spans="1:44" x14ac:dyDescent="0.2">
      <c r="A114" s="289"/>
      <c r="B114" s="289"/>
      <c r="C114" s="289"/>
      <c r="D114" s="289"/>
      <c r="E114" s="289"/>
      <c r="F114" s="289"/>
      <c r="G114" s="289"/>
      <c r="H114" s="289"/>
      <c r="I114" s="289"/>
      <c r="J114" s="289"/>
      <c r="K114" s="289"/>
      <c r="L114" s="289"/>
      <c r="M114" s="289"/>
      <c r="N114" s="289"/>
      <c r="O114" s="289"/>
      <c r="P114" s="289"/>
      <c r="Q114" s="289"/>
      <c r="R114" s="289"/>
      <c r="S114" s="289"/>
      <c r="T114" s="289"/>
      <c r="U114" s="289"/>
      <c r="V114" s="289"/>
      <c r="W114" s="289"/>
      <c r="X114" s="289"/>
      <c r="Y114" s="289"/>
      <c r="Z114" s="289"/>
      <c r="AA114" s="289"/>
      <c r="AB114" s="289"/>
      <c r="AC114" s="289"/>
      <c r="AD114" s="289"/>
      <c r="AE114" s="289"/>
      <c r="AF114" s="289"/>
      <c r="AG114" s="289"/>
      <c r="AH114" s="289"/>
      <c r="AI114" s="289"/>
      <c r="AJ114" s="289"/>
      <c r="AK114" s="289"/>
      <c r="AL114" s="289"/>
      <c r="AM114" s="289"/>
      <c r="AN114" s="289"/>
      <c r="AO114" s="289"/>
      <c r="AP114" s="289"/>
      <c r="AQ114" s="289"/>
      <c r="AR114" s="289"/>
    </row>
    <row r="115" spans="1:44" x14ac:dyDescent="0.2">
      <c r="A115" s="289"/>
      <c r="B115" s="289"/>
      <c r="C115" s="289"/>
      <c r="D115" s="289"/>
      <c r="E115" s="289"/>
      <c r="F115" s="289"/>
      <c r="G115" s="289"/>
      <c r="H115" s="289"/>
      <c r="I115" s="289"/>
      <c r="J115" s="289"/>
      <c r="K115" s="289"/>
      <c r="L115" s="289"/>
      <c r="M115" s="289"/>
      <c r="N115" s="289"/>
      <c r="O115" s="289"/>
      <c r="P115" s="289"/>
      <c r="Q115" s="289"/>
      <c r="R115" s="289"/>
      <c r="S115" s="289"/>
      <c r="T115" s="289"/>
      <c r="U115" s="289"/>
      <c r="V115" s="289"/>
      <c r="W115" s="289"/>
      <c r="X115" s="289"/>
      <c r="Y115" s="289"/>
      <c r="Z115" s="289"/>
      <c r="AA115" s="289"/>
      <c r="AB115" s="289"/>
      <c r="AC115" s="289"/>
      <c r="AD115" s="289"/>
      <c r="AE115" s="289"/>
      <c r="AF115" s="289"/>
      <c r="AG115" s="289"/>
      <c r="AH115" s="289"/>
      <c r="AI115" s="289"/>
      <c r="AJ115" s="289"/>
      <c r="AK115" s="289"/>
      <c r="AL115" s="289"/>
      <c r="AM115" s="289"/>
      <c r="AN115" s="289"/>
      <c r="AO115" s="289"/>
      <c r="AP115" s="289"/>
      <c r="AQ115" s="289"/>
      <c r="AR115" s="289"/>
    </row>
    <row r="116" spans="1:44" x14ac:dyDescent="0.2">
      <c r="A116" s="289"/>
      <c r="B116" s="289"/>
      <c r="C116" s="289"/>
      <c r="D116" s="289"/>
      <c r="E116" s="289"/>
      <c r="F116" s="289"/>
      <c r="G116" s="289"/>
      <c r="H116" s="289"/>
      <c r="I116" s="289"/>
      <c r="J116" s="289"/>
      <c r="K116" s="289"/>
      <c r="L116" s="289"/>
      <c r="M116" s="289"/>
      <c r="N116" s="289"/>
      <c r="O116" s="289"/>
      <c r="P116" s="289"/>
      <c r="Q116" s="289"/>
      <c r="R116" s="289"/>
      <c r="S116" s="289"/>
      <c r="T116" s="289"/>
      <c r="U116" s="289"/>
      <c r="V116" s="289"/>
      <c r="W116" s="289"/>
      <c r="X116" s="289"/>
      <c r="Y116" s="289"/>
      <c r="Z116" s="289"/>
      <c r="AA116" s="289"/>
      <c r="AB116" s="289"/>
      <c r="AC116" s="289"/>
      <c r="AD116" s="289"/>
      <c r="AE116" s="289"/>
      <c r="AF116" s="289"/>
      <c r="AG116" s="289"/>
      <c r="AH116" s="289"/>
      <c r="AI116" s="289"/>
      <c r="AJ116" s="289"/>
      <c r="AK116" s="289"/>
      <c r="AL116" s="289"/>
      <c r="AM116" s="289"/>
      <c r="AN116" s="289"/>
      <c r="AO116" s="289"/>
      <c r="AP116" s="289"/>
      <c r="AQ116" s="289"/>
      <c r="AR116" s="289"/>
    </row>
    <row r="117" spans="1:44" x14ac:dyDescent="0.2">
      <c r="A117" s="289"/>
      <c r="B117" s="289"/>
      <c r="C117" s="289"/>
      <c r="D117" s="289"/>
      <c r="E117" s="289"/>
      <c r="F117" s="289"/>
      <c r="G117" s="289"/>
      <c r="H117" s="289"/>
      <c r="I117" s="289"/>
      <c r="J117" s="289"/>
      <c r="K117" s="289"/>
      <c r="L117" s="289"/>
      <c r="M117" s="289"/>
      <c r="N117" s="289"/>
      <c r="O117" s="289"/>
      <c r="P117" s="289"/>
      <c r="Q117" s="289"/>
      <c r="R117" s="289"/>
      <c r="S117" s="289"/>
      <c r="T117" s="289"/>
      <c r="U117" s="289"/>
      <c r="V117" s="289"/>
      <c r="W117" s="289"/>
      <c r="X117" s="289"/>
      <c r="Y117" s="289"/>
      <c r="Z117" s="289"/>
      <c r="AA117" s="289"/>
      <c r="AB117" s="289"/>
      <c r="AC117" s="289"/>
      <c r="AD117" s="289"/>
      <c r="AE117" s="289"/>
      <c r="AF117" s="289"/>
      <c r="AG117" s="289"/>
      <c r="AH117" s="289"/>
      <c r="AI117" s="289"/>
      <c r="AJ117" s="289"/>
      <c r="AK117" s="289"/>
      <c r="AL117" s="289"/>
      <c r="AM117" s="289"/>
      <c r="AN117" s="289"/>
      <c r="AO117" s="289"/>
      <c r="AP117" s="289"/>
      <c r="AQ117" s="289"/>
      <c r="AR117" s="289"/>
    </row>
    <row r="118" spans="1:44" x14ac:dyDescent="0.2">
      <c r="A118" s="289"/>
      <c r="B118" s="289"/>
      <c r="C118" s="289"/>
      <c r="D118" s="289"/>
      <c r="E118" s="289"/>
      <c r="F118" s="289"/>
      <c r="G118" s="289"/>
      <c r="H118" s="289"/>
      <c r="I118" s="289"/>
      <c r="J118" s="289"/>
      <c r="K118" s="289"/>
      <c r="L118" s="289"/>
      <c r="M118" s="289"/>
      <c r="N118" s="289"/>
      <c r="O118" s="289"/>
      <c r="P118" s="289"/>
      <c r="Q118" s="289"/>
      <c r="R118" s="289"/>
      <c r="S118" s="289"/>
      <c r="T118" s="289"/>
      <c r="U118" s="289"/>
      <c r="V118" s="289"/>
      <c r="W118" s="289"/>
      <c r="X118" s="289"/>
      <c r="Y118" s="289"/>
      <c r="Z118" s="289"/>
      <c r="AA118" s="289"/>
      <c r="AB118" s="289"/>
      <c r="AC118" s="289"/>
      <c r="AD118" s="289"/>
      <c r="AE118" s="289"/>
      <c r="AF118" s="289"/>
      <c r="AG118" s="289"/>
      <c r="AH118" s="289"/>
      <c r="AI118" s="289"/>
      <c r="AJ118" s="289"/>
      <c r="AK118" s="289"/>
      <c r="AL118" s="289"/>
      <c r="AM118" s="289"/>
      <c r="AN118" s="289"/>
      <c r="AO118" s="289"/>
      <c r="AP118" s="289"/>
      <c r="AQ118" s="289"/>
      <c r="AR118" s="289"/>
    </row>
    <row r="119" spans="1:44" x14ac:dyDescent="0.2">
      <c r="A119" s="289"/>
      <c r="B119" s="289"/>
      <c r="C119" s="289"/>
      <c r="D119" s="289"/>
      <c r="E119" s="289"/>
      <c r="F119" s="289"/>
      <c r="G119" s="289"/>
      <c r="H119" s="289"/>
      <c r="I119" s="289"/>
      <c r="J119" s="289"/>
      <c r="K119" s="289"/>
      <c r="L119" s="289"/>
      <c r="M119" s="289"/>
      <c r="N119" s="289"/>
      <c r="O119" s="289"/>
      <c r="P119" s="289"/>
      <c r="Q119" s="289"/>
      <c r="R119" s="289"/>
      <c r="S119" s="289"/>
      <c r="T119" s="289"/>
      <c r="U119" s="289"/>
      <c r="V119" s="289"/>
      <c r="W119" s="289"/>
      <c r="X119" s="289"/>
      <c r="Y119" s="289"/>
      <c r="Z119" s="289"/>
      <c r="AA119" s="289"/>
      <c r="AB119" s="289"/>
      <c r="AC119" s="289"/>
      <c r="AD119" s="289"/>
      <c r="AE119" s="289"/>
      <c r="AF119" s="289"/>
      <c r="AG119" s="289"/>
      <c r="AH119" s="289"/>
      <c r="AI119" s="289"/>
      <c r="AJ119" s="289"/>
      <c r="AK119" s="289"/>
      <c r="AL119" s="289"/>
      <c r="AM119" s="289"/>
      <c r="AN119" s="289"/>
      <c r="AO119" s="289"/>
      <c r="AP119" s="289"/>
      <c r="AQ119" s="289"/>
      <c r="AR119" s="289"/>
    </row>
    <row r="120" spans="1:44" x14ac:dyDescent="0.2">
      <c r="A120" s="289"/>
      <c r="B120" s="289"/>
      <c r="C120" s="289"/>
      <c r="D120" s="289"/>
      <c r="E120" s="289"/>
      <c r="F120" s="289"/>
      <c r="G120" s="289"/>
      <c r="H120" s="289"/>
      <c r="I120" s="289"/>
      <c r="J120" s="289"/>
      <c r="K120" s="289"/>
      <c r="L120" s="289"/>
      <c r="M120" s="289"/>
      <c r="N120" s="289"/>
      <c r="O120" s="289"/>
      <c r="P120" s="289"/>
      <c r="Q120" s="289"/>
      <c r="R120" s="289"/>
      <c r="S120" s="289"/>
      <c r="T120" s="289"/>
      <c r="U120" s="289"/>
      <c r="V120" s="289"/>
      <c r="W120" s="289"/>
      <c r="X120" s="289"/>
      <c r="Y120" s="289"/>
      <c r="Z120" s="289"/>
      <c r="AA120" s="289"/>
      <c r="AB120" s="289"/>
      <c r="AC120" s="289"/>
      <c r="AD120" s="289"/>
      <c r="AE120" s="289"/>
      <c r="AF120" s="289"/>
      <c r="AG120" s="289"/>
      <c r="AH120" s="289"/>
      <c r="AI120" s="289"/>
      <c r="AJ120" s="289"/>
      <c r="AK120" s="289"/>
      <c r="AL120" s="289"/>
      <c r="AM120" s="289"/>
      <c r="AN120" s="289"/>
      <c r="AO120" s="289"/>
      <c r="AP120" s="289"/>
      <c r="AQ120" s="289"/>
      <c r="AR120" s="289"/>
    </row>
    <row r="121" spans="1:44" x14ac:dyDescent="0.2">
      <c r="A121" s="289"/>
      <c r="B121" s="289"/>
      <c r="C121" s="289"/>
      <c r="D121" s="289"/>
      <c r="E121" s="289"/>
      <c r="F121" s="289"/>
      <c r="G121" s="289"/>
      <c r="H121" s="289"/>
      <c r="I121" s="289"/>
      <c r="J121" s="289"/>
      <c r="K121" s="289"/>
      <c r="L121" s="289"/>
      <c r="M121" s="289"/>
      <c r="N121" s="289"/>
      <c r="O121" s="289"/>
      <c r="P121" s="289"/>
      <c r="Q121" s="289"/>
      <c r="R121" s="289"/>
      <c r="S121" s="289"/>
      <c r="T121" s="289"/>
      <c r="U121" s="289"/>
      <c r="V121" s="289"/>
      <c r="W121" s="289"/>
      <c r="X121" s="289"/>
      <c r="Y121" s="289"/>
      <c r="Z121" s="289"/>
      <c r="AA121" s="289"/>
      <c r="AB121" s="289"/>
      <c r="AC121" s="289"/>
      <c r="AD121" s="289"/>
      <c r="AE121" s="289"/>
      <c r="AF121" s="289"/>
      <c r="AG121" s="289"/>
      <c r="AH121" s="289"/>
      <c r="AI121" s="289"/>
      <c r="AJ121" s="289"/>
      <c r="AK121" s="289"/>
      <c r="AL121" s="289"/>
      <c r="AM121" s="289"/>
      <c r="AN121" s="289"/>
      <c r="AO121" s="289"/>
      <c r="AP121" s="289"/>
      <c r="AQ121" s="289"/>
      <c r="AR121" s="289"/>
    </row>
    <row r="122" spans="1:44" x14ac:dyDescent="0.2">
      <c r="A122" s="289"/>
      <c r="B122" s="289"/>
      <c r="C122" s="289"/>
      <c r="D122" s="289"/>
      <c r="E122" s="289"/>
      <c r="F122" s="289"/>
      <c r="G122" s="289"/>
      <c r="H122" s="289"/>
      <c r="I122" s="289"/>
      <c r="J122" s="289"/>
      <c r="K122" s="289"/>
      <c r="L122" s="289"/>
      <c r="M122" s="289"/>
      <c r="N122" s="289"/>
      <c r="O122" s="289"/>
      <c r="P122" s="289"/>
      <c r="Q122" s="289"/>
      <c r="R122" s="289"/>
      <c r="S122" s="289"/>
      <c r="T122" s="289"/>
      <c r="U122" s="289"/>
      <c r="V122" s="289"/>
      <c r="W122" s="289"/>
      <c r="X122" s="289"/>
      <c r="Y122" s="289"/>
      <c r="Z122" s="289"/>
      <c r="AA122" s="289"/>
      <c r="AB122" s="289"/>
      <c r="AC122" s="289"/>
      <c r="AD122" s="289"/>
      <c r="AE122" s="289"/>
      <c r="AF122" s="289"/>
      <c r="AG122" s="289"/>
      <c r="AH122" s="289"/>
      <c r="AI122" s="289"/>
      <c r="AJ122" s="289"/>
      <c r="AK122" s="289"/>
      <c r="AL122" s="289"/>
      <c r="AM122" s="289"/>
      <c r="AN122" s="289"/>
      <c r="AO122" s="289"/>
      <c r="AP122" s="289"/>
      <c r="AQ122" s="289"/>
      <c r="AR122" s="289"/>
    </row>
    <row r="123" spans="1:44" x14ac:dyDescent="0.2">
      <c r="A123" s="289"/>
      <c r="B123" s="289"/>
      <c r="C123" s="289"/>
      <c r="D123" s="289"/>
      <c r="E123" s="289"/>
      <c r="F123" s="289"/>
      <c r="G123" s="289"/>
      <c r="H123" s="289"/>
      <c r="I123" s="289"/>
      <c r="J123" s="289"/>
      <c r="K123" s="289"/>
      <c r="L123" s="289"/>
      <c r="M123" s="289"/>
      <c r="N123" s="289"/>
      <c r="O123" s="289"/>
      <c r="P123" s="289"/>
      <c r="Q123" s="289"/>
      <c r="R123" s="289"/>
      <c r="S123" s="289"/>
      <c r="T123" s="289"/>
      <c r="U123" s="289"/>
      <c r="V123" s="289"/>
      <c r="W123" s="289"/>
      <c r="X123" s="289"/>
      <c r="Y123" s="289"/>
      <c r="Z123" s="289"/>
      <c r="AA123" s="289"/>
      <c r="AB123" s="289"/>
      <c r="AC123" s="289"/>
      <c r="AD123" s="289"/>
      <c r="AE123" s="289"/>
      <c r="AF123" s="289"/>
      <c r="AG123" s="289"/>
      <c r="AH123" s="289"/>
      <c r="AI123" s="289"/>
      <c r="AJ123" s="289"/>
      <c r="AK123" s="289"/>
      <c r="AL123" s="289"/>
      <c r="AM123" s="289"/>
      <c r="AN123" s="289"/>
      <c r="AO123" s="289"/>
      <c r="AP123" s="289"/>
      <c r="AQ123" s="289"/>
      <c r="AR123" s="289"/>
    </row>
    <row r="124" spans="1:44" x14ac:dyDescent="0.2">
      <c r="A124" s="289"/>
      <c r="B124" s="289"/>
      <c r="C124" s="289"/>
      <c r="D124" s="289"/>
      <c r="E124" s="289"/>
      <c r="F124" s="289"/>
      <c r="G124" s="289"/>
      <c r="H124" s="289"/>
      <c r="I124" s="289"/>
      <c r="J124" s="289"/>
      <c r="K124" s="289"/>
      <c r="L124" s="289"/>
      <c r="M124" s="289"/>
      <c r="N124" s="289"/>
      <c r="O124" s="289"/>
      <c r="P124" s="289"/>
      <c r="Q124" s="289"/>
      <c r="R124" s="289"/>
      <c r="S124" s="289"/>
      <c r="T124" s="289"/>
      <c r="U124" s="289"/>
      <c r="V124" s="289"/>
      <c r="W124" s="289"/>
      <c r="X124" s="289"/>
      <c r="Y124" s="289"/>
      <c r="Z124" s="289"/>
      <c r="AA124" s="289"/>
      <c r="AB124" s="289"/>
      <c r="AC124" s="289"/>
      <c r="AD124" s="289"/>
      <c r="AE124" s="289"/>
      <c r="AF124" s="289"/>
      <c r="AG124" s="289"/>
      <c r="AH124" s="289"/>
      <c r="AI124" s="289"/>
      <c r="AJ124" s="289"/>
      <c r="AK124" s="289"/>
      <c r="AL124" s="289"/>
      <c r="AM124" s="289"/>
      <c r="AN124" s="289"/>
      <c r="AO124" s="289"/>
      <c r="AP124" s="289"/>
      <c r="AQ124" s="289"/>
      <c r="AR124" s="289"/>
    </row>
    <row r="125" spans="1:44" x14ac:dyDescent="0.2">
      <c r="A125" s="289"/>
      <c r="B125" s="289"/>
      <c r="C125" s="289"/>
      <c r="D125" s="289"/>
      <c r="E125" s="289"/>
      <c r="F125" s="289"/>
      <c r="G125" s="289"/>
      <c r="H125" s="289"/>
      <c r="I125" s="289"/>
      <c r="J125" s="289"/>
      <c r="K125" s="289"/>
      <c r="L125" s="289"/>
      <c r="M125" s="289"/>
      <c r="N125" s="289"/>
      <c r="O125" s="289"/>
      <c r="P125" s="289"/>
      <c r="Q125" s="289"/>
      <c r="R125" s="289"/>
      <c r="S125" s="289"/>
      <c r="T125" s="289"/>
      <c r="U125" s="289"/>
      <c r="V125" s="289"/>
      <c r="W125" s="289"/>
      <c r="X125" s="289"/>
      <c r="Y125" s="289"/>
      <c r="Z125" s="289"/>
      <c r="AA125" s="289"/>
      <c r="AB125" s="289"/>
      <c r="AC125" s="289"/>
      <c r="AD125" s="289"/>
      <c r="AE125" s="289"/>
      <c r="AF125" s="289"/>
      <c r="AG125" s="289"/>
      <c r="AH125" s="289"/>
      <c r="AI125" s="289"/>
      <c r="AJ125" s="289"/>
      <c r="AK125" s="289"/>
      <c r="AL125" s="289"/>
      <c r="AM125" s="289"/>
      <c r="AN125" s="289"/>
      <c r="AO125" s="289"/>
      <c r="AP125" s="289"/>
      <c r="AQ125" s="289"/>
      <c r="AR125" s="289"/>
    </row>
    <row r="126" spans="1:44" x14ac:dyDescent="0.2">
      <c r="A126" s="289"/>
      <c r="B126" s="289"/>
      <c r="C126" s="289"/>
      <c r="D126" s="289"/>
      <c r="E126" s="289"/>
      <c r="F126" s="289"/>
      <c r="G126" s="289"/>
      <c r="H126" s="289"/>
      <c r="I126" s="289"/>
      <c r="J126" s="289"/>
      <c r="K126" s="289"/>
      <c r="L126" s="289"/>
      <c r="M126" s="289"/>
      <c r="N126" s="289"/>
      <c r="O126" s="289"/>
      <c r="P126" s="289"/>
      <c r="Q126" s="289"/>
      <c r="R126" s="289"/>
      <c r="S126" s="289"/>
      <c r="T126" s="289"/>
      <c r="U126" s="289"/>
      <c r="V126" s="289"/>
      <c r="W126" s="289"/>
      <c r="X126" s="289"/>
      <c r="Y126" s="289"/>
      <c r="Z126" s="289"/>
      <c r="AA126" s="289"/>
      <c r="AB126" s="289"/>
      <c r="AC126" s="289"/>
      <c r="AD126" s="289"/>
      <c r="AE126" s="289"/>
      <c r="AF126" s="289"/>
      <c r="AG126" s="289"/>
      <c r="AH126" s="289"/>
      <c r="AI126" s="289"/>
      <c r="AJ126" s="289"/>
      <c r="AK126" s="289"/>
      <c r="AL126" s="289"/>
      <c r="AM126" s="289"/>
      <c r="AN126" s="289"/>
      <c r="AO126" s="289"/>
      <c r="AP126" s="289"/>
      <c r="AQ126" s="289"/>
      <c r="AR126" s="289"/>
    </row>
    <row r="127" spans="1:44" x14ac:dyDescent="0.2">
      <c r="A127" s="289"/>
      <c r="B127" s="289"/>
      <c r="C127" s="289"/>
      <c r="D127" s="289"/>
      <c r="E127" s="289"/>
      <c r="F127" s="289"/>
      <c r="G127" s="289"/>
      <c r="H127" s="289"/>
      <c r="I127" s="289"/>
      <c r="J127" s="289"/>
      <c r="K127" s="289"/>
      <c r="L127" s="289"/>
      <c r="M127" s="289"/>
      <c r="N127" s="289"/>
      <c r="O127" s="289"/>
      <c r="P127" s="289"/>
      <c r="Q127" s="289"/>
      <c r="R127" s="289"/>
      <c r="S127" s="289"/>
      <c r="T127" s="289"/>
      <c r="U127" s="289"/>
      <c r="V127" s="289"/>
      <c r="W127" s="289"/>
      <c r="X127" s="289"/>
      <c r="Y127" s="289"/>
      <c r="Z127" s="289"/>
      <c r="AA127" s="289"/>
      <c r="AB127" s="289"/>
      <c r="AC127" s="289"/>
      <c r="AD127" s="289"/>
      <c r="AE127" s="289"/>
      <c r="AF127" s="289"/>
      <c r="AG127" s="289"/>
      <c r="AH127" s="289"/>
      <c r="AI127" s="289"/>
      <c r="AJ127" s="289"/>
      <c r="AK127" s="289"/>
      <c r="AL127" s="289"/>
      <c r="AM127" s="289"/>
      <c r="AN127" s="289"/>
      <c r="AO127" s="289"/>
      <c r="AP127" s="289"/>
      <c r="AQ127" s="289"/>
      <c r="AR127" s="289"/>
    </row>
    <row r="128" spans="1:44" x14ac:dyDescent="0.2">
      <c r="A128" s="289"/>
      <c r="B128" s="289"/>
      <c r="C128" s="289"/>
      <c r="D128" s="289"/>
      <c r="E128" s="289"/>
      <c r="F128" s="289"/>
      <c r="G128" s="289"/>
      <c r="H128" s="289"/>
      <c r="I128" s="289"/>
      <c r="J128" s="289"/>
      <c r="K128" s="289"/>
      <c r="L128" s="289"/>
      <c r="M128" s="289"/>
      <c r="N128" s="289"/>
      <c r="O128" s="289"/>
      <c r="P128" s="289"/>
      <c r="Q128" s="289"/>
      <c r="R128" s="289"/>
      <c r="S128" s="289"/>
      <c r="T128" s="289"/>
      <c r="U128" s="289"/>
      <c r="V128" s="289"/>
      <c r="W128" s="289"/>
      <c r="X128" s="289"/>
      <c r="Y128" s="289"/>
      <c r="Z128" s="289"/>
      <c r="AA128" s="289"/>
      <c r="AB128" s="289"/>
      <c r="AC128" s="289"/>
      <c r="AD128" s="289"/>
      <c r="AE128" s="289"/>
      <c r="AF128" s="289"/>
      <c r="AG128" s="289"/>
      <c r="AH128" s="289"/>
      <c r="AI128" s="289"/>
      <c r="AJ128" s="289"/>
      <c r="AK128" s="289"/>
      <c r="AL128" s="289"/>
      <c r="AM128" s="289"/>
      <c r="AN128" s="289"/>
      <c r="AO128" s="289"/>
      <c r="AP128" s="289"/>
      <c r="AQ128" s="289"/>
      <c r="AR128" s="289"/>
    </row>
    <row r="129" spans="1:44" x14ac:dyDescent="0.2">
      <c r="A129" s="289"/>
      <c r="B129" s="289"/>
      <c r="C129" s="289"/>
      <c r="D129" s="289"/>
      <c r="E129" s="289"/>
      <c r="F129" s="289"/>
      <c r="G129" s="289"/>
      <c r="H129" s="289"/>
      <c r="I129" s="289"/>
      <c r="J129" s="289"/>
      <c r="K129" s="289"/>
      <c r="L129" s="289"/>
      <c r="M129" s="289"/>
      <c r="N129" s="289"/>
      <c r="O129" s="289"/>
      <c r="P129" s="289"/>
      <c r="Q129" s="289"/>
      <c r="R129" s="289"/>
      <c r="S129" s="289"/>
      <c r="T129" s="289"/>
      <c r="U129" s="289"/>
      <c r="V129" s="289"/>
      <c r="W129" s="289"/>
      <c r="X129" s="289"/>
      <c r="Y129" s="289"/>
      <c r="Z129" s="289"/>
      <c r="AA129" s="289"/>
      <c r="AB129" s="289"/>
      <c r="AC129" s="289"/>
      <c r="AD129" s="289"/>
      <c r="AE129" s="289"/>
      <c r="AF129" s="289"/>
      <c r="AG129" s="289"/>
      <c r="AH129" s="289"/>
      <c r="AI129" s="289"/>
      <c r="AJ129" s="289"/>
      <c r="AK129" s="289"/>
      <c r="AL129" s="289"/>
      <c r="AM129" s="289"/>
      <c r="AN129" s="289"/>
      <c r="AO129" s="289"/>
      <c r="AP129" s="289"/>
      <c r="AQ129" s="289"/>
      <c r="AR129" s="289"/>
    </row>
    <row r="130" spans="1:44" x14ac:dyDescent="0.2">
      <c r="A130" s="289"/>
      <c r="B130" s="289"/>
      <c r="C130" s="289"/>
      <c r="D130" s="289"/>
      <c r="E130" s="289"/>
      <c r="F130" s="289"/>
      <c r="G130" s="289"/>
      <c r="H130" s="289"/>
      <c r="I130" s="289"/>
      <c r="J130" s="289"/>
      <c r="K130" s="289"/>
      <c r="L130" s="289"/>
      <c r="M130" s="289"/>
      <c r="N130" s="289"/>
      <c r="O130" s="289"/>
      <c r="P130" s="289"/>
      <c r="Q130" s="289"/>
      <c r="R130" s="289"/>
      <c r="S130" s="289"/>
      <c r="T130" s="289"/>
      <c r="U130" s="289"/>
      <c r="V130" s="289"/>
      <c r="W130" s="289"/>
      <c r="X130" s="289"/>
      <c r="Y130" s="289"/>
      <c r="Z130" s="289"/>
      <c r="AA130" s="289"/>
      <c r="AB130" s="289"/>
      <c r="AC130" s="289"/>
      <c r="AD130" s="289"/>
      <c r="AE130" s="289"/>
      <c r="AF130" s="289"/>
      <c r="AG130" s="289"/>
      <c r="AH130" s="289"/>
      <c r="AI130" s="289"/>
      <c r="AJ130" s="289"/>
      <c r="AK130" s="289"/>
      <c r="AL130" s="289"/>
      <c r="AM130" s="289"/>
      <c r="AN130" s="289"/>
      <c r="AO130" s="289"/>
      <c r="AP130" s="289"/>
      <c r="AQ130" s="289"/>
      <c r="AR130" s="289"/>
    </row>
    <row r="131" spans="1:44" x14ac:dyDescent="0.2">
      <c r="A131" s="289"/>
      <c r="B131" s="289"/>
      <c r="C131" s="289"/>
      <c r="D131" s="289"/>
      <c r="E131" s="289"/>
      <c r="F131" s="289"/>
      <c r="G131" s="289"/>
      <c r="H131" s="289"/>
      <c r="I131" s="289"/>
      <c r="J131" s="289"/>
      <c r="K131" s="289"/>
      <c r="L131" s="289"/>
      <c r="M131" s="289"/>
      <c r="N131" s="289"/>
      <c r="O131" s="289"/>
      <c r="P131" s="289"/>
      <c r="Q131" s="289"/>
      <c r="R131" s="289"/>
      <c r="S131" s="289"/>
      <c r="T131" s="289"/>
      <c r="U131" s="289"/>
      <c r="V131" s="289"/>
      <c r="W131" s="289"/>
      <c r="X131" s="289"/>
      <c r="Y131" s="289"/>
      <c r="Z131" s="289"/>
      <c r="AA131" s="289"/>
      <c r="AB131" s="289"/>
      <c r="AC131" s="289"/>
      <c r="AD131" s="289"/>
      <c r="AE131" s="289"/>
      <c r="AF131" s="289"/>
      <c r="AG131" s="289"/>
      <c r="AH131" s="289"/>
      <c r="AI131" s="289"/>
      <c r="AJ131" s="289"/>
      <c r="AK131" s="289"/>
      <c r="AL131" s="289"/>
      <c r="AM131" s="289"/>
      <c r="AN131" s="289"/>
      <c r="AO131" s="289"/>
      <c r="AP131" s="289"/>
      <c r="AQ131" s="289"/>
      <c r="AR131" s="289"/>
    </row>
    <row r="132" spans="1:44" x14ac:dyDescent="0.2">
      <c r="A132" s="289"/>
      <c r="B132" s="289"/>
      <c r="C132" s="289"/>
      <c r="D132" s="289"/>
      <c r="E132" s="289"/>
      <c r="F132" s="289"/>
      <c r="G132" s="289"/>
      <c r="H132" s="289"/>
      <c r="I132" s="289"/>
      <c r="J132" s="289"/>
      <c r="K132" s="289"/>
      <c r="L132" s="289"/>
      <c r="M132" s="289"/>
      <c r="N132" s="289"/>
      <c r="O132" s="289"/>
      <c r="P132" s="289"/>
      <c r="Q132" s="289"/>
      <c r="R132" s="289"/>
      <c r="S132" s="289"/>
      <c r="T132" s="289"/>
      <c r="U132" s="289"/>
      <c r="V132" s="289"/>
      <c r="W132" s="289"/>
      <c r="X132" s="289"/>
      <c r="Y132" s="289"/>
      <c r="Z132" s="289"/>
      <c r="AA132" s="289"/>
      <c r="AB132" s="289"/>
      <c r="AC132" s="289"/>
      <c r="AD132" s="289"/>
      <c r="AE132" s="289"/>
      <c r="AF132" s="289"/>
      <c r="AG132" s="289"/>
      <c r="AH132" s="289"/>
      <c r="AI132" s="289"/>
      <c r="AJ132" s="289"/>
      <c r="AK132" s="289"/>
      <c r="AL132" s="289"/>
      <c r="AM132" s="289"/>
      <c r="AN132" s="289"/>
      <c r="AO132" s="289"/>
      <c r="AP132" s="289"/>
      <c r="AQ132" s="289"/>
      <c r="AR132" s="289"/>
    </row>
    <row r="133" spans="1:44" x14ac:dyDescent="0.2">
      <c r="A133" s="289"/>
      <c r="B133" s="289"/>
      <c r="C133" s="289"/>
      <c r="D133" s="289"/>
      <c r="E133" s="289"/>
      <c r="F133" s="289"/>
      <c r="G133" s="289"/>
      <c r="H133" s="289"/>
      <c r="I133" s="289"/>
      <c r="J133" s="289"/>
      <c r="K133" s="289"/>
      <c r="L133" s="289"/>
      <c r="M133" s="289"/>
      <c r="N133" s="289"/>
      <c r="O133" s="289"/>
      <c r="P133" s="289"/>
      <c r="Q133" s="289"/>
      <c r="R133" s="289"/>
      <c r="S133" s="289"/>
      <c r="T133" s="289"/>
      <c r="U133" s="289"/>
      <c r="V133" s="289"/>
      <c r="W133" s="289"/>
      <c r="X133" s="289"/>
      <c r="Y133" s="289"/>
      <c r="Z133" s="289"/>
      <c r="AA133" s="289"/>
      <c r="AB133" s="289"/>
      <c r="AC133" s="289"/>
      <c r="AD133" s="289"/>
      <c r="AE133" s="289"/>
      <c r="AF133" s="289"/>
      <c r="AG133" s="289"/>
      <c r="AH133" s="289"/>
      <c r="AI133" s="289"/>
      <c r="AJ133" s="289"/>
      <c r="AK133" s="289"/>
      <c r="AL133" s="289"/>
      <c r="AM133" s="289"/>
      <c r="AN133" s="289"/>
      <c r="AO133" s="289"/>
      <c r="AP133" s="289"/>
      <c r="AQ133" s="289"/>
      <c r="AR133" s="289"/>
    </row>
    <row r="134" spans="1:44" x14ac:dyDescent="0.2">
      <c r="A134" s="289"/>
      <c r="B134" s="289"/>
      <c r="C134" s="289"/>
      <c r="D134" s="289"/>
      <c r="E134" s="289"/>
      <c r="F134" s="289"/>
      <c r="G134" s="289"/>
      <c r="H134" s="289"/>
      <c r="I134" s="289"/>
      <c r="J134" s="289"/>
      <c r="K134" s="289"/>
      <c r="L134" s="289"/>
      <c r="M134" s="289"/>
      <c r="N134" s="289"/>
      <c r="O134" s="289"/>
      <c r="P134" s="289"/>
      <c r="Q134" s="289"/>
      <c r="R134" s="289"/>
      <c r="S134" s="289"/>
      <c r="T134" s="289"/>
      <c r="U134" s="289"/>
      <c r="V134" s="289"/>
      <c r="W134" s="289"/>
      <c r="X134" s="289"/>
      <c r="Y134" s="289"/>
      <c r="Z134" s="289"/>
      <c r="AA134" s="289"/>
      <c r="AB134" s="289"/>
      <c r="AC134" s="289"/>
      <c r="AD134" s="289"/>
      <c r="AE134" s="289"/>
      <c r="AF134" s="289"/>
      <c r="AG134" s="289"/>
      <c r="AH134" s="289"/>
      <c r="AI134" s="289"/>
      <c r="AJ134" s="289"/>
      <c r="AK134" s="289"/>
      <c r="AL134" s="289"/>
      <c r="AM134" s="289"/>
      <c r="AN134" s="289"/>
      <c r="AO134" s="289"/>
      <c r="AP134" s="289"/>
      <c r="AQ134" s="289"/>
      <c r="AR134" s="289"/>
    </row>
    <row r="135" spans="1:44" x14ac:dyDescent="0.2">
      <c r="A135" s="289"/>
      <c r="B135" s="289"/>
      <c r="C135" s="289"/>
      <c r="D135" s="289"/>
      <c r="E135" s="289"/>
      <c r="F135" s="289"/>
      <c r="G135" s="289"/>
      <c r="H135" s="289"/>
      <c r="I135" s="289"/>
      <c r="J135" s="289"/>
      <c r="K135" s="289"/>
      <c r="L135" s="289"/>
      <c r="M135" s="289"/>
      <c r="N135" s="289"/>
      <c r="O135" s="289"/>
      <c r="P135" s="289"/>
      <c r="Q135" s="289"/>
      <c r="R135" s="289"/>
      <c r="S135" s="289"/>
      <c r="T135" s="289"/>
      <c r="U135" s="289"/>
      <c r="V135" s="289"/>
      <c r="W135" s="289"/>
      <c r="X135" s="289"/>
      <c r="Y135" s="289"/>
      <c r="Z135" s="289"/>
      <c r="AA135" s="289"/>
      <c r="AB135" s="289"/>
      <c r="AC135" s="289"/>
      <c r="AD135" s="289"/>
      <c r="AE135" s="289"/>
      <c r="AF135" s="289"/>
      <c r="AG135" s="289"/>
      <c r="AH135" s="289"/>
      <c r="AI135" s="289"/>
      <c r="AJ135" s="289"/>
      <c r="AK135" s="289"/>
      <c r="AL135" s="289"/>
      <c r="AM135" s="289"/>
      <c r="AN135" s="289"/>
      <c r="AO135" s="289"/>
      <c r="AP135" s="289"/>
      <c r="AQ135" s="289"/>
      <c r="AR135" s="289"/>
    </row>
    <row r="136" spans="1:44" x14ac:dyDescent="0.2">
      <c r="A136" s="289"/>
      <c r="B136" s="289"/>
      <c r="C136" s="289"/>
      <c r="D136" s="289"/>
      <c r="E136" s="289"/>
      <c r="F136" s="289"/>
      <c r="G136" s="289"/>
      <c r="H136" s="289"/>
      <c r="I136" s="289"/>
      <c r="J136" s="289"/>
      <c r="K136" s="289"/>
      <c r="L136" s="289"/>
      <c r="M136" s="289"/>
      <c r="N136" s="289"/>
      <c r="O136" s="289"/>
      <c r="P136" s="289"/>
      <c r="Q136" s="289"/>
      <c r="R136" s="289"/>
      <c r="S136" s="289"/>
      <c r="T136" s="289"/>
      <c r="U136" s="289"/>
      <c r="V136" s="289"/>
      <c r="W136" s="289"/>
      <c r="X136" s="289"/>
      <c r="Y136" s="289"/>
      <c r="Z136" s="289"/>
      <c r="AA136" s="289"/>
      <c r="AB136" s="289"/>
      <c r="AC136" s="289"/>
      <c r="AD136" s="289"/>
      <c r="AE136" s="289"/>
      <c r="AF136" s="289"/>
      <c r="AG136" s="289"/>
      <c r="AH136" s="289"/>
      <c r="AI136" s="289"/>
      <c r="AJ136" s="289"/>
      <c r="AK136" s="289"/>
      <c r="AL136" s="289"/>
      <c r="AM136" s="289"/>
      <c r="AN136" s="289"/>
      <c r="AO136" s="289"/>
      <c r="AP136" s="289"/>
      <c r="AQ136" s="289"/>
      <c r="AR136" s="289"/>
    </row>
    <row r="137" spans="1:44" x14ac:dyDescent="0.2">
      <c r="A137" s="289"/>
      <c r="B137" s="289"/>
      <c r="C137" s="289"/>
      <c r="D137" s="289"/>
      <c r="E137" s="289"/>
      <c r="F137" s="289"/>
      <c r="G137" s="289"/>
      <c r="H137" s="289"/>
      <c r="I137" s="289"/>
      <c r="J137" s="289"/>
      <c r="K137" s="289"/>
      <c r="L137" s="289"/>
      <c r="M137" s="289"/>
      <c r="N137" s="289"/>
      <c r="O137" s="289"/>
      <c r="P137" s="289"/>
      <c r="Q137" s="289"/>
      <c r="R137" s="289"/>
      <c r="S137" s="289"/>
      <c r="T137" s="289"/>
      <c r="U137" s="289"/>
      <c r="V137" s="289"/>
      <c r="W137" s="289"/>
      <c r="X137" s="289"/>
      <c r="Y137" s="289"/>
      <c r="Z137" s="289"/>
      <c r="AA137" s="289"/>
      <c r="AB137" s="289"/>
      <c r="AC137" s="289"/>
      <c r="AD137" s="289"/>
      <c r="AE137" s="289"/>
      <c r="AF137" s="289"/>
      <c r="AG137" s="289"/>
      <c r="AH137" s="289"/>
      <c r="AI137" s="289"/>
      <c r="AJ137" s="289"/>
      <c r="AK137" s="289"/>
      <c r="AL137" s="289"/>
      <c r="AM137" s="289"/>
      <c r="AN137" s="289"/>
      <c r="AO137" s="289"/>
      <c r="AP137" s="289"/>
      <c r="AQ137" s="289"/>
      <c r="AR137" s="289"/>
    </row>
    <row r="138" spans="1:44" x14ac:dyDescent="0.2">
      <c r="A138" s="289"/>
      <c r="B138" s="289"/>
      <c r="C138" s="289"/>
      <c r="D138" s="289"/>
      <c r="E138" s="289"/>
      <c r="F138" s="289"/>
      <c r="G138" s="289"/>
      <c r="H138" s="289"/>
      <c r="I138" s="289"/>
      <c r="J138" s="289"/>
      <c r="K138" s="289"/>
      <c r="L138" s="289"/>
      <c r="M138" s="289"/>
      <c r="N138" s="289"/>
      <c r="O138" s="289"/>
      <c r="P138" s="289"/>
      <c r="Q138" s="289"/>
      <c r="R138" s="289"/>
      <c r="S138" s="289"/>
      <c r="T138" s="289"/>
      <c r="U138" s="289"/>
      <c r="V138" s="289"/>
      <c r="W138" s="289"/>
      <c r="X138" s="289"/>
      <c r="Y138" s="289"/>
      <c r="Z138" s="289"/>
      <c r="AA138" s="289"/>
      <c r="AB138" s="289"/>
      <c r="AC138" s="289"/>
      <c r="AD138" s="289"/>
      <c r="AE138" s="289"/>
      <c r="AF138" s="289"/>
      <c r="AG138" s="289"/>
      <c r="AH138" s="289"/>
      <c r="AI138" s="289"/>
      <c r="AJ138" s="289"/>
      <c r="AK138" s="289"/>
      <c r="AL138" s="289"/>
      <c r="AM138" s="289"/>
      <c r="AN138" s="289"/>
      <c r="AO138" s="289"/>
      <c r="AP138" s="289"/>
      <c r="AQ138" s="289"/>
      <c r="AR138" s="289"/>
    </row>
    <row r="139" spans="1:44" x14ac:dyDescent="0.2">
      <c r="A139" s="289"/>
      <c r="B139" s="289"/>
      <c r="C139" s="289"/>
      <c r="D139" s="289"/>
      <c r="E139" s="289"/>
      <c r="F139" s="289"/>
      <c r="G139" s="289"/>
      <c r="H139" s="289"/>
      <c r="I139" s="289"/>
      <c r="J139" s="289"/>
      <c r="K139" s="289"/>
      <c r="L139" s="289"/>
      <c r="M139" s="289"/>
      <c r="N139" s="289"/>
      <c r="O139" s="289"/>
      <c r="P139" s="289"/>
      <c r="Q139" s="289"/>
      <c r="R139" s="289"/>
      <c r="S139" s="289"/>
      <c r="T139" s="289"/>
      <c r="U139" s="289"/>
      <c r="V139" s="289"/>
      <c r="W139" s="289"/>
      <c r="X139" s="289"/>
      <c r="Y139" s="289"/>
      <c r="Z139" s="289"/>
      <c r="AA139" s="289"/>
      <c r="AB139" s="289"/>
      <c r="AC139" s="289"/>
      <c r="AD139" s="289"/>
      <c r="AE139" s="289"/>
      <c r="AF139" s="289"/>
      <c r="AG139" s="289"/>
      <c r="AH139" s="289"/>
      <c r="AI139" s="289"/>
      <c r="AJ139" s="289"/>
      <c r="AK139" s="289"/>
      <c r="AL139" s="289"/>
      <c r="AM139" s="289"/>
      <c r="AN139" s="289"/>
      <c r="AO139" s="289"/>
      <c r="AP139" s="289"/>
      <c r="AQ139" s="289"/>
      <c r="AR139" s="289"/>
    </row>
    <row r="140" spans="1:44" x14ac:dyDescent="0.2">
      <c r="A140" s="289"/>
      <c r="B140" s="289"/>
      <c r="C140" s="289"/>
      <c r="D140" s="289"/>
      <c r="E140" s="289"/>
      <c r="F140" s="289"/>
      <c r="G140" s="289"/>
      <c r="H140" s="289"/>
      <c r="I140" s="289"/>
      <c r="J140" s="289"/>
      <c r="K140" s="289"/>
      <c r="L140" s="289"/>
      <c r="M140" s="289"/>
      <c r="N140" s="289"/>
      <c r="O140" s="289"/>
      <c r="P140" s="289"/>
      <c r="Q140" s="289"/>
      <c r="R140" s="289"/>
      <c r="S140" s="289"/>
      <c r="T140" s="289"/>
      <c r="U140" s="289"/>
      <c r="V140" s="289"/>
      <c r="W140" s="289"/>
      <c r="X140" s="289"/>
      <c r="Y140" s="289"/>
      <c r="Z140" s="289"/>
      <c r="AA140" s="289"/>
      <c r="AB140" s="289"/>
      <c r="AC140" s="289"/>
      <c r="AD140" s="289"/>
      <c r="AE140" s="289"/>
      <c r="AF140" s="289"/>
      <c r="AG140" s="289"/>
      <c r="AH140" s="289"/>
      <c r="AI140" s="289"/>
      <c r="AJ140" s="289"/>
      <c r="AK140" s="289"/>
      <c r="AL140" s="289"/>
      <c r="AM140" s="289"/>
      <c r="AN140" s="289"/>
      <c r="AO140" s="289"/>
      <c r="AP140" s="289"/>
      <c r="AQ140" s="289"/>
      <c r="AR140" s="289"/>
    </row>
    <row r="141" spans="1:44" x14ac:dyDescent="0.2">
      <c r="A141" s="289"/>
      <c r="B141" s="289"/>
      <c r="C141" s="289"/>
      <c r="D141" s="289"/>
      <c r="E141" s="289"/>
      <c r="F141" s="289"/>
      <c r="G141" s="289"/>
      <c r="H141" s="289"/>
      <c r="I141" s="289"/>
      <c r="J141" s="289"/>
      <c r="K141" s="289"/>
      <c r="L141" s="289"/>
      <c r="M141" s="289"/>
      <c r="N141" s="289"/>
      <c r="O141" s="289"/>
      <c r="P141" s="289"/>
      <c r="Q141" s="289"/>
      <c r="R141" s="289"/>
      <c r="S141" s="289"/>
      <c r="T141" s="289"/>
      <c r="U141" s="289"/>
      <c r="V141" s="289"/>
      <c r="W141" s="289"/>
      <c r="X141" s="289"/>
      <c r="Y141" s="289"/>
      <c r="Z141" s="289"/>
      <c r="AA141" s="289"/>
      <c r="AB141" s="289"/>
      <c r="AC141" s="289"/>
      <c r="AD141" s="289"/>
      <c r="AE141" s="289"/>
      <c r="AF141" s="289"/>
      <c r="AG141" s="289"/>
      <c r="AH141" s="289"/>
      <c r="AI141" s="289"/>
      <c r="AJ141" s="289"/>
      <c r="AK141" s="289"/>
      <c r="AL141" s="289"/>
      <c r="AM141" s="289"/>
      <c r="AN141" s="289"/>
      <c r="AO141" s="289"/>
      <c r="AP141" s="289"/>
      <c r="AQ141" s="289"/>
      <c r="AR141" s="289"/>
    </row>
    <row r="142" spans="1:44" x14ac:dyDescent="0.2">
      <c r="A142" s="289"/>
      <c r="B142" s="289"/>
      <c r="C142" s="289"/>
      <c r="D142" s="289"/>
      <c r="E142" s="289"/>
      <c r="F142" s="289"/>
      <c r="G142" s="289"/>
      <c r="H142" s="289"/>
      <c r="I142" s="289"/>
      <c r="J142" s="289"/>
      <c r="K142" s="289"/>
      <c r="L142" s="289"/>
      <c r="M142" s="289"/>
      <c r="N142" s="289"/>
      <c r="O142" s="289"/>
      <c r="P142" s="289"/>
      <c r="Q142" s="289"/>
      <c r="R142" s="289"/>
      <c r="S142" s="289"/>
      <c r="T142" s="289"/>
      <c r="U142" s="289"/>
      <c r="V142" s="289"/>
      <c r="W142" s="289"/>
      <c r="X142" s="289"/>
      <c r="Y142" s="289"/>
      <c r="Z142" s="289"/>
      <c r="AA142" s="289"/>
      <c r="AB142" s="289"/>
      <c r="AC142" s="289"/>
      <c r="AD142" s="289"/>
      <c r="AE142" s="289"/>
      <c r="AF142" s="289"/>
      <c r="AG142" s="289"/>
      <c r="AH142" s="289"/>
      <c r="AI142" s="289"/>
      <c r="AJ142" s="289"/>
      <c r="AK142" s="289"/>
      <c r="AL142" s="289"/>
      <c r="AM142" s="289"/>
      <c r="AN142" s="289"/>
      <c r="AO142" s="289"/>
      <c r="AP142" s="289"/>
      <c r="AQ142" s="289"/>
      <c r="AR142" s="289"/>
    </row>
    <row r="143" spans="1:44" x14ac:dyDescent="0.2">
      <c r="A143" s="289"/>
      <c r="B143" s="289"/>
      <c r="C143" s="289"/>
      <c r="D143" s="289"/>
      <c r="E143" s="289"/>
      <c r="F143" s="289"/>
      <c r="G143" s="289"/>
      <c r="H143" s="289"/>
      <c r="I143" s="289"/>
      <c r="J143" s="289"/>
      <c r="K143" s="289"/>
      <c r="L143" s="289"/>
      <c r="M143" s="289"/>
      <c r="N143" s="289"/>
      <c r="O143" s="289"/>
      <c r="P143" s="289"/>
      <c r="Q143" s="289"/>
      <c r="R143" s="289"/>
      <c r="S143" s="289"/>
      <c r="T143" s="289"/>
      <c r="U143" s="289"/>
      <c r="V143" s="289"/>
      <c r="W143" s="289"/>
      <c r="X143" s="289"/>
      <c r="Y143" s="289"/>
      <c r="Z143" s="289"/>
      <c r="AA143" s="289"/>
      <c r="AB143" s="289"/>
      <c r="AC143" s="289"/>
      <c r="AD143" s="289"/>
      <c r="AE143" s="289"/>
      <c r="AF143" s="289"/>
      <c r="AG143" s="289"/>
      <c r="AH143" s="289"/>
      <c r="AI143" s="289"/>
      <c r="AJ143" s="289"/>
      <c r="AK143" s="289"/>
      <c r="AL143" s="289"/>
      <c r="AM143" s="289"/>
      <c r="AN143" s="289"/>
      <c r="AO143" s="289"/>
      <c r="AP143" s="289"/>
      <c r="AQ143" s="289"/>
      <c r="AR143" s="289"/>
    </row>
    <row r="144" spans="1:44" x14ac:dyDescent="0.2">
      <c r="A144" s="289"/>
      <c r="B144" s="289"/>
      <c r="C144" s="289"/>
      <c r="D144" s="289"/>
      <c r="E144" s="289"/>
      <c r="F144" s="289"/>
      <c r="G144" s="289"/>
      <c r="H144" s="289"/>
      <c r="I144" s="289"/>
      <c r="J144" s="289"/>
      <c r="K144" s="289"/>
      <c r="L144" s="289"/>
      <c r="M144" s="289"/>
      <c r="N144" s="289"/>
      <c r="O144" s="289"/>
      <c r="P144" s="289"/>
      <c r="Q144" s="289"/>
      <c r="R144" s="289"/>
      <c r="S144" s="289"/>
      <c r="T144" s="289"/>
      <c r="U144" s="289"/>
      <c r="V144" s="289"/>
      <c r="W144" s="289"/>
      <c r="X144" s="289"/>
      <c r="Y144" s="289"/>
      <c r="Z144" s="289"/>
      <c r="AA144" s="289"/>
      <c r="AB144" s="289"/>
      <c r="AC144" s="289"/>
      <c r="AD144" s="289"/>
      <c r="AE144" s="289"/>
      <c r="AF144" s="289"/>
      <c r="AG144" s="289"/>
      <c r="AH144" s="289"/>
      <c r="AI144" s="289"/>
      <c r="AJ144" s="289"/>
      <c r="AK144" s="289"/>
      <c r="AL144" s="289"/>
      <c r="AM144" s="289"/>
      <c r="AN144" s="289"/>
      <c r="AO144" s="289"/>
      <c r="AP144" s="289"/>
      <c r="AQ144" s="289"/>
      <c r="AR144" s="289"/>
    </row>
    <row r="145" spans="1:44" x14ac:dyDescent="0.2">
      <c r="A145" s="289"/>
      <c r="B145" s="289"/>
      <c r="C145" s="289"/>
      <c r="D145" s="289"/>
      <c r="E145" s="289"/>
      <c r="F145" s="289"/>
      <c r="G145" s="289"/>
      <c r="H145" s="289"/>
      <c r="I145" s="289"/>
      <c r="J145" s="289"/>
      <c r="K145" s="289"/>
      <c r="L145" s="289"/>
      <c r="M145" s="289"/>
      <c r="N145" s="289"/>
      <c r="O145" s="289"/>
      <c r="P145" s="289"/>
      <c r="Q145" s="289"/>
      <c r="R145" s="289"/>
      <c r="S145" s="289"/>
      <c r="T145" s="289"/>
      <c r="U145" s="289"/>
      <c r="V145" s="289"/>
      <c r="W145" s="289"/>
      <c r="X145" s="289"/>
      <c r="Y145" s="289"/>
      <c r="Z145" s="289"/>
      <c r="AA145" s="289"/>
      <c r="AB145" s="289"/>
      <c r="AC145" s="289"/>
      <c r="AD145" s="289"/>
      <c r="AE145" s="289"/>
      <c r="AF145" s="289"/>
      <c r="AG145" s="289"/>
      <c r="AH145" s="289"/>
      <c r="AI145" s="289"/>
      <c r="AJ145" s="289"/>
      <c r="AK145" s="289"/>
      <c r="AL145" s="289"/>
      <c r="AM145" s="289"/>
      <c r="AN145" s="289"/>
      <c r="AO145" s="289"/>
      <c r="AP145" s="289"/>
      <c r="AQ145" s="289"/>
      <c r="AR145" s="289"/>
    </row>
    <row r="146" spans="1:44" x14ac:dyDescent="0.2">
      <c r="A146" s="289"/>
      <c r="B146" s="289"/>
      <c r="C146" s="289"/>
      <c r="D146" s="289"/>
      <c r="E146" s="289"/>
      <c r="F146" s="289"/>
      <c r="G146" s="289"/>
      <c r="H146" s="289"/>
      <c r="I146" s="289"/>
      <c r="J146" s="289"/>
      <c r="K146" s="289"/>
      <c r="L146" s="289"/>
      <c r="M146" s="289"/>
      <c r="N146" s="289"/>
      <c r="O146" s="289"/>
      <c r="P146" s="289"/>
      <c r="Q146" s="289"/>
      <c r="R146" s="289"/>
      <c r="S146" s="289"/>
      <c r="T146" s="289"/>
      <c r="U146" s="289"/>
      <c r="V146" s="289"/>
      <c r="W146" s="289"/>
      <c r="X146" s="289"/>
      <c r="Y146" s="289"/>
      <c r="Z146" s="289"/>
      <c r="AA146" s="289"/>
      <c r="AB146" s="289"/>
      <c r="AC146" s="289"/>
      <c r="AD146" s="289"/>
      <c r="AE146" s="289"/>
      <c r="AF146" s="289"/>
      <c r="AG146" s="289"/>
      <c r="AH146" s="289"/>
      <c r="AI146" s="289"/>
      <c r="AJ146" s="289"/>
      <c r="AK146" s="289"/>
      <c r="AL146" s="289"/>
      <c r="AM146" s="289"/>
      <c r="AN146" s="289"/>
      <c r="AO146" s="289"/>
      <c r="AP146" s="289"/>
      <c r="AQ146" s="289"/>
      <c r="AR146" s="289"/>
    </row>
    <row r="147" spans="1:44" x14ac:dyDescent="0.2">
      <c r="A147" s="289"/>
      <c r="B147" s="289"/>
      <c r="C147" s="289"/>
      <c r="D147" s="289"/>
      <c r="E147" s="289"/>
      <c r="F147" s="289"/>
      <c r="G147" s="289"/>
      <c r="H147" s="289"/>
      <c r="I147" s="289"/>
      <c r="J147" s="289"/>
      <c r="K147" s="289"/>
      <c r="L147" s="289"/>
      <c r="M147" s="289"/>
      <c r="N147" s="289"/>
      <c r="O147" s="289"/>
      <c r="P147" s="289"/>
      <c r="Q147" s="289"/>
      <c r="R147" s="289"/>
      <c r="S147" s="289"/>
      <c r="T147" s="289"/>
      <c r="U147" s="289"/>
      <c r="V147" s="289"/>
      <c r="W147" s="289"/>
      <c r="X147" s="289"/>
      <c r="Y147" s="289"/>
      <c r="Z147" s="289"/>
      <c r="AA147" s="289"/>
      <c r="AB147" s="289"/>
      <c r="AC147" s="289"/>
      <c r="AD147" s="289"/>
      <c r="AE147" s="289"/>
      <c r="AF147" s="289"/>
      <c r="AG147" s="289"/>
      <c r="AH147" s="289"/>
      <c r="AI147" s="289"/>
      <c r="AJ147" s="289"/>
      <c r="AK147" s="289"/>
      <c r="AL147" s="289"/>
      <c r="AM147" s="289"/>
      <c r="AN147" s="289"/>
      <c r="AO147" s="289"/>
      <c r="AP147" s="289"/>
      <c r="AQ147" s="289"/>
      <c r="AR147" s="289"/>
    </row>
    <row r="148" spans="1:44" x14ac:dyDescent="0.2">
      <c r="A148" s="289"/>
      <c r="B148" s="289"/>
      <c r="C148" s="289"/>
      <c r="D148" s="289"/>
      <c r="E148" s="289"/>
      <c r="F148" s="289"/>
      <c r="G148" s="289"/>
      <c r="H148" s="289"/>
      <c r="I148" s="289"/>
      <c r="J148" s="289"/>
      <c r="K148" s="289"/>
      <c r="L148" s="289"/>
      <c r="M148" s="289"/>
      <c r="N148" s="289"/>
      <c r="O148" s="289"/>
      <c r="P148" s="289"/>
      <c r="Q148" s="289"/>
      <c r="R148" s="289"/>
      <c r="S148" s="289"/>
      <c r="T148" s="289"/>
      <c r="U148" s="289"/>
      <c r="V148" s="289"/>
      <c r="W148" s="289"/>
      <c r="X148" s="289"/>
      <c r="Y148" s="289"/>
      <c r="Z148" s="289"/>
      <c r="AA148" s="289"/>
      <c r="AB148" s="289"/>
      <c r="AC148" s="289"/>
      <c r="AD148" s="289"/>
      <c r="AE148" s="289"/>
      <c r="AF148" s="289"/>
      <c r="AG148" s="289"/>
      <c r="AH148" s="289"/>
      <c r="AI148" s="289"/>
      <c r="AJ148" s="289"/>
      <c r="AK148" s="289"/>
      <c r="AL148" s="289"/>
      <c r="AM148" s="289"/>
      <c r="AN148" s="289"/>
      <c r="AO148" s="289"/>
      <c r="AP148" s="289"/>
      <c r="AQ148" s="289"/>
      <c r="AR148" s="289"/>
    </row>
    <row r="149" spans="1:44" x14ac:dyDescent="0.2">
      <c r="A149" s="289"/>
      <c r="B149" s="289"/>
      <c r="C149" s="289"/>
      <c r="D149" s="289"/>
      <c r="E149" s="289"/>
      <c r="F149" s="289"/>
      <c r="G149" s="289"/>
      <c r="H149" s="289"/>
      <c r="I149" s="289"/>
      <c r="J149" s="289"/>
      <c r="K149" s="289"/>
      <c r="L149" s="289"/>
      <c r="M149" s="289"/>
      <c r="N149" s="289"/>
      <c r="O149" s="289"/>
      <c r="P149" s="289"/>
      <c r="Q149" s="289"/>
      <c r="R149" s="289"/>
      <c r="S149" s="289"/>
      <c r="T149" s="289"/>
      <c r="U149" s="289"/>
      <c r="V149" s="289"/>
      <c r="W149" s="289"/>
      <c r="X149" s="289"/>
      <c r="Y149" s="289"/>
      <c r="Z149" s="289"/>
      <c r="AA149" s="289"/>
      <c r="AB149" s="289"/>
      <c r="AC149" s="289"/>
      <c r="AD149" s="289"/>
      <c r="AE149" s="289"/>
      <c r="AF149" s="289"/>
      <c r="AG149" s="289"/>
      <c r="AH149" s="289"/>
      <c r="AI149" s="289"/>
      <c r="AJ149" s="289"/>
      <c r="AK149" s="289"/>
      <c r="AL149" s="289"/>
      <c r="AM149" s="289"/>
      <c r="AN149" s="289"/>
      <c r="AO149" s="289"/>
      <c r="AP149" s="289"/>
      <c r="AQ149" s="289"/>
      <c r="AR149" s="289"/>
    </row>
    <row r="150" spans="1:44" x14ac:dyDescent="0.2">
      <c r="A150" s="289"/>
      <c r="B150" s="289"/>
      <c r="C150" s="289"/>
      <c r="D150" s="289"/>
      <c r="E150" s="289"/>
      <c r="F150" s="289"/>
      <c r="G150" s="289"/>
      <c r="H150" s="289"/>
      <c r="I150" s="289"/>
      <c r="J150" s="289"/>
      <c r="K150" s="289"/>
      <c r="L150" s="289"/>
      <c r="M150" s="289"/>
      <c r="N150" s="289"/>
      <c r="O150" s="289"/>
      <c r="P150" s="289"/>
      <c r="Q150" s="289"/>
      <c r="R150" s="289"/>
      <c r="S150" s="289"/>
      <c r="T150" s="289"/>
      <c r="U150" s="289"/>
      <c r="V150" s="289"/>
      <c r="W150" s="289"/>
      <c r="X150" s="289"/>
      <c r="Y150" s="289"/>
      <c r="Z150" s="289"/>
      <c r="AA150" s="289"/>
      <c r="AB150" s="289"/>
      <c r="AC150" s="289"/>
      <c r="AD150" s="289"/>
      <c r="AE150" s="289"/>
      <c r="AF150" s="289"/>
      <c r="AG150" s="289"/>
      <c r="AH150" s="289"/>
      <c r="AI150" s="289"/>
      <c r="AJ150" s="289"/>
      <c r="AK150" s="289"/>
      <c r="AL150" s="289"/>
      <c r="AM150" s="289"/>
      <c r="AN150" s="289"/>
      <c r="AO150" s="289"/>
      <c r="AP150" s="289"/>
      <c r="AQ150" s="289"/>
      <c r="AR150" s="289"/>
    </row>
    <row r="151" spans="1:44" x14ac:dyDescent="0.2">
      <c r="A151" s="289"/>
      <c r="B151" s="289"/>
      <c r="C151" s="289"/>
      <c r="D151" s="289"/>
      <c r="E151" s="289"/>
      <c r="F151" s="289"/>
      <c r="G151" s="289"/>
      <c r="H151" s="289"/>
      <c r="I151" s="289"/>
      <c r="J151" s="289"/>
      <c r="K151" s="289"/>
      <c r="L151" s="289"/>
      <c r="M151" s="289"/>
      <c r="N151" s="289"/>
      <c r="O151" s="289"/>
      <c r="P151" s="289"/>
      <c r="Q151" s="289"/>
      <c r="R151" s="289"/>
      <c r="S151" s="289"/>
      <c r="T151" s="289"/>
      <c r="U151" s="289"/>
      <c r="V151" s="289"/>
      <c r="W151" s="289"/>
      <c r="X151" s="289"/>
      <c r="Y151" s="289"/>
      <c r="Z151" s="289"/>
      <c r="AA151" s="289"/>
      <c r="AB151" s="289"/>
      <c r="AC151" s="289"/>
      <c r="AD151" s="289"/>
      <c r="AE151" s="289"/>
      <c r="AF151" s="289"/>
      <c r="AG151" s="289"/>
      <c r="AH151" s="289"/>
      <c r="AI151" s="289"/>
      <c r="AJ151" s="289"/>
      <c r="AK151" s="289"/>
      <c r="AL151" s="289"/>
      <c r="AM151" s="289"/>
      <c r="AN151" s="289"/>
      <c r="AO151" s="289"/>
      <c r="AP151" s="289"/>
      <c r="AQ151" s="289"/>
      <c r="AR151" s="289"/>
    </row>
    <row r="152" spans="1:44" x14ac:dyDescent="0.2">
      <c r="A152" s="289"/>
      <c r="B152" s="289"/>
      <c r="C152" s="289"/>
      <c r="D152" s="289"/>
      <c r="E152" s="289"/>
      <c r="F152" s="289"/>
      <c r="G152" s="289"/>
      <c r="H152" s="289"/>
      <c r="I152" s="289"/>
      <c r="J152" s="289"/>
      <c r="K152" s="289"/>
      <c r="L152" s="289"/>
      <c r="M152" s="289"/>
      <c r="N152" s="289"/>
      <c r="O152" s="289"/>
      <c r="P152" s="289"/>
      <c r="Q152" s="289"/>
      <c r="R152" s="289"/>
      <c r="S152" s="289"/>
      <c r="T152" s="289"/>
      <c r="U152" s="289"/>
      <c r="V152" s="289"/>
      <c r="W152" s="289"/>
      <c r="X152" s="289"/>
      <c r="Y152" s="289"/>
      <c r="Z152" s="289"/>
      <c r="AA152" s="289"/>
      <c r="AB152" s="289"/>
      <c r="AC152" s="289"/>
      <c r="AD152" s="289"/>
      <c r="AE152" s="289"/>
      <c r="AF152" s="289"/>
      <c r="AG152" s="289"/>
      <c r="AH152" s="289"/>
      <c r="AI152" s="289"/>
      <c r="AJ152" s="289"/>
      <c r="AK152" s="289"/>
      <c r="AL152" s="289"/>
      <c r="AM152" s="289"/>
      <c r="AN152" s="289"/>
      <c r="AO152" s="289"/>
      <c r="AP152" s="289"/>
      <c r="AQ152" s="289"/>
      <c r="AR152" s="289"/>
    </row>
    <row r="153" spans="1:44" x14ac:dyDescent="0.2">
      <c r="A153" s="289"/>
      <c r="B153" s="289"/>
      <c r="C153" s="289"/>
      <c r="D153" s="289"/>
      <c r="E153" s="289"/>
      <c r="F153" s="289"/>
      <c r="G153" s="289"/>
      <c r="H153" s="289"/>
      <c r="I153" s="289"/>
      <c r="J153" s="289"/>
      <c r="K153" s="289"/>
      <c r="L153" s="289"/>
      <c r="M153" s="289"/>
      <c r="N153" s="289"/>
      <c r="O153" s="289"/>
      <c r="P153" s="289"/>
      <c r="Q153" s="289"/>
      <c r="R153" s="289"/>
      <c r="S153" s="289"/>
      <c r="T153" s="289"/>
      <c r="U153" s="289"/>
      <c r="V153" s="289"/>
      <c r="W153" s="289"/>
      <c r="X153" s="289"/>
      <c r="Y153" s="289"/>
      <c r="Z153" s="289"/>
      <c r="AA153" s="289"/>
      <c r="AB153" s="289"/>
      <c r="AC153" s="289"/>
      <c r="AD153" s="289"/>
      <c r="AE153" s="289"/>
      <c r="AF153" s="289"/>
      <c r="AG153" s="289"/>
      <c r="AH153" s="289"/>
      <c r="AI153" s="289"/>
      <c r="AJ153" s="289"/>
      <c r="AK153" s="289"/>
      <c r="AL153" s="289"/>
      <c r="AM153" s="289"/>
      <c r="AN153" s="289"/>
      <c r="AO153" s="289"/>
      <c r="AP153" s="289"/>
      <c r="AQ153" s="289"/>
      <c r="AR153" s="289"/>
    </row>
    <row r="154" spans="1:44" x14ac:dyDescent="0.2">
      <c r="A154" s="289"/>
      <c r="B154" s="289"/>
      <c r="C154" s="289"/>
      <c r="D154" s="289"/>
      <c r="E154" s="289"/>
      <c r="F154" s="289"/>
      <c r="G154" s="289"/>
      <c r="H154" s="289"/>
      <c r="I154" s="289"/>
      <c r="J154" s="289"/>
      <c r="K154" s="289"/>
      <c r="L154" s="289"/>
      <c r="M154" s="289"/>
      <c r="N154" s="289"/>
      <c r="O154" s="289"/>
      <c r="P154" s="289"/>
      <c r="Q154" s="289"/>
      <c r="R154" s="289"/>
      <c r="S154" s="289"/>
      <c r="T154" s="289"/>
      <c r="U154" s="289"/>
      <c r="V154" s="289"/>
      <c r="W154" s="289"/>
      <c r="X154" s="289"/>
      <c r="Y154" s="289"/>
      <c r="Z154" s="289"/>
      <c r="AA154" s="289"/>
      <c r="AB154" s="289"/>
      <c r="AC154" s="289"/>
      <c r="AD154" s="289"/>
      <c r="AE154" s="289"/>
      <c r="AF154" s="289"/>
      <c r="AG154" s="289"/>
      <c r="AH154" s="289"/>
      <c r="AI154" s="289"/>
      <c r="AJ154" s="289"/>
      <c r="AK154" s="289"/>
      <c r="AL154" s="289"/>
      <c r="AM154" s="289"/>
      <c r="AN154" s="289"/>
      <c r="AO154" s="289"/>
      <c r="AP154" s="289"/>
      <c r="AQ154" s="289"/>
      <c r="AR154" s="289"/>
    </row>
    <row r="155" spans="1:44" x14ac:dyDescent="0.2">
      <c r="A155" s="289"/>
      <c r="B155" s="289"/>
      <c r="C155" s="289"/>
      <c r="D155" s="289"/>
      <c r="E155" s="289"/>
      <c r="F155" s="289"/>
      <c r="G155" s="289"/>
      <c r="H155" s="289"/>
      <c r="I155" s="289"/>
      <c r="J155" s="289"/>
      <c r="K155" s="289"/>
      <c r="L155" s="289"/>
      <c r="M155" s="289"/>
      <c r="N155" s="289"/>
      <c r="O155" s="289"/>
      <c r="P155" s="289"/>
      <c r="Q155" s="289"/>
      <c r="R155" s="289"/>
      <c r="S155" s="289"/>
      <c r="T155" s="289"/>
      <c r="U155" s="289"/>
      <c r="V155" s="289"/>
      <c r="W155" s="289"/>
      <c r="X155" s="289"/>
      <c r="Y155" s="289"/>
      <c r="Z155" s="289"/>
      <c r="AA155" s="289"/>
      <c r="AB155" s="289"/>
      <c r="AC155" s="289"/>
      <c r="AD155" s="289"/>
      <c r="AE155" s="289"/>
      <c r="AF155" s="289"/>
      <c r="AG155" s="289"/>
      <c r="AH155" s="289"/>
      <c r="AI155" s="289"/>
      <c r="AJ155" s="289"/>
      <c r="AK155" s="289"/>
      <c r="AL155" s="289"/>
      <c r="AM155" s="289"/>
      <c r="AN155" s="289"/>
      <c r="AO155" s="289"/>
      <c r="AP155" s="289"/>
      <c r="AQ155" s="289"/>
      <c r="AR155" s="289"/>
    </row>
    <row r="156" spans="1:44" x14ac:dyDescent="0.2">
      <c r="A156" s="289"/>
      <c r="B156" s="289"/>
      <c r="C156" s="289"/>
      <c r="D156" s="289"/>
      <c r="E156" s="289"/>
      <c r="F156" s="289"/>
      <c r="G156" s="289"/>
      <c r="H156" s="289"/>
      <c r="I156" s="289"/>
      <c r="J156" s="289"/>
      <c r="K156" s="289"/>
      <c r="L156" s="289"/>
      <c r="M156" s="289"/>
      <c r="N156" s="289"/>
      <c r="O156" s="289"/>
      <c r="P156" s="289"/>
      <c r="Q156" s="289"/>
      <c r="R156" s="289"/>
      <c r="S156" s="289"/>
      <c r="T156" s="289"/>
      <c r="U156" s="289"/>
      <c r="V156" s="289"/>
      <c r="W156" s="289"/>
      <c r="X156" s="289"/>
      <c r="Y156" s="289"/>
      <c r="Z156" s="289"/>
      <c r="AA156" s="289"/>
      <c r="AB156" s="289"/>
      <c r="AC156" s="289"/>
      <c r="AD156" s="289"/>
      <c r="AE156" s="289"/>
      <c r="AF156" s="289"/>
      <c r="AG156" s="289"/>
      <c r="AH156" s="289"/>
      <c r="AI156" s="289"/>
      <c r="AJ156" s="289"/>
      <c r="AK156" s="289"/>
      <c r="AL156" s="289"/>
      <c r="AM156" s="289"/>
      <c r="AN156" s="289"/>
      <c r="AO156" s="289"/>
      <c r="AP156" s="289"/>
      <c r="AQ156" s="289"/>
      <c r="AR156" s="289"/>
    </row>
    <row r="157" spans="1:44" x14ac:dyDescent="0.2">
      <c r="A157" s="289"/>
      <c r="B157" s="289"/>
      <c r="C157" s="289"/>
      <c r="D157" s="289"/>
      <c r="E157" s="289"/>
      <c r="F157" s="289"/>
      <c r="G157" s="289"/>
      <c r="H157" s="289"/>
      <c r="I157" s="289"/>
      <c r="J157" s="289"/>
      <c r="K157" s="289"/>
      <c r="L157" s="289"/>
      <c r="M157" s="289"/>
      <c r="N157" s="289"/>
      <c r="O157" s="289"/>
      <c r="P157" s="289"/>
      <c r="Q157" s="289"/>
      <c r="R157" s="289"/>
      <c r="S157" s="289"/>
      <c r="T157" s="289"/>
      <c r="U157" s="289"/>
      <c r="V157" s="289"/>
      <c r="W157" s="289"/>
      <c r="X157" s="289"/>
      <c r="Y157" s="289"/>
      <c r="Z157" s="289"/>
      <c r="AA157" s="289"/>
      <c r="AB157" s="289"/>
      <c r="AC157" s="289"/>
      <c r="AD157" s="289"/>
      <c r="AE157" s="289"/>
      <c r="AF157" s="289"/>
      <c r="AG157" s="289"/>
      <c r="AH157" s="289"/>
      <c r="AI157" s="289"/>
      <c r="AJ157" s="289"/>
      <c r="AK157" s="289"/>
      <c r="AL157" s="289"/>
      <c r="AM157" s="289"/>
      <c r="AN157" s="289"/>
      <c r="AO157" s="289"/>
      <c r="AP157" s="289"/>
      <c r="AQ157" s="289"/>
      <c r="AR157" s="289"/>
    </row>
    <row r="158" spans="1:44" x14ac:dyDescent="0.2">
      <c r="A158" s="289"/>
      <c r="B158" s="289"/>
      <c r="C158" s="289"/>
      <c r="D158" s="289"/>
      <c r="E158" s="289"/>
      <c r="F158" s="289"/>
      <c r="G158" s="289"/>
      <c r="H158" s="289"/>
      <c r="I158" s="289"/>
      <c r="J158" s="289"/>
      <c r="K158" s="289"/>
      <c r="L158" s="289"/>
      <c r="M158" s="289"/>
      <c r="N158" s="289"/>
      <c r="O158" s="289"/>
      <c r="P158" s="289"/>
      <c r="Q158" s="289"/>
      <c r="R158" s="289"/>
      <c r="S158" s="289"/>
      <c r="T158" s="289"/>
      <c r="U158" s="289"/>
      <c r="V158" s="289"/>
      <c r="W158" s="289"/>
      <c r="X158" s="289"/>
      <c r="Y158" s="289"/>
      <c r="Z158" s="289"/>
      <c r="AA158" s="289"/>
      <c r="AB158" s="289"/>
      <c r="AC158" s="289"/>
      <c r="AD158" s="289"/>
      <c r="AE158" s="289"/>
      <c r="AF158" s="289"/>
      <c r="AG158" s="289"/>
      <c r="AH158" s="289"/>
      <c r="AI158" s="289"/>
      <c r="AJ158" s="289"/>
      <c r="AK158" s="289"/>
      <c r="AL158" s="289"/>
      <c r="AM158" s="289"/>
      <c r="AN158" s="289"/>
      <c r="AO158" s="289"/>
      <c r="AP158" s="289"/>
      <c r="AQ158" s="289"/>
      <c r="AR158" s="289"/>
    </row>
    <row r="159" spans="1:44" x14ac:dyDescent="0.2">
      <c r="A159" s="289"/>
      <c r="B159" s="289"/>
      <c r="C159" s="289"/>
      <c r="D159" s="289"/>
      <c r="E159" s="289"/>
      <c r="F159" s="289"/>
      <c r="G159" s="289"/>
      <c r="H159" s="289"/>
      <c r="I159" s="289"/>
      <c r="J159" s="289"/>
      <c r="K159" s="289"/>
      <c r="L159" s="289"/>
      <c r="M159" s="289"/>
      <c r="N159" s="289"/>
      <c r="O159" s="289"/>
      <c r="P159" s="289"/>
      <c r="Q159" s="289"/>
      <c r="R159" s="289"/>
      <c r="S159" s="289"/>
      <c r="T159" s="289"/>
      <c r="U159" s="289"/>
      <c r="V159" s="289"/>
      <c r="W159" s="289"/>
      <c r="X159" s="289"/>
      <c r="Y159" s="289"/>
      <c r="Z159" s="289"/>
      <c r="AA159" s="289"/>
      <c r="AB159" s="289"/>
      <c r="AC159" s="289"/>
      <c r="AD159" s="289"/>
      <c r="AE159" s="289"/>
      <c r="AF159" s="289"/>
      <c r="AG159" s="289"/>
      <c r="AH159" s="289"/>
      <c r="AI159" s="289"/>
      <c r="AJ159" s="289"/>
      <c r="AK159" s="289"/>
      <c r="AL159" s="289"/>
      <c r="AM159" s="289"/>
      <c r="AN159" s="289"/>
      <c r="AO159" s="289"/>
      <c r="AP159" s="289"/>
      <c r="AQ159" s="289"/>
      <c r="AR159" s="289"/>
    </row>
    <row r="160" spans="1:44" x14ac:dyDescent="0.2">
      <c r="A160" s="289"/>
      <c r="B160" s="289"/>
      <c r="C160" s="289"/>
      <c r="D160" s="289"/>
      <c r="E160" s="289"/>
      <c r="F160" s="289"/>
      <c r="G160" s="289"/>
      <c r="H160" s="289"/>
      <c r="I160" s="289"/>
      <c r="J160" s="289"/>
      <c r="K160" s="289"/>
      <c r="L160" s="289"/>
      <c r="M160" s="289"/>
      <c r="N160" s="289"/>
      <c r="O160" s="289"/>
      <c r="P160" s="289"/>
      <c r="Q160" s="289"/>
      <c r="R160" s="289"/>
      <c r="S160" s="289"/>
      <c r="T160" s="289"/>
      <c r="U160" s="289"/>
      <c r="V160" s="289"/>
      <c r="W160" s="289"/>
      <c r="X160" s="289"/>
      <c r="Y160" s="289"/>
      <c r="Z160" s="289"/>
      <c r="AA160" s="289"/>
      <c r="AB160" s="289"/>
      <c r="AC160" s="289"/>
      <c r="AD160" s="289"/>
      <c r="AE160" s="289"/>
      <c r="AF160" s="289"/>
      <c r="AG160" s="289"/>
      <c r="AH160" s="289"/>
      <c r="AI160" s="289"/>
      <c r="AJ160" s="289"/>
      <c r="AK160" s="289"/>
      <c r="AL160" s="289"/>
      <c r="AM160" s="289"/>
      <c r="AN160" s="289"/>
      <c r="AO160" s="289"/>
      <c r="AP160" s="289"/>
      <c r="AQ160" s="289"/>
      <c r="AR160" s="289"/>
    </row>
    <row r="161" spans="1:44" x14ac:dyDescent="0.2">
      <c r="A161" s="289"/>
      <c r="B161" s="289"/>
      <c r="C161" s="289"/>
      <c r="D161" s="289"/>
      <c r="E161" s="289"/>
      <c r="F161" s="289"/>
      <c r="G161" s="289"/>
      <c r="H161" s="289"/>
      <c r="I161" s="289"/>
      <c r="J161" s="289"/>
      <c r="K161" s="289"/>
      <c r="L161" s="289"/>
      <c r="M161" s="289"/>
      <c r="N161" s="289"/>
      <c r="O161" s="289"/>
      <c r="P161" s="289"/>
      <c r="Q161" s="289"/>
      <c r="R161" s="289"/>
      <c r="S161" s="289"/>
      <c r="T161" s="289"/>
      <c r="U161" s="289"/>
      <c r="V161" s="289"/>
      <c r="W161" s="289"/>
      <c r="X161" s="289"/>
      <c r="Y161" s="289"/>
      <c r="Z161" s="289"/>
      <c r="AA161" s="289"/>
      <c r="AB161" s="289"/>
      <c r="AC161" s="289"/>
      <c r="AD161" s="289"/>
      <c r="AE161" s="289"/>
      <c r="AF161" s="289"/>
      <c r="AG161" s="289"/>
      <c r="AH161" s="289"/>
      <c r="AI161" s="289"/>
      <c r="AJ161" s="289"/>
      <c r="AK161" s="289"/>
      <c r="AL161" s="289"/>
      <c r="AM161" s="289"/>
      <c r="AN161" s="289"/>
      <c r="AO161" s="289"/>
      <c r="AP161" s="289"/>
      <c r="AQ161" s="289"/>
      <c r="AR161" s="289"/>
    </row>
    <row r="162" spans="1:44" x14ac:dyDescent="0.2">
      <c r="A162" s="289"/>
      <c r="B162" s="289"/>
      <c r="C162" s="289"/>
      <c r="D162" s="289"/>
      <c r="E162" s="289"/>
      <c r="F162" s="289"/>
      <c r="G162" s="289"/>
      <c r="H162" s="289"/>
      <c r="I162" s="289"/>
      <c r="J162" s="289"/>
      <c r="K162" s="289"/>
      <c r="L162" s="289"/>
      <c r="M162" s="289"/>
      <c r="N162" s="289"/>
      <c r="O162" s="289"/>
      <c r="P162" s="289"/>
      <c r="Q162" s="289"/>
      <c r="R162" s="289"/>
      <c r="S162" s="289"/>
      <c r="T162" s="289"/>
      <c r="U162" s="289"/>
      <c r="V162" s="289"/>
      <c r="W162" s="289"/>
      <c r="X162" s="289"/>
      <c r="Y162" s="289"/>
      <c r="Z162" s="289"/>
      <c r="AA162" s="289"/>
      <c r="AB162" s="289"/>
      <c r="AC162" s="289"/>
      <c r="AD162" s="289"/>
      <c r="AE162" s="289"/>
      <c r="AF162" s="289"/>
      <c r="AG162" s="289"/>
      <c r="AH162" s="289"/>
      <c r="AI162" s="289"/>
      <c r="AJ162" s="289"/>
      <c r="AK162" s="289"/>
      <c r="AL162" s="289"/>
      <c r="AM162" s="289"/>
      <c r="AN162" s="289"/>
      <c r="AO162" s="289"/>
      <c r="AP162" s="289"/>
      <c r="AQ162" s="289"/>
      <c r="AR162" s="289"/>
    </row>
    <row r="163" spans="1:44" x14ac:dyDescent="0.2">
      <c r="A163" s="289"/>
      <c r="B163" s="289"/>
      <c r="C163" s="289"/>
      <c r="D163" s="289"/>
      <c r="E163" s="289"/>
      <c r="F163" s="289"/>
      <c r="G163" s="289"/>
      <c r="H163" s="289"/>
      <c r="I163" s="289"/>
      <c r="J163" s="289"/>
      <c r="K163" s="289"/>
      <c r="L163" s="289"/>
      <c r="M163" s="289"/>
      <c r="N163" s="289"/>
      <c r="O163" s="289"/>
      <c r="P163" s="289"/>
      <c r="Q163" s="289"/>
      <c r="R163" s="289"/>
      <c r="S163" s="289"/>
      <c r="T163" s="289"/>
      <c r="U163" s="289"/>
      <c r="V163" s="289"/>
      <c r="W163" s="289"/>
      <c r="X163" s="289"/>
      <c r="Y163" s="289"/>
      <c r="Z163" s="289"/>
      <c r="AA163" s="289"/>
      <c r="AB163" s="289"/>
      <c r="AC163" s="289"/>
      <c r="AD163" s="289"/>
      <c r="AE163" s="289"/>
      <c r="AF163" s="289"/>
      <c r="AG163" s="289"/>
      <c r="AH163" s="289"/>
      <c r="AI163" s="289"/>
      <c r="AJ163" s="289"/>
      <c r="AK163" s="289"/>
      <c r="AL163" s="289"/>
      <c r="AM163" s="289"/>
      <c r="AN163" s="289"/>
      <c r="AO163" s="289"/>
      <c r="AP163" s="289"/>
      <c r="AQ163" s="289"/>
      <c r="AR163" s="289"/>
    </row>
    <row r="164" spans="1:44" x14ac:dyDescent="0.2">
      <c r="A164" s="289"/>
      <c r="B164" s="289"/>
      <c r="C164" s="289"/>
      <c r="D164" s="289"/>
      <c r="E164" s="289"/>
      <c r="F164" s="289"/>
      <c r="G164" s="289"/>
      <c r="H164" s="289"/>
      <c r="I164" s="289"/>
      <c r="J164" s="289"/>
      <c r="K164" s="289"/>
      <c r="L164" s="289"/>
      <c r="M164" s="289"/>
      <c r="N164" s="289"/>
      <c r="O164" s="289"/>
      <c r="P164" s="289"/>
      <c r="Q164" s="289"/>
      <c r="R164" s="289"/>
      <c r="S164" s="289"/>
      <c r="T164" s="289"/>
      <c r="U164" s="289"/>
      <c r="V164" s="289"/>
      <c r="W164" s="289"/>
      <c r="X164" s="289"/>
      <c r="Y164" s="289"/>
      <c r="Z164" s="289"/>
      <c r="AA164" s="289"/>
      <c r="AB164" s="289"/>
      <c r="AC164" s="289"/>
      <c r="AD164" s="289"/>
      <c r="AE164" s="289"/>
      <c r="AF164" s="289"/>
      <c r="AG164" s="289"/>
      <c r="AH164" s="289"/>
      <c r="AI164" s="289"/>
      <c r="AJ164" s="289"/>
      <c r="AK164" s="289"/>
      <c r="AL164" s="289"/>
      <c r="AM164" s="289"/>
      <c r="AN164" s="289"/>
      <c r="AO164" s="289"/>
      <c r="AP164" s="289"/>
      <c r="AQ164" s="289"/>
      <c r="AR164" s="289"/>
    </row>
    <row r="165" spans="1:44" x14ac:dyDescent="0.2">
      <c r="A165" s="289"/>
      <c r="B165" s="289"/>
      <c r="C165" s="289"/>
      <c r="D165" s="289"/>
      <c r="E165" s="289"/>
      <c r="F165" s="289"/>
      <c r="G165" s="289"/>
      <c r="H165" s="289"/>
      <c r="I165" s="289"/>
      <c r="J165" s="289"/>
      <c r="K165" s="289"/>
      <c r="L165" s="289"/>
      <c r="M165" s="289"/>
      <c r="N165" s="289"/>
      <c r="O165" s="289"/>
      <c r="P165" s="289"/>
      <c r="Q165" s="289"/>
      <c r="R165" s="289"/>
      <c r="S165" s="289"/>
      <c r="T165" s="289"/>
      <c r="U165" s="289"/>
      <c r="V165" s="289"/>
      <c r="W165" s="289"/>
      <c r="X165" s="289"/>
      <c r="Y165" s="289"/>
      <c r="Z165" s="289"/>
      <c r="AA165" s="289"/>
      <c r="AB165" s="289"/>
      <c r="AC165" s="289"/>
      <c r="AD165" s="289"/>
      <c r="AE165" s="289"/>
      <c r="AF165" s="289"/>
      <c r="AG165" s="289"/>
      <c r="AH165" s="289"/>
      <c r="AI165" s="289"/>
      <c r="AJ165" s="289"/>
      <c r="AK165" s="289"/>
      <c r="AL165" s="289"/>
      <c r="AM165" s="289"/>
      <c r="AN165" s="289"/>
      <c r="AO165" s="289"/>
      <c r="AP165" s="289"/>
      <c r="AQ165" s="289"/>
      <c r="AR165" s="289"/>
    </row>
    <row r="166" spans="1:44" x14ac:dyDescent="0.2">
      <c r="A166" s="289"/>
      <c r="B166" s="289"/>
      <c r="C166" s="289"/>
      <c r="D166" s="289"/>
      <c r="E166" s="289"/>
      <c r="F166" s="289"/>
      <c r="G166" s="289"/>
      <c r="H166" s="289"/>
      <c r="I166" s="289"/>
      <c r="J166" s="289"/>
      <c r="K166" s="289"/>
      <c r="L166" s="289"/>
      <c r="M166" s="289"/>
      <c r="N166" s="289"/>
      <c r="O166" s="289"/>
      <c r="P166" s="289"/>
      <c r="Q166" s="289"/>
      <c r="R166" s="289"/>
      <c r="S166" s="289"/>
      <c r="T166" s="289"/>
      <c r="U166" s="289"/>
      <c r="V166" s="289"/>
      <c r="W166" s="289"/>
      <c r="X166" s="289"/>
      <c r="Y166" s="289"/>
      <c r="Z166" s="289"/>
      <c r="AA166" s="289"/>
      <c r="AB166" s="289"/>
      <c r="AC166" s="289"/>
      <c r="AD166" s="289"/>
      <c r="AE166" s="289"/>
      <c r="AF166" s="289"/>
      <c r="AG166" s="289"/>
      <c r="AH166" s="289"/>
      <c r="AI166" s="289"/>
      <c r="AJ166" s="289"/>
      <c r="AK166" s="289"/>
      <c r="AL166" s="289"/>
      <c r="AM166" s="289"/>
      <c r="AN166" s="289"/>
      <c r="AO166" s="289"/>
      <c r="AP166" s="289"/>
      <c r="AQ166" s="289"/>
      <c r="AR166" s="289"/>
    </row>
    <row r="167" spans="1:44" x14ac:dyDescent="0.2">
      <c r="A167" s="289"/>
      <c r="B167" s="289"/>
      <c r="C167" s="289"/>
      <c r="D167" s="289"/>
      <c r="E167" s="289"/>
      <c r="F167" s="289"/>
      <c r="G167" s="289"/>
      <c r="H167" s="289"/>
      <c r="I167" s="289"/>
      <c r="J167" s="289"/>
      <c r="K167" s="289"/>
      <c r="L167" s="289"/>
      <c r="M167" s="289"/>
      <c r="N167" s="289"/>
      <c r="O167" s="289"/>
      <c r="P167" s="289"/>
      <c r="Q167" s="289"/>
      <c r="R167" s="289"/>
      <c r="S167" s="289"/>
      <c r="T167" s="289"/>
      <c r="U167" s="289"/>
      <c r="V167" s="289"/>
      <c r="W167" s="289"/>
      <c r="X167" s="289"/>
      <c r="Y167" s="289"/>
      <c r="Z167" s="289"/>
      <c r="AA167" s="289"/>
      <c r="AB167" s="289"/>
      <c r="AC167" s="289"/>
      <c r="AD167" s="289"/>
      <c r="AE167" s="289"/>
      <c r="AF167" s="289"/>
      <c r="AG167" s="289"/>
      <c r="AH167" s="289"/>
      <c r="AI167" s="289"/>
      <c r="AJ167" s="289"/>
      <c r="AK167" s="289"/>
      <c r="AL167" s="289"/>
      <c r="AM167" s="289"/>
      <c r="AN167" s="289"/>
      <c r="AO167" s="289"/>
      <c r="AP167" s="289"/>
      <c r="AQ167" s="289"/>
      <c r="AR167" s="289"/>
    </row>
    <row r="168" spans="1:44" x14ac:dyDescent="0.2">
      <c r="A168" s="289"/>
      <c r="B168" s="289"/>
      <c r="C168" s="289"/>
      <c r="D168" s="289"/>
      <c r="E168" s="289"/>
      <c r="F168" s="289"/>
      <c r="G168" s="289"/>
      <c r="H168" s="289"/>
      <c r="I168" s="289"/>
      <c r="J168" s="289"/>
      <c r="K168" s="289"/>
      <c r="L168" s="289"/>
      <c r="M168" s="289"/>
      <c r="N168" s="289"/>
      <c r="O168" s="289"/>
      <c r="P168" s="289"/>
      <c r="Q168" s="289"/>
      <c r="R168" s="289"/>
      <c r="S168" s="289"/>
      <c r="T168" s="289"/>
      <c r="U168" s="289"/>
      <c r="V168" s="289"/>
      <c r="W168" s="289"/>
      <c r="X168" s="289"/>
      <c r="Y168" s="289"/>
      <c r="Z168" s="289"/>
      <c r="AA168" s="289"/>
      <c r="AB168" s="289"/>
      <c r="AC168" s="289"/>
      <c r="AD168" s="289"/>
      <c r="AE168" s="289"/>
      <c r="AF168" s="289"/>
      <c r="AG168" s="289"/>
      <c r="AH168" s="289"/>
      <c r="AI168" s="289"/>
      <c r="AJ168" s="289"/>
      <c r="AK168" s="289"/>
      <c r="AL168" s="289"/>
      <c r="AM168" s="289"/>
      <c r="AN168" s="289"/>
      <c r="AO168" s="289"/>
      <c r="AP168" s="289"/>
      <c r="AQ168" s="289"/>
      <c r="AR168" s="289"/>
    </row>
    <row r="169" spans="1:44" x14ac:dyDescent="0.2">
      <c r="A169" s="289"/>
      <c r="B169" s="289"/>
      <c r="C169" s="289"/>
      <c r="D169" s="289"/>
      <c r="E169" s="289"/>
      <c r="F169" s="289"/>
      <c r="G169" s="289"/>
      <c r="H169" s="289"/>
      <c r="I169" s="289"/>
      <c r="J169" s="289"/>
      <c r="K169" s="289"/>
      <c r="L169" s="289"/>
      <c r="M169" s="289"/>
      <c r="N169" s="289"/>
      <c r="O169" s="289"/>
      <c r="P169" s="289"/>
      <c r="Q169" s="289"/>
      <c r="R169" s="289"/>
      <c r="S169" s="289"/>
      <c r="T169" s="289"/>
      <c r="U169" s="289"/>
      <c r="V169" s="289"/>
      <c r="W169" s="289"/>
      <c r="X169" s="289"/>
      <c r="Y169" s="289"/>
      <c r="Z169" s="289"/>
      <c r="AA169" s="289"/>
      <c r="AB169" s="289"/>
      <c r="AC169" s="289"/>
      <c r="AD169" s="289"/>
      <c r="AE169" s="289"/>
      <c r="AF169" s="289"/>
      <c r="AG169" s="289"/>
      <c r="AH169" s="289"/>
      <c r="AI169" s="289"/>
      <c r="AJ169" s="289"/>
      <c r="AK169" s="289"/>
      <c r="AL169" s="289"/>
      <c r="AM169" s="289"/>
      <c r="AN169" s="289"/>
      <c r="AO169" s="289"/>
      <c r="AP169" s="289"/>
      <c r="AQ169" s="289"/>
      <c r="AR169" s="289"/>
    </row>
    <row r="170" spans="1:44" x14ac:dyDescent="0.2">
      <c r="A170" s="289"/>
      <c r="B170" s="289"/>
      <c r="C170" s="289"/>
      <c r="D170" s="289"/>
      <c r="E170" s="289"/>
      <c r="F170" s="289"/>
      <c r="G170" s="289"/>
      <c r="H170" s="289"/>
      <c r="I170" s="289"/>
      <c r="J170" s="289"/>
      <c r="K170" s="289"/>
      <c r="L170" s="289"/>
      <c r="M170" s="289"/>
      <c r="N170" s="289"/>
      <c r="O170" s="289"/>
      <c r="P170" s="289"/>
      <c r="Q170" s="289"/>
      <c r="R170" s="289"/>
      <c r="S170" s="289"/>
      <c r="T170" s="289"/>
      <c r="U170" s="289"/>
      <c r="V170" s="289"/>
      <c r="W170" s="289"/>
      <c r="X170" s="289"/>
      <c r="Y170" s="289"/>
      <c r="Z170" s="289"/>
      <c r="AA170" s="289"/>
      <c r="AB170" s="289"/>
      <c r="AC170" s="289"/>
      <c r="AD170" s="289"/>
      <c r="AE170" s="289"/>
      <c r="AF170" s="289"/>
      <c r="AG170" s="289"/>
      <c r="AH170" s="289"/>
      <c r="AI170" s="289"/>
      <c r="AJ170" s="289"/>
      <c r="AK170" s="289"/>
      <c r="AL170" s="289"/>
      <c r="AM170" s="289"/>
      <c r="AN170" s="289"/>
      <c r="AO170" s="289"/>
      <c r="AP170" s="289"/>
      <c r="AQ170" s="289"/>
      <c r="AR170" s="289"/>
    </row>
    <row r="171" spans="1:44" x14ac:dyDescent="0.2">
      <c r="A171" s="289"/>
      <c r="B171" s="289"/>
      <c r="C171" s="289"/>
      <c r="D171" s="289"/>
      <c r="E171" s="289"/>
      <c r="F171" s="289"/>
      <c r="G171" s="289"/>
      <c r="H171" s="289"/>
      <c r="I171" s="289"/>
      <c r="J171" s="289"/>
      <c r="K171" s="289"/>
      <c r="L171" s="289"/>
      <c r="M171" s="289"/>
      <c r="N171" s="289"/>
      <c r="O171" s="289"/>
      <c r="P171" s="289"/>
      <c r="Q171" s="289"/>
      <c r="R171" s="289"/>
      <c r="S171" s="289"/>
      <c r="T171" s="289"/>
      <c r="U171" s="289"/>
      <c r="V171" s="289"/>
      <c r="W171" s="289"/>
      <c r="X171" s="289"/>
      <c r="Y171" s="289"/>
      <c r="Z171" s="289"/>
      <c r="AA171" s="289"/>
      <c r="AB171" s="289"/>
      <c r="AC171" s="289"/>
      <c r="AD171" s="289"/>
      <c r="AE171" s="289"/>
      <c r="AF171" s="289"/>
      <c r="AG171" s="289"/>
      <c r="AH171" s="289"/>
      <c r="AI171" s="289"/>
      <c r="AJ171" s="289"/>
      <c r="AK171" s="289"/>
      <c r="AL171" s="289"/>
      <c r="AM171" s="289"/>
      <c r="AN171" s="289"/>
      <c r="AO171" s="289"/>
      <c r="AP171" s="289"/>
      <c r="AQ171" s="289"/>
      <c r="AR171" s="289"/>
    </row>
    <row r="172" spans="1:44" x14ac:dyDescent="0.2">
      <c r="A172" s="289"/>
      <c r="B172" s="289"/>
      <c r="C172" s="289"/>
      <c r="D172" s="289"/>
      <c r="E172" s="289"/>
      <c r="F172" s="289"/>
      <c r="G172" s="289"/>
      <c r="H172" s="289"/>
      <c r="I172" s="289"/>
      <c r="J172" s="289"/>
      <c r="K172" s="289"/>
      <c r="L172" s="289"/>
      <c r="M172" s="289"/>
      <c r="N172" s="289"/>
      <c r="O172" s="289"/>
      <c r="P172" s="289"/>
      <c r="Q172" s="289"/>
      <c r="R172" s="289"/>
      <c r="S172" s="289"/>
      <c r="T172" s="289"/>
      <c r="U172" s="289"/>
      <c r="V172" s="289"/>
      <c r="W172" s="289"/>
      <c r="X172" s="289"/>
      <c r="Y172" s="289"/>
      <c r="Z172" s="289"/>
      <c r="AA172" s="289"/>
      <c r="AB172" s="289"/>
      <c r="AC172" s="289"/>
      <c r="AD172" s="289"/>
      <c r="AE172" s="289"/>
      <c r="AF172" s="289"/>
      <c r="AG172" s="289"/>
      <c r="AH172" s="289"/>
      <c r="AI172" s="289"/>
      <c r="AJ172" s="289"/>
      <c r="AK172" s="289"/>
      <c r="AL172" s="289"/>
      <c r="AM172" s="289"/>
      <c r="AN172" s="289"/>
      <c r="AO172" s="289"/>
      <c r="AP172" s="289"/>
      <c r="AQ172" s="289"/>
      <c r="AR172" s="289"/>
    </row>
    <row r="173" spans="1:44" x14ac:dyDescent="0.2">
      <c r="A173" s="289"/>
      <c r="B173" s="289"/>
      <c r="C173" s="289"/>
      <c r="D173" s="289"/>
      <c r="E173" s="289"/>
      <c r="F173" s="289"/>
      <c r="G173" s="289"/>
      <c r="H173" s="289"/>
      <c r="I173" s="289"/>
      <c r="J173" s="289"/>
      <c r="K173" s="289"/>
      <c r="L173" s="289"/>
      <c r="M173" s="289"/>
      <c r="N173" s="289"/>
      <c r="O173" s="289"/>
      <c r="P173" s="289"/>
      <c r="Q173" s="289"/>
      <c r="R173" s="289"/>
      <c r="S173" s="289"/>
      <c r="T173" s="289"/>
      <c r="U173" s="289"/>
      <c r="V173" s="289"/>
      <c r="W173" s="289"/>
      <c r="X173" s="289"/>
      <c r="Y173" s="289"/>
      <c r="Z173" s="289"/>
      <c r="AA173" s="289"/>
      <c r="AB173" s="289"/>
      <c r="AC173" s="289"/>
      <c r="AD173" s="289"/>
      <c r="AE173" s="289"/>
      <c r="AF173" s="289"/>
      <c r="AG173" s="289"/>
      <c r="AH173" s="289"/>
      <c r="AI173" s="289"/>
      <c r="AJ173" s="289"/>
      <c r="AK173" s="289"/>
      <c r="AL173" s="289"/>
      <c r="AM173" s="289"/>
      <c r="AN173" s="289"/>
      <c r="AO173" s="289"/>
      <c r="AP173" s="289"/>
      <c r="AQ173" s="289"/>
      <c r="AR173" s="289"/>
    </row>
    <row r="174" spans="1:44" x14ac:dyDescent="0.2">
      <c r="A174" s="289"/>
      <c r="B174" s="289"/>
      <c r="C174" s="289"/>
      <c r="D174" s="289"/>
      <c r="E174" s="289"/>
      <c r="F174" s="289"/>
      <c r="G174" s="289"/>
      <c r="H174" s="289"/>
      <c r="I174" s="289"/>
      <c r="J174" s="289"/>
      <c r="K174" s="289"/>
      <c r="L174" s="289"/>
      <c r="M174" s="289"/>
      <c r="N174" s="289"/>
      <c r="O174" s="289"/>
      <c r="P174" s="289"/>
      <c r="Q174" s="289"/>
      <c r="R174" s="289"/>
      <c r="S174" s="289"/>
      <c r="T174" s="289"/>
      <c r="U174" s="289"/>
      <c r="V174" s="289"/>
      <c r="W174" s="289"/>
      <c r="X174" s="289"/>
      <c r="Y174" s="289"/>
      <c r="Z174" s="289"/>
      <c r="AA174" s="289"/>
      <c r="AB174" s="289"/>
      <c r="AC174" s="289"/>
      <c r="AD174" s="289"/>
      <c r="AE174" s="289"/>
      <c r="AF174" s="289"/>
      <c r="AG174" s="289"/>
      <c r="AH174" s="289"/>
      <c r="AI174" s="289"/>
      <c r="AJ174" s="289"/>
      <c r="AK174" s="289"/>
      <c r="AL174" s="289"/>
      <c r="AM174" s="289"/>
      <c r="AN174" s="289"/>
      <c r="AO174" s="289"/>
      <c r="AP174" s="289"/>
      <c r="AQ174" s="289"/>
      <c r="AR174" s="289"/>
    </row>
    <row r="175" spans="1:44" x14ac:dyDescent="0.2">
      <c r="A175" s="289"/>
      <c r="B175" s="289"/>
      <c r="C175" s="289"/>
      <c r="D175" s="289"/>
      <c r="E175" s="289"/>
      <c r="F175" s="289"/>
      <c r="G175" s="289"/>
      <c r="H175" s="289"/>
      <c r="I175" s="289"/>
      <c r="J175" s="289"/>
      <c r="K175" s="289"/>
      <c r="L175" s="289"/>
      <c r="M175" s="289"/>
      <c r="N175" s="289"/>
      <c r="O175" s="289"/>
      <c r="P175" s="289"/>
      <c r="Q175" s="289"/>
      <c r="R175" s="289"/>
      <c r="S175" s="289"/>
      <c r="T175" s="289"/>
      <c r="U175" s="289"/>
      <c r="V175" s="289"/>
      <c r="W175" s="289"/>
      <c r="X175" s="289"/>
      <c r="Y175" s="289"/>
      <c r="Z175" s="289"/>
      <c r="AA175" s="289"/>
      <c r="AB175" s="289"/>
      <c r="AC175" s="289"/>
      <c r="AD175" s="289"/>
      <c r="AE175" s="289"/>
      <c r="AF175" s="289"/>
      <c r="AG175" s="289"/>
      <c r="AH175" s="289"/>
      <c r="AI175" s="289"/>
      <c r="AJ175" s="289"/>
      <c r="AK175" s="289"/>
      <c r="AL175" s="289"/>
      <c r="AM175" s="289"/>
      <c r="AN175" s="289"/>
      <c r="AO175" s="289"/>
      <c r="AP175" s="289"/>
      <c r="AQ175" s="289"/>
      <c r="AR175" s="289"/>
    </row>
    <row r="176" spans="1:44" x14ac:dyDescent="0.2">
      <c r="A176" s="289"/>
      <c r="B176" s="289"/>
      <c r="C176" s="289"/>
      <c r="D176" s="289"/>
      <c r="E176" s="289"/>
      <c r="F176" s="289"/>
      <c r="G176" s="289"/>
      <c r="H176" s="289"/>
      <c r="I176" s="289"/>
      <c r="J176" s="289"/>
      <c r="K176" s="289"/>
      <c r="L176" s="289"/>
      <c r="M176" s="289"/>
      <c r="N176" s="289"/>
      <c r="O176" s="289"/>
      <c r="P176" s="289"/>
      <c r="Q176" s="289"/>
      <c r="R176" s="289"/>
      <c r="S176" s="289"/>
      <c r="T176" s="289"/>
      <c r="U176" s="289"/>
      <c r="V176" s="289"/>
      <c r="W176" s="289"/>
      <c r="X176" s="289"/>
      <c r="Y176" s="289"/>
      <c r="Z176" s="289"/>
      <c r="AA176" s="289"/>
      <c r="AB176" s="289"/>
      <c r="AC176" s="289"/>
      <c r="AD176" s="289"/>
      <c r="AE176" s="289"/>
      <c r="AF176" s="289"/>
      <c r="AG176" s="289"/>
      <c r="AH176" s="289"/>
      <c r="AI176" s="289"/>
      <c r="AJ176" s="289"/>
      <c r="AK176" s="289"/>
      <c r="AL176" s="289"/>
      <c r="AM176" s="289"/>
      <c r="AN176" s="289"/>
      <c r="AO176" s="289"/>
      <c r="AP176" s="289"/>
      <c r="AQ176" s="289"/>
      <c r="AR176" s="289"/>
    </row>
    <row r="177" spans="1:44" x14ac:dyDescent="0.2">
      <c r="A177" s="289"/>
      <c r="B177" s="289"/>
      <c r="C177" s="289"/>
      <c r="D177" s="289"/>
      <c r="E177" s="289"/>
      <c r="F177" s="289"/>
      <c r="G177" s="289"/>
      <c r="H177" s="289"/>
      <c r="I177" s="289"/>
      <c r="J177" s="289"/>
      <c r="K177" s="289"/>
      <c r="L177" s="289"/>
      <c r="M177" s="289"/>
      <c r="N177" s="289"/>
      <c r="O177" s="289"/>
      <c r="P177" s="289"/>
      <c r="Q177" s="289"/>
      <c r="R177" s="289"/>
      <c r="S177" s="289"/>
      <c r="T177" s="289"/>
      <c r="U177" s="289"/>
      <c r="V177" s="289"/>
      <c r="W177" s="289"/>
      <c r="X177" s="289"/>
      <c r="Y177" s="289"/>
      <c r="Z177" s="289"/>
      <c r="AA177" s="289"/>
      <c r="AB177" s="289"/>
      <c r="AC177" s="289"/>
      <c r="AD177" s="289"/>
      <c r="AE177" s="289"/>
      <c r="AF177" s="289"/>
      <c r="AG177" s="289"/>
      <c r="AH177" s="289"/>
      <c r="AI177" s="289"/>
      <c r="AJ177" s="289"/>
      <c r="AK177" s="289"/>
      <c r="AL177" s="289"/>
      <c r="AM177" s="289"/>
      <c r="AN177" s="289"/>
      <c r="AO177" s="289"/>
      <c r="AP177" s="289"/>
      <c r="AQ177" s="289"/>
      <c r="AR177" s="289"/>
    </row>
    <row r="178" spans="1:44" x14ac:dyDescent="0.2">
      <c r="A178" s="289"/>
      <c r="B178" s="289"/>
      <c r="C178" s="289"/>
      <c r="D178" s="289"/>
      <c r="E178" s="289"/>
      <c r="F178" s="289"/>
      <c r="G178" s="289"/>
      <c r="H178" s="289"/>
      <c r="I178" s="289"/>
      <c r="J178" s="289"/>
      <c r="K178" s="289"/>
      <c r="L178" s="289"/>
      <c r="M178" s="289"/>
      <c r="N178" s="289"/>
      <c r="O178" s="289"/>
      <c r="P178" s="289"/>
      <c r="Q178" s="289"/>
      <c r="R178" s="289"/>
      <c r="S178" s="289"/>
      <c r="T178" s="289"/>
      <c r="U178" s="289"/>
      <c r="V178" s="289"/>
      <c r="W178" s="289"/>
      <c r="X178" s="289"/>
      <c r="Y178" s="289"/>
      <c r="Z178" s="289"/>
      <c r="AA178" s="289"/>
      <c r="AB178" s="289"/>
      <c r="AC178" s="289"/>
      <c r="AD178" s="289"/>
      <c r="AE178" s="289"/>
      <c r="AF178" s="289"/>
      <c r="AG178" s="289"/>
      <c r="AH178" s="289"/>
      <c r="AI178" s="289"/>
      <c r="AJ178" s="289"/>
      <c r="AK178" s="289"/>
      <c r="AL178" s="289"/>
      <c r="AM178" s="289"/>
      <c r="AN178" s="289"/>
      <c r="AO178" s="289"/>
      <c r="AP178" s="289"/>
      <c r="AQ178" s="289"/>
      <c r="AR178" s="289"/>
    </row>
    <row r="179" spans="1:44" x14ac:dyDescent="0.2">
      <c r="A179" s="289"/>
      <c r="B179" s="289"/>
      <c r="C179" s="289"/>
      <c r="D179" s="289"/>
      <c r="E179" s="289"/>
      <c r="F179" s="289"/>
      <c r="G179" s="289"/>
      <c r="H179" s="289"/>
      <c r="I179" s="289"/>
      <c r="J179" s="289"/>
      <c r="K179" s="289"/>
      <c r="L179" s="289"/>
      <c r="M179" s="289"/>
      <c r="N179" s="289"/>
      <c r="O179" s="289"/>
      <c r="P179" s="289"/>
      <c r="Q179" s="289"/>
      <c r="R179" s="289"/>
      <c r="S179" s="289"/>
      <c r="T179" s="289"/>
      <c r="U179" s="289"/>
      <c r="V179" s="289"/>
      <c r="W179" s="289"/>
      <c r="X179" s="289"/>
      <c r="Y179" s="289"/>
      <c r="Z179" s="289"/>
      <c r="AA179" s="289"/>
      <c r="AB179" s="289"/>
      <c r="AC179" s="289"/>
      <c r="AD179" s="289"/>
      <c r="AE179" s="289"/>
      <c r="AF179" s="289"/>
      <c r="AG179" s="289"/>
      <c r="AH179" s="289"/>
      <c r="AI179" s="289"/>
      <c r="AJ179" s="289"/>
      <c r="AK179" s="289"/>
      <c r="AL179" s="289"/>
      <c r="AM179" s="289"/>
      <c r="AN179" s="289"/>
      <c r="AO179" s="289"/>
      <c r="AP179" s="289"/>
      <c r="AQ179" s="289"/>
      <c r="AR179" s="289"/>
    </row>
    <row r="180" spans="1:44" x14ac:dyDescent="0.2">
      <c r="A180" s="289"/>
      <c r="B180" s="289"/>
      <c r="C180" s="289"/>
      <c r="D180" s="289"/>
      <c r="E180" s="289"/>
      <c r="F180" s="289"/>
      <c r="G180" s="289"/>
      <c r="H180" s="289"/>
      <c r="I180" s="289"/>
      <c r="J180" s="289"/>
      <c r="K180" s="289"/>
      <c r="L180" s="289"/>
      <c r="M180" s="289"/>
      <c r="N180" s="289"/>
      <c r="O180" s="289"/>
      <c r="P180" s="289"/>
      <c r="Q180" s="289"/>
      <c r="R180" s="289"/>
      <c r="S180" s="289"/>
      <c r="T180" s="289"/>
      <c r="U180" s="289"/>
      <c r="V180" s="289"/>
      <c r="W180" s="289"/>
      <c r="X180" s="289"/>
      <c r="Y180" s="289"/>
      <c r="Z180" s="289"/>
      <c r="AA180" s="289"/>
      <c r="AB180" s="289"/>
      <c r="AC180" s="289"/>
      <c r="AD180" s="289"/>
      <c r="AE180" s="289"/>
      <c r="AF180" s="289"/>
      <c r="AG180" s="289"/>
      <c r="AH180" s="289"/>
      <c r="AI180" s="289"/>
      <c r="AJ180" s="289"/>
      <c r="AK180" s="289"/>
      <c r="AL180" s="289"/>
      <c r="AM180" s="289"/>
      <c r="AN180" s="289"/>
      <c r="AO180" s="289"/>
      <c r="AP180" s="289"/>
      <c r="AQ180" s="289"/>
      <c r="AR180" s="289"/>
    </row>
    <row r="181" spans="1:44" x14ac:dyDescent="0.2">
      <c r="A181" s="289"/>
      <c r="B181" s="289"/>
      <c r="C181" s="289"/>
      <c r="D181" s="289"/>
      <c r="E181" s="289"/>
      <c r="F181" s="289"/>
      <c r="G181" s="289"/>
      <c r="H181" s="289"/>
      <c r="I181" s="289"/>
      <c r="J181" s="289"/>
      <c r="K181" s="289"/>
      <c r="L181" s="289"/>
      <c r="M181" s="289"/>
      <c r="N181" s="289"/>
      <c r="O181" s="289"/>
      <c r="P181" s="289"/>
      <c r="Q181" s="289"/>
      <c r="R181" s="289"/>
      <c r="S181" s="289"/>
      <c r="T181" s="289"/>
      <c r="U181" s="289"/>
      <c r="V181" s="289"/>
      <c r="W181" s="289"/>
      <c r="X181" s="289"/>
      <c r="Y181" s="289"/>
      <c r="Z181" s="289"/>
      <c r="AA181" s="289"/>
      <c r="AB181" s="289"/>
      <c r="AC181" s="289"/>
      <c r="AD181" s="289"/>
      <c r="AE181" s="289"/>
      <c r="AF181" s="289"/>
      <c r="AG181" s="289"/>
      <c r="AH181" s="289"/>
      <c r="AI181" s="289"/>
      <c r="AJ181" s="289"/>
      <c r="AK181" s="289"/>
      <c r="AL181" s="289"/>
      <c r="AM181" s="289"/>
      <c r="AN181" s="289"/>
      <c r="AO181" s="289"/>
      <c r="AP181" s="289"/>
      <c r="AQ181" s="289"/>
      <c r="AR181" s="289"/>
    </row>
    <row r="182" spans="1:44" x14ac:dyDescent="0.2">
      <c r="A182" s="289"/>
      <c r="B182" s="289"/>
      <c r="C182" s="289"/>
      <c r="D182" s="289"/>
      <c r="E182" s="289"/>
      <c r="F182" s="289"/>
      <c r="G182" s="289"/>
      <c r="H182" s="289"/>
      <c r="I182" s="289"/>
      <c r="J182" s="289"/>
      <c r="K182" s="289"/>
      <c r="L182" s="289"/>
      <c r="M182" s="289"/>
      <c r="N182" s="289"/>
      <c r="O182" s="289"/>
      <c r="P182" s="289"/>
      <c r="Q182" s="289"/>
      <c r="R182" s="289"/>
      <c r="S182" s="289"/>
      <c r="T182" s="289"/>
      <c r="U182" s="289"/>
      <c r="V182" s="289"/>
      <c r="W182" s="289"/>
      <c r="X182" s="289"/>
      <c r="Y182" s="289"/>
      <c r="Z182" s="289"/>
      <c r="AA182" s="289"/>
      <c r="AB182" s="289"/>
      <c r="AC182" s="289"/>
      <c r="AD182" s="289"/>
      <c r="AE182" s="289"/>
      <c r="AF182" s="289"/>
      <c r="AG182" s="289"/>
      <c r="AH182" s="289"/>
      <c r="AI182" s="289"/>
      <c r="AJ182" s="289"/>
      <c r="AK182" s="289"/>
      <c r="AL182" s="289"/>
      <c r="AM182" s="289"/>
      <c r="AN182" s="289"/>
      <c r="AO182" s="289"/>
      <c r="AP182" s="289"/>
      <c r="AQ182" s="289"/>
      <c r="AR182" s="289"/>
    </row>
    <row r="183" spans="1:44" x14ac:dyDescent="0.2">
      <c r="A183" s="289"/>
      <c r="B183" s="289"/>
      <c r="C183" s="289"/>
      <c r="D183" s="289"/>
      <c r="E183" s="289"/>
      <c r="F183" s="289"/>
      <c r="G183" s="289"/>
      <c r="H183" s="289"/>
      <c r="I183" s="289"/>
      <c r="J183" s="289"/>
      <c r="K183" s="289"/>
      <c r="L183" s="289"/>
      <c r="M183" s="289"/>
      <c r="N183" s="289"/>
      <c r="O183" s="289"/>
      <c r="P183" s="289"/>
      <c r="Q183" s="289"/>
      <c r="R183" s="289"/>
      <c r="S183" s="289"/>
      <c r="T183" s="289"/>
      <c r="U183" s="289"/>
      <c r="V183" s="289"/>
      <c r="W183" s="289"/>
      <c r="X183" s="289"/>
      <c r="Y183" s="289"/>
      <c r="Z183" s="289"/>
      <c r="AA183" s="289"/>
      <c r="AB183" s="289"/>
      <c r="AC183" s="289"/>
      <c r="AD183" s="289"/>
      <c r="AE183" s="289"/>
      <c r="AF183" s="289"/>
      <c r="AG183" s="289"/>
      <c r="AH183" s="289"/>
      <c r="AI183" s="289"/>
      <c r="AJ183" s="289"/>
      <c r="AK183" s="289"/>
      <c r="AL183" s="289"/>
      <c r="AM183" s="289"/>
      <c r="AN183" s="289"/>
      <c r="AO183" s="289"/>
      <c r="AP183" s="289"/>
      <c r="AQ183" s="289"/>
      <c r="AR183" s="289"/>
    </row>
    <row r="184" spans="1:44" x14ac:dyDescent="0.2">
      <c r="A184" s="289"/>
      <c r="B184" s="289"/>
      <c r="C184" s="289"/>
      <c r="D184" s="289"/>
      <c r="E184" s="289"/>
      <c r="F184" s="289"/>
      <c r="G184" s="289"/>
      <c r="H184" s="289"/>
      <c r="I184" s="289"/>
      <c r="J184" s="289"/>
      <c r="K184" s="289"/>
      <c r="L184" s="289"/>
      <c r="M184" s="289"/>
      <c r="N184" s="289"/>
      <c r="O184" s="289"/>
      <c r="P184" s="289"/>
      <c r="Q184" s="289"/>
      <c r="R184" s="289"/>
      <c r="S184" s="289"/>
      <c r="T184" s="289"/>
      <c r="U184" s="289"/>
      <c r="V184" s="289"/>
      <c r="W184" s="289"/>
      <c r="X184" s="289"/>
      <c r="Y184" s="289"/>
      <c r="Z184" s="289"/>
      <c r="AA184" s="289"/>
      <c r="AB184" s="289"/>
      <c r="AC184" s="289"/>
      <c r="AD184" s="289"/>
      <c r="AE184" s="289"/>
      <c r="AF184" s="289"/>
      <c r="AG184" s="289"/>
      <c r="AH184" s="289"/>
      <c r="AI184" s="289"/>
      <c r="AJ184" s="289"/>
      <c r="AK184" s="289"/>
      <c r="AL184" s="289"/>
      <c r="AM184" s="289"/>
      <c r="AN184" s="289"/>
      <c r="AO184" s="289"/>
      <c r="AP184" s="289"/>
      <c r="AQ184" s="289"/>
      <c r="AR184" s="289"/>
    </row>
    <row r="185" spans="1:44" x14ac:dyDescent="0.2">
      <c r="A185" s="289"/>
      <c r="B185" s="289"/>
      <c r="C185" s="289"/>
      <c r="D185" s="289"/>
      <c r="E185" s="289"/>
      <c r="F185" s="289"/>
      <c r="G185" s="289"/>
      <c r="H185" s="289"/>
      <c r="I185" s="289"/>
      <c r="J185" s="289"/>
      <c r="K185" s="289"/>
      <c r="L185" s="289"/>
      <c r="M185" s="289"/>
      <c r="N185" s="289"/>
      <c r="O185" s="289"/>
      <c r="P185" s="289"/>
      <c r="Q185" s="289"/>
      <c r="R185" s="289"/>
      <c r="S185" s="289"/>
      <c r="T185" s="289"/>
      <c r="U185" s="289"/>
      <c r="V185" s="289"/>
      <c r="W185" s="289"/>
      <c r="X185" s="289"/>
      <c r="Y185" s="289"/>
      <c r="Z185" s="289"/>
      <c r="AA185" s="289"/>
      <c r="AB185" s="289"/>
      <c r="AC185" s="289"/>
      <c r="AD185" s="289"/>
      <c r="AE185" s="289"/>
      <c r="AF185" s="289"/>
      <c r="AG185" s="289"/>
      <c r="AH185" s="289"/>
      <c r="AI185" s="289"/>
      <c r="AJ185" s="289"/>
      <c r="AK185" s="289"/>
      <c r="AL185" s="289"/>
      <c r="AM185" s="289"/>
      <c r="AN185" s="289"/>
      <c r="AO185" s="289"/>
      <c r="AP185" s="289"/>
      <c r="AQ185" s="289"/>
      <c r="AR185" s="289"/>
    </row>
    <row r="186" spans="1:44" x14ac:dyDescent="0.2">
      <c r="A186" s="289"/>
      <c r="B186" s="289"/>
      <c r="C186" s="289"/>
      <c r="D186" s="289"/>
      <c r="E186" s="289"/>
      <c r="F186" s="289"/>
      <c r="G186" s="289"/>
      <c r="H186" s="289"/>
      <c r="I186" s="289"/>
      <c r="J186" s="289"/>
      <c r="K186" s="289"/>
      <c r="L186" s="289"/>
      <c r="M186" s="289"/>
      <c r="N186" s="289"/>
      <c r="O186" s="289"/>
      <c r="P186" s="289"/>
      <c r="Q186" s="289"/>
      <c r="R186" s="289"/>
      <c r="S186" s="289"/>
      <c r="T186" s="289"/>
      <c r="U186" s="289"/>
      <c r="V186" s="289"/>
      <c r="W186" s="289"/>
      <c r="X186" s="289"/>
      <c r="Y186" s="289"/>
      <c r="Z186" s="289"/>
      <c r="AA186" s="289"/>
      <c r="AB186" s="289"/>
      <c r="AC186" s="289"/>
      <c r="AD186" s="289"/>
      <c r="AE186" s="289"/>
      <c r="AF186" s="289"/>
      <c r="AG186" s="289"/>
      <c r="AH186" s="289"/>
      <c r="AI186" s="289"/>
      <c r="AJ186" s="289"/>
      <c r="AK186" s="289"/>
      <c r="AL186" s="289"/>
      <c r="AM186" s="289"/>
      <c r="AN186" s="289"/>
      <c r="AO186" s="289"/>
      <c r="AP186" s="289"/>
      <c r="AQ186" s="289"/>
      <c r="AR186" s="289"/>
    </row>
    <row r="187" spans="1:44" x14ac:dyDescent="0.2">
      <c r="A187" s="289"/>
      <c r="B187" s="289"/>
      <c r="C187" s="289"/>
      <c r="D187" s="289"/>
      <c r="E187" s="289"/>
      <c r="F187" s="289"/>
      <c r="G187" s="289"/>
      <c r="H187" s="289"/>
      <c r="I187" s="289"/>
      <c r="J187" s="289"/>
      <c r="K187" s="289"/>
      <c r="L187" s="289"/>
      <c r="M187" s="289"/>
      <c r="N187" s="289"/>
      <c r="O187" s="289"/>
      <c r="P187" s="289"/>
      <c r="Q187" s="289"/>
      <c r="R187" s="289"/>
      <c r="S187" s="289"/>
      <c r="T187" s="289"/>
      <c r="U187" s="289"/>
      <c r="V187" s="289"/>
      <c r="W187" s="289"/>
      <c r="X187" s="289"/>
      <c r="Y187" s="289"/>
      <c r="Z187" s="289"/>
      <c r="AA187" s="289"/>
      <c r="AB187" s="289"/>
      <c r="AC187" s="289"/>
      <c r="AD187" s="289"/>
      <c r="AE187" s="289"/>
      <c r="AF187" s="289"/>
      <c r="AG187" s="289"/>
      <c r="AH187" s="289"/>
      <c r="AI187" s="289"/>
      <c r="AJ187" s="289"/>
      <c r="AK187" s="289"/>
      <c r="AL187" s="289"/>
      <c r="AM187" s="289"/>
      <c r="AN187" s="289"/>
      <c r="AO187" s="289"/>
      <c r="AP187" s="289"/>
      <c r="AQ187" s="289"/>
      <c r="AR187" s="289"/>
    </row>
    <row r="188" spans="1:44" x14ac:dyDescent="0.2">
      <c r="A188" s="289"/>
      <c r="B188" s="289"/>
      <c r="C188" s="289"/>
      <c r="D188" s="289"/>
      <c r="E188" s="289"/>
      <c r="F188" s="289"/>
      <c r="G188" s="289"/>
      <c r="H188" s="289"/>
      <c r="I188" s="289"/>
      <c r="J188" s="289"/>
      <c r="K188" s="289"/>
      <c r="L188" s="289"/>
      <c r="M188" s="289"/>
      <c r="N188" s="289"/>
      <c r="O188" s="289"/>
      <c r="P188" s="289"/>
      <c r="Q188" s="289"/>
      <c r="R188" s="289"/>
      <c r="S188" s="289"/>
      <c r="T188" s="289"/>
      <c r="U188" s="289"/>
      <c r="V188" s="289"/>
      <c r="W188" s="289"/>
      <c r="X188" s="289"/>
      <c r="Y188" s="289"/>
      <c r="Z188" s="289"/>
      <c r="AA188" s="289"/>
      <c r="AB188" s="289"/>
      <c r="AC188" s="289"/>
      <c r="AD188" s="289"/>
      <c r="AE188" s="289"/>
      <c r="AF188" s="289"/>
      <c r="AG188" s="289"/>
      <c r="AH188" s="289"/>
      <c r="AI188" s="289"/>
      <c r="AJ188" s="289"/>
      <c r="AK188" s="289"/>
      <c r="AL188" s="289"/>
      <c r="AM188" s="289"/>
      <c r="AN188" s="289"/>
      <c r="AO188" s="289"/>
      <c r="AP188" s="289"/>
      <c r="AQ188" s="289"/>
      <c r="AR188" s="289"/>
    </row>
    <row r="189" spans="1:44" x14ac:dyDescent="0.2">
      <c r="A189" s="289"/>
      <c r="B189" s="289"/>
      <c r="C189" s="289"/>
      <c r="D189" s="289"/>
      <c r="E189" s="289"/>
      <c r="F189" s="289"/>
      <c r="G189" s="289"/>
      <c r="H189" s="289"/>
      <c r="I189" s="289"/>
      <c r="J189" s="289"/>
      <c r="K189" s="289"/>
      <c r="L189" s="289"/>
      <c r="M189" s="289"/>
      <c r="N189" s="289"/>
      <c r="O189" s="289"/>
      <c r="P189" s="289"/>
      <c r="Q189" s="289"/>
      <c r="R189" s="289"/>
      <c r="S189" s="289"/>
      <c r="T189" s="289"/>
      <c r="U189" s="289"/>
      <c r="V189" s="289"/>
      <c r="W189" s="289"/>
      <c r="X189" s="289"/>
      <c r="Y189" s="289"/>
      <c r="Z189" s="289"/>
      <c r="AA189" s="289"/>
      <c r="AB189" s="289"/>
      <c r="AC189" s="289"/>
      <c r="AD189" s="289"/>
      <c r="AE189" s="289"/>
      <c r="AF189" s="289"/>
      <c r="AG189" s="289"/>
      <c r="AH189" s="289"/>
      <c r="AI189" s="289"/>
      <c r="AJ189" s="289"/>
      <c r="AK189" s="289"/>
      <c r="AL189" s="289"/>
      <c r="AM189" s="289"/>
      <c r="AN189" s="289"/>
      <c r="AO189" s="289"/>
      <c r="AP189" s="289"/>
      <c r="AQ189" s="289"/>
      <c r="AR189" s="289"/>
    </row>
    <row r="190" spans="1:44" x14ac:dyDescent="0.2">
      <c r="A190" s="289"/>
      <c r="B190" s="289"/>
      <c r="C190" s="289"/>
      <c r="D190" s="289"/>
      <c r="E190" s="289"/>
      <c r="F190" s="289"/>
      <c r="G190" s="289"/>
      <c r="H190" s="289"/>
      <c r="I190" s="289"/>
      <c r="J190" s="289"/>
      <c r="K190" s="289"/>
      <c r="L190" s="289"/>
      <c r="M190" s="289"/>
      <c r="N190" s="289"/>
      <c r="O190" s="289"/>
      <c r="P190" s="289"/>
      <c r="Q190" s="289"/>
      <c r="R190" s="289"/>
      <c r="S190" s="289"/>
      <c r="T190" s="289"/>
      <c r="U190" s="289"/>
      <c r="V190" s="289"/>
      <c r="W190" s="289"/>
      <c r="X190" s="289"/>
      <c r="Y190" s="289"/>
      <c r="Z190" s="289"/>
      <c r="AA190" s="289"/>
      <c r="AB190" s="289"/>
      <c r="AC190" s="289"/>
      <c r="AD190" s="289"/>
      <c r="AE190" s="289"/>
      <c r="AF190" s="289"/>
      <c r="AG190" s="289"/>
      <c r="AH190" s="289"/>
      <c r="AI190" s="289"/>
      <c r="AJ190" s="289"/>
      <c r="AK190" s="289"/>
      <c r="AL190" s="289"/>
      <c r="AM190" s="289"/>
      <c r="AN190" s="289"/>
      <c r="AO190" s="289"/>
      <c r="AP190" s="289"/>
      <c r="AQ190" s="289"/>
      <c r="AR190" s="289"/>
    </row>
    <row r="191" spans="1:44" x14ac:dyDescent="0.2">
      <c r="A191" s="289"/>
      <c r="B191" s="289"/>
      <c r="C191" s="289"/>
      <c r="D191" s="289"/>
      <c r="E191" s="289"/>
      <c r="F191" s="289"/>
      <c r="G191" s="289"/>
      <c r="H191" s="289"/>
      <c r="I191" s="289"/>
      <c r="J191" s="289"/>
      <c r="K191" s="289"/>
      <c r="L191" s="289"/>
      <c r="M191" s="289"/>
      <c r="N191" s="289"/>
      <c r="O191" s="289"/>
      <c r="P191" s="289"/>
      <c r="Q191" s="289"/>
      <c r="R191" s="289"/>
      <c r="S191" s="289"/>
      <c r="T191" s="289"/>
      <c r="U191" s="289"/>
      <c r="V191" s="289"/>
      <c r="W191" s="289"/>
      <c r="X191" s="289"/>
      <c r="Y191" s="289"/>
      <c r="Z191" s="289"/>
      <c r="AA191" s="289"/>
      <c r="AB191" s="289"/>
      <c r="AC191" s="289"/>
      <c r="AD191" s="289"/>
      <c r="AE191" s="289"/>
      <c r="AF191" s="289"/>
      <c r="AG191" s="289"/>
      <c r="AH191" s="289"/>
      <c r="AI191" s="289"/>
      <c r="AJ191" s="289"/>
      <c r="AK191" s="289"/>
      <c r="AL191" s="289"/>
      <c r="AM191" s="289"/>
      <c r="AN191" s="289"/>
      <c r="AO191" s="289"/>
      <c r="AP191" s="289"/>
      <c r="AQ191" s="289"/>
      <c r="AR191" s="289"/>
    </row>
    <row r="192" spans="1:44" x14ac:dyDescent="0.2">
      <c r="A192" s="289"/>
      <c r="B192" s="289"/>
      <c r="C192" s="289"/>
      <c r="D192" s="289"/>
      <c r="E192" s="289"/>
      <c r="F192" s="289"/>
      <c r="G192" s="289"/>
      <c r="H192" s="289"/>
      <c r="I192" s="289"/>
      <c r="J192" s="289"/>
      <c r="K192" s="289"/>
      <c r="L192" s="289"/>
      <c r="M192" s="289"/>
      <c r="N192" s="289"/>
      <c r="O192" s="289"/>
      <c r="P192" s="289"/>
      <c r="Q192" s="289"/>
      <c r="R192" s="289"/>
      <c r="S192" s="289"/>
      <c r="T192" s="289"/>
      <c r="U192" s="289"/>
      <c r="V192" s="289"/>
      <c r="W192" s="289"/>
      <c r="X192" s="289"/>
      <c r="Y192" s="289"/>
      <c r="Z192" s="289"/>
      <c r="AA192" s="289"/>
      <c r="AB192" s="289"/>
      <c r="AC192" s="289"/>
      <c r="AD192" s="289"/>
      <c r="AE192" s="289"/>
      <c r="AF192" s="289"/>
      <c r="AG192" s="289"/>
      <c r="AH192" s="289"/>
      <c r="AI192" s="289"/>
      <c r="AJ192" s="289"/>
      <c r="AK192" s="289"/>
      <c r="AL192" s="289"/>
      <c r="AM192" s="289"/>
      <c r="AN192" s="289"/>
      <c r="AO192" s="289"/>
      <c r="AP192" s="289"/>
      <c r="AQ192" s="289"/>
      <c r="AR192" s="289"/>
    </row>
  </sheetData>
  <sheetProtection password="ECB1" sheet="1" objects="1" scenarios="1"/>
  <mergeCells count="20">
    <mergeCell ref="D27:F27"/>
    <mergeCell ref="D28:F28"/>
    <mergeCell ref="D29:F29"/>
    <mergeCell ref="D30:F30"/>
    <mergeCell ref="D31:F31"/>
    <mergeCell ref="D37:F37"/>
    <mergeCell ref="D32:F32"/>
    <mergeCell ref="D33:F33"/>
    <mergeCell ref="D34:F34"/>
    <mergeCell ref="D35:F35"/>
    <mergeCell ref="D36:F36"/>
    <mergeCell ref="E17:F17"/>
    <mergeCell ref="C2:E2"/>
    <mergeCell ref="C17:D17"/>
    <mergeCell ref="B24:D24"/>
    <mergeCell ref="B1:D1"/>
    <mergeCell ref="E1:G1"/>
    <mergeCell ref="B12:D12"/>
    <mergeCell ref="F18:F24"/>
    <mergeCell ref="B16:F16"/>
  </mergeCells>
  <hyperlinks>
    <hyperlink ref="E1" r:id="rId1"/>
    <hyperlink ref="B1" location="'Титульный лист'!A1" display="&lt;&lt; вернуться на титульный лист"/>
    <hyperlink ref="B1:D1" location="'Титульный лист'!A1" tooltip="перейти ..." display="&lt;&lt; вернуться на титульный лист"/>
    <hyperlink ref="E1:G1" r:id="rId2" tooltip="http://fondgkh.ru/finances/finansovaya-podderzhka-kapitalnogo-remonta-v-2017-godu/pomoshhnik-ekr/" display="открыть руководство пользователя…"/>
  </hyperlinks>
  <pageMargins left="0.7" right="0.7" top="0.75" bottom="0.75" header="0.3" footer="0.3"/>
  <pageSetup paperSize="9" orientation="portrait" r:id="rId3"/>
  <drawing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499984740745262"/>
    <pageSetUpPr fitToPage="1"/>
  </sheetPr>
  <dimension ref="A1:Z88"/>
  <sheetViews>
    <sheetView zoomScaleNormal="100" zoomScaleSheetLayoutView="90" workbookViewId="0">
      <pane ySplit="1" topLeftCell="A50" activePane="bottomLeft" state="frozen"/>
      <selection pane="bottomLeft" activeCell="B76" sqref="B76:E76"/>
    </sheetView>
  </sheetViews>
  <sheetFormatPr defaultRowHeight="12.75" x14ac:dyDescent="0.2"/>
  <cols>
    <col min="1" max="1" width="2.5703125" style="62" customWidth="1"/>
    <col min="2" max="3" width="4.28515625" style="63" customWidth="1"/>
    <col min="4" max="4" width="39" style="64" customWidth="1"/>
    <col min="5" max="5" width="65" style="65" customWidth="1"/>
    <col min="6" max="6" width="9.140625" style="64"/>
    <col min="7" max="7" width="32.85546875" style="66" hidden="1" customWidth="1"/>
    <col min="8" max="8" width="33.5703125" style="66" hidden="1" customWidth="1"/>
    <col min="9" max="9" width="28.140625" style="66" hidden="1" customWidth="1"/>
    <col min="10" max="256" width="9.140625" style="45"/>
    <col min="257" max="257" width="2.5703125" style="45" customWidth="1"/>
    <col min="258" max="259" width="4.28515625" style="45" customWidth="1"/>
    <col min="260" max="260" width="39" style="45" customWidth="1"/>
    <col min="261" max="261" width="55.7109375" style="45" customWidth="1"/>
    <col min="262" max="262" width="9.140625" style="45"/>
    <col min="263" max="263" width="9.140625" style="45" customWidth="1"/>
    <col min="264" max="512" width="9.140625" style="45"/>
    <col min="513" max="513" width="2.5703125" style="45" customWidth="1"/>
    <col min="514" max="515" width="4.28515625" style="45" customWidth="1"/>
    <col min="516" max="516" width="39" style="45" customWidth="1"/>
    <col min="517" max="517" width="55.7109375" style="45" customWidth="1"/>
    <col min="518" max="518" width="9.140625" style="45"/>
    <col min="519" max="519" width="9.140625" style="45" customWidth="1"/>
    <col min="520" max="768" width="9.140625" style="45"/>
    <col min="769" max="769" width="2.5703125" style="45" customWidth="1"/>
    <col min="770" max="771" width="4.28515625" style="45" customWidth="1"/>
    <col min="772" max="772" width="39" style="45" customWidth="1"/>
    <col min="773" max="773" width="55.7109375" style="45" customWidth="1"/>
    <col min="774" max="774" width="9.140625" style="45"/>
    <col min="775" max="775" width="9.140625" style="45" customWidth="1"/>
    <col min="776" max="1024" width="9.140625" style="45"/>
    <col min="1025" max="1025" width="2.5703125" style="45" customWidth="1"/>
    <col min="1026" max="1027" width="4.28515625" style="45" customWidth="1"/>
    <col min="1028" max="1028" width="39" style="45" customWidth="1"/>
    <col min="1029" max="1029" width="55.7109375" style="45" customWidth="1"/>
    <col min="1030" max="1030" width="9.140625" style="45"/>
    <col min="1031" max="1031" width="9.140625" style="45" customWidth="1"/>
    <col min="1032" max="1280" width="9.140625" style="45"/>
    <col min="1281" max="1281" width="2.5703125" style="45" customWidth="1"/>
    <col min="1282" max="1283" width="4.28515625" style="45" customWidth="1"/>
    <col min="1284" max="1284" width="39" style="45" customWidth="1"/>
    <col min="1285" max="1285" width="55.7109375" style="45" customWidth="1"/>
    <col min="1286" max="1286" width="9.140625" style="45"/>
    <col min="1287" max="1287" width="9.140625" style="45" customWidth="1"/>
    <col min="1288" max="1536" width="9.140625" style="45"/>
    <col min="1537" max="1537" width="2.5703125" style="45" customWidth="1"/>
    <col min="1538" max="1539" width="4.28515625" style="45" customWidth="1"/>
    <col min="1540" max="1540" width="39" style="45" customWidth="1"/>
    <col min="1541" max="1541" width="55.7109375" style="45" customWidth="1"/>
    <col min="1542" max="1542" width="9.140625" style="45"/>
    <col min="1543" max="1543" width="9.140625" style="45" customWidth="1"/>
    <col min="1544" max="1792" width="9.140625" style="45"/>
    <col min="1793" max="1793" width="2.5703125" style="45" customWidth="1"/>
    <col min="1794" max="1795" width="4.28515625" style="45" customWidth="1"/>
    <col min="1796" max="1796" width="39" style="45" customWidth="1"/>
    <col min="1797" max="1797" width="55.7109375" style="45" customWidth="1"/>
    <col min="1798" max="1798" width="9.140625" style="45"/>
    <col min="1799" max="1799" width="9.140625" style="45" customWidth="1"/>
    <col min="1800" max="2048" width="9.140625" style="45"/>
    <col min="2049" max="2049" width="2.5703125" style="45" customWidth="1"/>
    <col min="2050" max="2051" width="4.28515625" style="45" customWidth="1"/>
    <col min="2052" max="2052" width="39" style="45" customWidth="1"/>
    <col min="2053" max="2053" width="55.7109375" style="45" customWidth="1"/>
    <col min="2054" max="2054" width="9.140625" style="45"/>
    <col min="2055" max="2055" width="9.140625" style="45" customWidth="1"/>
    <col min="2056" max="2304" width="9.140625" style="45"/>
    <col min="2305" max="2305" width="2.5703125" style="45" customWidth="1"/>
    <col min="2306" max="2307" width="4.28515625" style="45" customWidth="1"/>
    <col min="2308" max="2308" width="39" style="45" customWidth="1"/>
    <col min="2309" max="2309" width="55.7109375" style="45" customWidth="1"/>
    <col min="2310" max="2310" width="9.140625" style="45"/>
    <col min="2311" max="2311" width="9.140625" style="45" customWidth="1"/>
    <col min="2312" max="2560" width="9.140625" style="45"/>
    <col min="2561" max="2561" width="2.5703125" style="45" customWidth="1"/>
    <col min="2562" max="2563" width="4.28515625" style="45" customWidth="1"/>
    <col min="2564" max="2564" width="39" style="45" customWidth="1"/>
    <col min="2565" max="2565" width="55.7109375" style="45" customWidth="1"/>
    <col min="2566" max="2566" width="9.140625" style="45"/>
    <col min="2567" max="2567" width="9.140625" style="45" customWidth="1"/>
    <col min="2568" max="2816" width="9.140625" style="45"/>
    <col min="2817" max="2817" width="2.5703125" style="45" customWidth="1"/>
    <col min="2818" max="2819" width="4.28515625" style="45" customWidth="1"/>
    <col min="2820" max="2820" width="39" style="45" customWidth="1"/>
    <col min="2821" max="2821" width="55.7109375" style="45" customWidth="1"/>
    <col min="2822" max="2822" width="9.140625" style="45"/>
    <col min="2823" max="2823" width="9.140625" style="45" customWidth="1"/>
    <col min="2824" max="3072" width="9.140625" style="45"/>
    <col min="3073" max="3073" width="2.5703125" style="45" customWidth="1"/>
    <col min="3074" max="3075" width="4.28515625" style="45" customWidth="1"/>
    <col min="3076" max="3076" width="39" style="45" customWidth="1"/>
    <col min="3077" max="3077" width="55.7109375" style="45" customWidth="1"/>
    <col min="3078" max="3078" width="9.140625" style="45"/>
    <col min="3079" max="3079" width="9.140625" style="45" customWidth="1"/>
    <col min="3080" max="3328" width="9.140625" style="45"/>
    <col min="3329" max="3329" width="2.5703125" style="45" customWidth="1"/>
    <col min="3330" max="3331" width="4.28515625" style="45" customWidth="1"/>
    <col min="3332" max="3332" width="39" style="45" customWidth="1"/>
    <col min="3333" max="3333" width="55.7109375" style="45" customWidth="1"/>
    <col min="3334" max="3334" width="9.140625" style="45"/>
    <col min="3335" max="3335" width="9.140625" style="45" customWidth="1"/>
    <col min="3336" max="3584" width="9.140625" style="45"/>
    <col min="3585" max="3585" width="2.5703125" style="45" customWidth="1"/>
    <col min="3586" max="3587" width="4.28515625" style="45" customWidth="1"/>
    <col min="3588" max="3588" width="39" style="45" customWidth="1"/>
    <col min="3589" max="3589" width="55.7109375" style="45" customWidth="1"/>
    <col min="3590" max="3590" width="9.140625" style="45"/>
    <col min="3591" max="3591" width="9.140625" style="45" customWidth="1"/>
    <col min="3592" max="3840" width="9.140625" style="45"/>
    <col min="3841" max="3841" width="2.5703125" style="45" customWidth="1"/>
    <col min="3842" max="3843" width="4.28515625" style="45" customWidth="1"/>
    <col min="3844" max="3844" width="39" style="45" customWidth="1"/>
    <col min="3845" max="3845" width="55.7109375" style="45" customWidth="1"/>
    <col min="3846" max="3846" width="9.140625" style="45"/>
    <col min="3847" max="3847" width="9.140625" style="45" customWidth="1"/>
    <col min="3848" max="4096" width="9.140625" style="45"/>
    <col min="4097" max="4097" width="2.5703125" style="45" customWidth="1"/>
    <col min="4098" max="4099" width="4.28515625" style="45" customWidth="1"/>
    <col min="4100" max="4100" width="39" style="45" customWidth="1"/>
    <col min="4101" max="4101" width="55.7109375" style="45" customWidth="1"/>
    <col min="4102" max="4102" width="9.140625" style="45"/>
    <col min="4103" max="4103" width="9.140625" style="45" customWidth="1"/>
    <col min="4104" max="4352" width="9.140625" style="45"/>
    <col min="4353" max="4353" width="2.5703125" style="45" customWidth="1"/>
    <col min="4354" max="4355" width="4.28515625" style="45" customWidth="1"/>
    <col min="4356" max="4356" width="39" style="45" customWidth="1"/>
    <col min="4357" max="4357" width="55.7109375" style="45" customWidth="1"/>
    <col min="4358" max="4358" width="9.140625" style="45"/>
    <col min="4359" max="4359" width="9.140625" style="45" customWidth="1"/>
    <col min="4360" max="4608" width="9.140625" style="45"/>
    <col min="4609" max="4609" width="2.5703125" style="45" customWidth="1"/>
    <col min="4610" max="4611" width="4.28515625" style="45" customWidth="1"/>
    <col min="4612" max="4612" width="39" style="45" customWidth="1"/>
    <col min="4613" max="4613" width="55.7109375" style="45" customWidth="1"/>
    <col min="4614" max="4614" width="9.140625" style="45"/>
    <col min="4615" max="4615" width="9.140625" style="45" customWidth="1"/>
    <col min="4616" max="4864" width="9.140625" style="45"/>
    <col min="4865" max="4865" width="2.5703125" style="45" customWidth="1"/>
    <col min="4866" max="4867" width="4.28515625" style="45" customWidth="1"/>
    <col min="4868" max="4868" width="39" style="45" customWidth="1"/>
    <col min="4869" max="4869" width="55.7109375" style="45" customWidth="1"/>
    <col min="4870" max="4870" width="9.140625" style="45"/>
    <col min="4871" max="4871" width="9.140625" style="45" customWidth="1"/>
    <col min="4872" max="5120" width="9.140625" style="45"/>
    <col min="5121" max="5121" width="2.5703125" style="45" customWidth="1"/>
    <col min="5122" max="5123" width="4.28515625" style="45" customWidth="1"/>
    <col min="5124" max="5124" width="39" style="45" customWidth="1"/>
    <col min="5125" max="5125" width="55.7109375" style="45" customWidth="1"/>
    <col min="5126" max="5126" width="9.140625" style="45"/>
    <col min="5127" max="5127" width="9.140625" style="45" customWidth="1"/>
    <col min="5128" max="5376" width="9.140625" style="45"/>
    <col min="5377" max="5377" width="2.5703125" style="45" customWidth="1"/>
    <col min="5378" max="5379" width="4.28515625" style="45" customWidth="1"/>
    <col min="5380" max="5380" width="39" style="45" customWidth="1"/>
    <col min="5381" max="5381" width="55.7109375" style="45" customWidth="1"/>
    <col min="5382" max="5382" width="9.140625" style="45"/>
    <col min="5383" max="5383" width="9.140625" style="45" customWidth="1"/>
    <col min="5384" max="5632" width="9.140625" style="45"/>
    <col min="5633" max="5633" width="2.5703125" style="45" customWidth="1"/>
    <col min="5634" max="5635" width="4.28515625" style="45" customWidth="1"/>
    <col min="5636" max="5636" width="39" style="45" customWidth="1"/>
    <col min="5637" max="5637" width="55.7109375" style="45" customWidth="1"/>
    <col min="5638" max="5638" width="9.140625" style="45"/>
    <col min="5639" max="5639" width="9.140625" style="45" customWidth="1"/>
    <col min="5640" max="5888" width="9.140625" style="45"/>
    <col min="5889" max="5889" width="2.5703125" style="45" customWidth="1"/>
    <col min="5890" max="5891" width="4.28515625" style="45" customWidth="1"/>
    <col min="5892" max="5892" width="39" style="45" customWidth="1"/>
    <col min="5893" max="5893" width="55.7109375" style="45" customWidth="1"/>
    <col min="5894" max="5894" width="9.140625" style="45"/>
    <col min="5895" max="5895" width="9.140625" style="45" customWidth="1"/>
    <col min="5896" max="6144" width="9.140625" style="45"/>
    <col min="6145" max="6145" width="2.5703125" style="45" customWidth="1"/>
    <col min="6146" max="6147" width="4.28515625" style="45" customWidth="1"/>
    <col min="6148" max="6148" width="39" style="45" customWidth="1"/>
    <col min="6149" max="6149" width="55.7109375" style="45" customWidth="1"/>
    <col min="6150" max="6150" width="9.140625" style="45"/>
    <col min="6151" max="6151" width="9.140625" style="45" customWidth="1"/>
    <col min="6152" max="6400" width="9.140625" style="45"/>
    <col min="6401" max="6401" width="2.5703125" style="45" customWidth="1"/>
    <col min="6402" max="6403" width="4.28515625" style="45" customWidth="1"/>
    <col min="6404" max="6404" width="39" style="45" customWidth="1"/>
    <col min="6405" max="6405" width="55.7109375" style="45" customWidth="1"/>
    <col min="6406" max="6406" width="9.140625" style="45"/>
    <col min="6407" max="6407" width="9.140625" style="45" customWidth="1"/>
    <col min="6408" max="6656" width="9.140625" style="45"/>
    <col min="6657" max="6657" width="2.5703125" style="45" customWidth="1"/>
    <col min="6658" max="6659" width="4.28515625" style="45" customWidth="1"/>
    <col min="6660" max="6660" width="39" style="45" customWidth="1"/>
    <col min="6661" max="6661" width="55.7109375" style="45" customWidth="1"/>
    <col min="6662" max="6662" width="9.140625" style="45"/>
    <col min="6663" max="6663" width="9.140625" style="45" customWidth="1"/>
    <col min="6664" max="6912" width="9.140625" style="45"/>
    <col min="6913" max="6913" width="2.5703125" style="45" customWidth="1"/>
    <col min="6914" max="6915" width="4.28515625" style="45" customWidth="1"/>
    <col min="6916" max="6916" width="39" style="45" customWidth="1"/>
    <col min="6917" max="6917" width="55.7109375" style="45" customWidth="1"/>
    <col min="6918" max="6918" width="9.140625" style="45"/>
    <col min="6919" max="6919" width="9.140625" style="45" customWidth="1"/>
    <col min="6920" max="7168" width="9.140625" style="45"/>
    <col min="7169" max="7169" width="2.5703125" style="45" customWidth="1"/>
    <col min="7170" max="7171" width="4.28515625" style="45" customWidth="1"/>
    <col min="7172" max="7172" width="39" style="45" customWidth="1"/>
    <col min="7173" max="7173" width="55.7109375" style="45" customWidth="1"/>
    <col min="7174" max="7174" width="9.140625" style="45"/>
    <col min="7175" max="7175" width="9.140625" style="45" customWidth="1"/>
    <col min="7176" max="7424" width="9.140625" style="45"/>
    <col min="7425" max="7425" width="2.5703125" style="45" customWidth="1"/>
    <col min="7426" max="7427" width="4.28515625" style="45" customWidth="1"/>
    <col min="7428" max="7428" width="39" style="45" customWidth="1"/>
    <col min="7429" max="7429" width="55.7109375" style="45" customWidth="1"/>
    <col min="7430" max="7430" width="9.140625" style="45"/>
    <col min="7431" max="7431" width="9.140625" style="45" customWidth="1"/>
    <col min="7432" max="7680" width="9.140625" style="45"/>
    <col min="7681" max="7681" width="2.5703125" style="45" customWidth="1"/>
    <col min="7682" max="7683" width="4.28515625" style="45" customWidth="1"/>
    <col min="7684" max="7684" width="39" style="45" customWidth="1"/>
    <col min="7685" max="7685" width="55.7109375" style="45" customWidth="1"/>
    <col min="7686" max="7686" width="9.140625" style="45"/>
    <col min="7687" max="7687" width="9.140625" style="45" customWidth="1"/>
    <col min="7688" max="7936" width="9.140625" style="45"/>
    <col min="7937" max="7937" width="2.5703125" style="45" customWidth="1"/>
    <col min="7938" max="7939" width="4.28515625" style="45" customWidth="1"/>
    <col min="7940" max="7940" width="39" style="45" customWidth="1"/>
    <col min="7941" max="7941" width="55.7109375" style="45" customWidth="1"/>
    <col min="7942" max="7942" width="9.140625" style="45"/>
    <col min="7943" max="7943" width="9.140625" style="45" customWidth="1"/>
    <col min="7944" max="8192" width="9.140625" style="45"/>
    <col min="8193" max="8193" width="2.5703125" style="45" customWidth="1"/>
    <col min="8194" max="8195" width="4.28515625" style="45" customWidth="1"/>
    <col min="8196" max="8196" width="39" style="45" customWidth="1"/>
    <col min="8197" max="8197" width="55.7109375" style="45" customWidth="1"/>
    <col min="8198" max="8198" width="9.140625" style="45"/>
    <col min="8199" max="8199" width="9.140625" style="45" customWidth="1"/>
    <col min="8200" max="8448" width="9.140625" style="45"/>
    <col min="8449" max="8449" width="2.5703125" style="45" customWidth="1"/>
    <col min="8450" max="8451" width="4.28515625" style="45" customWidth="1"/>
    <col min="8452" max="8452" width="39" style="45" customWidth="1"/>
    <col min="8453" max="8453" width="55.7109375" style="45" customWidth="1"/>
    <col min="8454" max="8454" width="9.140625" style="45"/>
    <col min="8455" max="8455" width="9.140625" style="45" customWidth="1"/>
    <col min="8456" max="8704" width="9.140625" style="45"/>
    <col min="8705" max="8705" width="2.5703125" style="45" customWidth="1"/>
    <col min="8706" max="8707" width="4.28515625" style="45" customWidth="1"/>
    <col min="8708" max="8708" width="39" style="45" customWidth="1"/>
    <col min="8709" max="8709" width="55.7109375" style="45" customWidth="1"/>
    <col min="8710" max="8710" width="9.140625" style="45"/>
    <col min="8711" max="8711" width="9.140625" style="45" customWidth="1"/>
    <col min="8712" max="8960" width="9.140625" style="45"/>
    <col min="8961" max="8961" width="2.5703125" style="45" customWidth="1"/>
    <col min="8962" max="8963" width="4.28515625" style="45" customWidth="1"/>
    <col min="8964" max="8964" width="39" style="45" customWidth="1"/>
    <col min="8965" max="8965" width="55.7109375" style="45" customWidth="1"/>
    <col min="8966" max="8966" width="9.140625" style="45"/>
    <col min="8967" max="8967" width="9.140625" style="45" customWidth="1"/>
    <col min="8968" max="9216" width="9.140625" style="45"/>
    <col min="9217" max="9217" width="2.5703125" style="45" customWidth="1"/>
    <col min="9218" max="9219" width="4.28515625" style="45" customWidth="1"/>
    <col min="9220" max="9220" width="39" style="45" customWidth="1"/>
    <col min="9221" max="9221" width="55.7109375" style="45" customWidth="1"/>
    <col min="9222" max="9222" width="9.140625" style="45"/>
    <col min="9223" max="9223" width="9.140625" style="45" customWidth="1"/>
    <col min="9224" max="9472" width="9.140625" style="45"/>
    <col min="9473" max="9473" width="2.5703125" style="45" customWidth="1"/>
    <col min="9474" max="9475" width="4.28515625" style="45" customWidth="1"/>
    <col min="9476" max="9476" width="39" style="45" customWidth="1"/>
    <col min="9477" max="9477" width="55.7109375" style="45" customWidth="1"/>
    <col min="9478" max="9478" width="9.140625" style="45"/>
    <col min="9479" max="9479" width="9.140625" style="45" customWidth="1"/>
    <col min="9480" max="9728" width="9.140625" style="45"/>
    <col min="9729" max="9729" width="2.5703125" style="45" customWidth="1"/>
    <col min="9730" max="9731" width="4.28515625" style="45" customWidth="1"/>
    <col min="9732" max="9732" width="39" style="45" customWidth="1"/>
    <col min="9733" max="9733" width="55.7109375" style="45" customWidth="1"/>
    <col min="9734" max="9734" width="9.140625" style="45"/>
    <col min="9735" max="9735" width="9.140625" style="45" customWidth="1"/>
    <col min="9736" max="9984" width="9.140625" style="45"/>
    <col min="9985" max="9985" width="2.5703125" style="45" customWidth="1"/>
    <col min="9986" max="9987" width="4.28515625" style="45" customWidth="1"/>
    <col min="9988" max="9988" width="39" style="45" customWidth="1"/>
    <col min="9989" max="9989" width="55.7109375" style="45" customWidth="1"/>
    <col min="9990" max="9990" width="9.140625" style="45"/>
    <col min="9991" max="9991" width="9.140625" style="45" customWidth="1"/>
    <col min="9992" max="10240" width="9.140625" style="45"/>
    <col min="10241" max="10241" width="2.5703125" style="45" customWidth="1"/>
    <col min="10242" max="10243" width="4.28515625" style="45" customWidth="1"/>
    <col min="10244" max="10244" width="39" style="45" customWidth="1"/>
    <col min="10245" max="10245" width="55.7109375" style="45" customWidth="1"/>
    <col min="10246" max="10246" width="9.140625" style="45"/>
    <col min="10247" max="10247" width="9.140625" style="45" customWidth="1"/>
    <col min="10248" max="10496" width="9.140625" style="45"/>
    <col min="10497" max="10497" width="2.5703125" style="45" customWidth="1"/>
    <col min="10498" max="10499" width="4.28515625" style="45" customWidth="1"/>
    <col min="10500" max="10500" width="39" style="45" customWidth="1"/>
    <col min="10501" max="10501" width="55.7109375" style="45" customWidth="1"/>
    <col min="10502" max="10502" width="9.140625" style="45"/>
    <col min="10503" max="10503" width="9.140625" style="45" customWidth="1"/>
    <col min="10504" max="10752" width="9.140625" style="45"/>
    <col min="10753" max="10753" width="2.5703125" style="45" customWidth="1"/>
    <col min="10754" max="10755" width="4.28515625" style="45" customWidth="1"/>
    <col min="10756" max="10756" width="39" style="45" customWidth="1"/>
    <col min="10757" max="10757" width="55.7109375" style="45" customWidth="1"/>
    <col min="10758" max="10758" width="9.140625" style="45"/>
    <col min="10759" max="10759" width="9.140625" style="45" customWidth="1"/>
    <col min="10760" max="11008" width="9.140625" style="45"/>
    <col min="11009" max="11009" width="2.5703125" style="45" customWidth="1"/>
    <col min="11010" max="11011" width="4.28515625" style="45" customWidth="1"/>
    <col min="11012" max="11012" width="39" style="45" customWidth="1"/>
    <col min="11013" max="11013" width="55.7109375" style="45" customWidth="1"/>
    <col min="11014" max="11014" width="9.140625" style="45"/>
    <col min="11015" max="11015" width="9.140625" style="45" customWidth="1"/>
    <col min="11016" max="11264" width="9.140625" style="45"/>
    <col min="11265" max="11265" width="2.5703125" style="45" customWidth="1"/>
    <col min="11266" max="11267" width="4.28515625" style="45" customWidth="1"/>
    <col min="11268" max="11268" width="39" style="45" customWidth="1"/>
    <col min="11269" max="11269" width="55.7109375" style="45" customWidth="1"/>
    <col min="11270" max="11270" width="9.140625" style="45"/>
    <col min="11271" max="11271" width="9.140625" style="45" customWidth="1"/>
    <col min="11272" max="11520" width="9.140625" style="45"/>
    <col min="11521" max="11521" width="2.5703125" style="45" customWidth="1"/>
    <col min="11522" max="11523" width="4.28515625" style="45" customWidth="1"/>
    <col min="11524" max="11524" width="39" style="45" customWidth="1"/>
    <col min="11525" max="11525" width="55.7109375" style="45" customWidth="1"/>
    <col min="11526" max="11526" width="9.140625" style="45"/>
    <col min="11527" max="11527" width="9.140625" style="45" customWidth="1"/>
    <col min="11528" max="11776" width="9.140625" style="45"/>
    <col min="11777" max="11777" width="2.5703125" style="45" customWidth="1"/>
    <col min="11778" max="11779" width="4.28515625" style="45" customWidth="1"/>
    <col min="11780" max="11780" width="39" style="45" customWidth="1"/>
    <col min="11781" max="11781" width="55.7109375" style="45" customWidth="1"/>
    <col min="11782" max="11782" width="9.140625" style="45"/>
    <col min="11783" max="11783" width="9.140625" style="45" customWidth="1"/>
    <col min="11784" max="12032" width="9.140625" style="45"/>
    <col min="12033" max="12033" width="2.5703125" style="45" customWidth="1"/>
    <col min="12034" max="12035" width="4.28515625" style="45" customWidth="1"/>
    <col min="12036" max="12036" width="39" style="45" customWidth="1"/>
    <col min="12037" max="12037" width="55.7109375" style="45" customWidth="1"/>
    <col min="12038" max="12038" width="9.140625" style="45"/>
    <col min="12039" max="12039" width="9.140625" style="45" customWidth="1"/>
    <col min="12040" max="12288" width="9.140625" style="45"/>
    <col min="12289" max="12289" width="2.5703125" style="45" customWidth="1"/>
    <col min="12290" max="12291" width="4.28515625" style="45" customWidth="1"/>
    <col min="12292" max="12292" width="39" style="45" customWidth="1"/>
    <col min="12293" max="12293" width="55.7109375" style="45" customWidth="1"/>
    <col min="12294" max="12294" width="9.140625" style="45"/>
    <col min="12295" max="12295" width="9.140625" style="45" customWidth="1"/>
    <col min="12296" max="12544" width="9.140625" style="45"/>
    <col min="12545" max="12545" width="2.5703125" style="45" customWidth="1"/>
    <col min="12546" max="12547" width="4.28515625" style="45" customWidth="1"/>
    <col min="12548" max="12548" width="39" style="45" customWidth="1"/>
    <col min="12549" max="12549" width="55.7109375" style="45" customWidth="1"/>
    <col min="12550" max="12550" width="9.140625" style="45"/>
    <col min="12551" max="12551" width="9.140625" style="45" customWidth="1"/>
    <col min="12552" max="12800" width="9.140625" style="45"/>
    <col min="12801" max="12801" width="2.5703125" style="45" customWidth="1"/>
    <col min="12802" max="12803" width="4.28515625" style="45" customWidth="1"/>
    <col min="12804" max="12804" width="39" style="45" customWidth="1"/>
    <col min="12805" max="12805" width="55.7109375" style="45" customWidth="1"/>
    <col min="12806" max="12806" width="9.140625" style="45"/>
    <col min="12807" max="12807" width="9.140625" style="45" customWidth="1"/>
    <col min="12808" max="13056" width="9.140625" style="45"/>
    <col min="13057" max="13057" width="2.5703125" style="45" customWidth="1"/>
    <col min="13058" max="13059" width="4.28515625" style="45" customWidth="1"/>
    <col min="13060" max="13060" width="39" style="45" customWidth="1"/>
    <col min="13061" max="13061" width="55.7109375" style="45" customWidth="1"/>
    <col min="13062" max="13062" width="9.140625" style="45"/>
    <col min="13063" max="13063" width="9.140625" style="45" customWidth="1"/>
    <col min="13064" max="13312" width="9.140625" style="45"/>
    <col min="13313" max="13313" width="2.5703125" style="45" customWidth="1"/>
    <col min="13314" max="13315" width="4.28515625" style="45" customWidth="1"/>
    <col min="13316" max="13316" width="39" style="45" customWidth="1"/>
    <col min="13317" max="13317" width="55.7109375" style="45" customWidth="1"/>
    <col min="13318" max="13318" width="9.140625" style="45"/>
    <col min="13319" max="13319" width="9.140625" style="45" customWidth="1"/>
    <col min="13320" max="13568" width="9.140625" style="45"/>
    <col min="13569" max="13569" width="2.5703125" style="45" customWidth="1"/>
    <col min="13570" max="13571" width="4.28515625" style="45" customWidth="1"/>
    <col min="13572" max="13572" width="39" style="45" customWidth="1"/>
    <col min="13573" max="13573" width="55.7109375" style="45" customWidth="1"/>
    <col min="13574" max="13574" width="9.140625" style="45"/>
    <col min="13575" max="13575" width="9.140625" style="45" customWidth="1"/>
    <col min="13576" max="13824" width="9.140625" style="45"/>
    <col min="13825" max="13825" width="2.5703125" style="45" customWidth="1"/>
    <col min="13826" max="13827" width="4.28515625" style="45" customWidth="1"/>
    <col min="13828" max="13828" width="39" style="45" customWidth="1"/>
    <col min="13829" max="13829" width="55.7109375" style="45" customWidth="1"/>
    <col min="13830" max="13830" width="9.140625" style="45"/>
    <col min="13831" max="13831" width="9.140625" style="45" customWidth="1"/>
    <col min="13832" max="14080" width="9.140625" style="45"/>
    <col min="14081" max="14081" width="2.5703125" style="45" customWidth="1"/>
    <col min="14082" max="14083" width="4.28515625" style="45" customWidth="1"/>
    <col min="14084" max="14084" width="39" style="45" customWidth="1"/>
    <col min="14085" max="14085" width="55.7109375" style="45" customWidth="1"/>
    <col min="14086" max="14086" width="9.140625" style="45"/>
    <col min="14087" max="14087" width="9.140625" style="45" customWidth="1"/>
    <col min="14088" max="14336" width="9.140625" style="45"/>
    <col min="14337" max="14337" width="2.5703125" style="45" customWidth="1"/>
    <col min="14338" max="14339" width="4.28515625" style="45" customWidth="1"/>
    <col min="14340" max="14340" width="39" style="45" customWidth="1"/>
    <col min="14341" max="14341" width="55.7109375" style="45" customWidth="1"/>
    <col min="14342" max="14342" width="9.140625" style="45"/>
    <col min="14343" max="14343" width="9.140625" style="45" customWidth="1"/>
    <col min="14344" max="14592" width="9.140625" style="45"/>
    <col min="14593" max="14593" width="2.5703125" style="45" customWidth="1"/>
    <col min="14594" max="14595" width="4.28515625" style="45" customWidth="1"/>
    <col min="14596" max="14596" width="39" style="45" customWidth="1"/>
    <col min="14597" max="14597" width="55.7109375" style="45" customWidth="1"/>
    <col min="14598" max="14598" width="9.140625" style="45"/>
    <col min="14599" max="14599" width="9.140625" style="45" customWidth="1"/>
    <col min="14600" max="14848" width="9.140625" style="45"/>
    <col min="14849" max="14849" width="2.5703125" style="45" customWidth="1"/>
    <col min="14850" max="14851" width="4.28515625" style="45" customWidth="1"/>
    <col min="14852" max="14852" width="39" style="45" customWidth="1"/>
    <col min="14853" max="14853" width="55.7109375" style="45" customWidth="1"/>
    <col min="14854" max="14854" width="9.140625" style="45"/>
    <col min="14855" max="14855" width="9.140625" style="45" customWidth="1"/>
    <col min="14856" max="15104" width="9.140625" style="45"/>
    <col min="15105" max="15105" width="2.5703125" style="45" customWidth="1"/>
    <col min="15106" max="15107" width="4.28515625" style="45" customWidth="1"/>
    <col min="15108" max="15108" width="39" style="45" customWidth="1"/>
    <col min="15109" max="15109" width="55.7109375" style="45" customWidth="1"/>
    <col min="15110" max="15110" width="9.140625" style="45"/>
    <col min="15111" max="15111" width="9.140625" style="45" customWidth="1"/>
    <col min="15112" max="15360" width="9.140625" style="45"/>
    <col min="15361" max="15361" width="2.5703125" style="45" customWidth="1"/>
    <col min="15362" max="15363" width="4.28515625" style="45" customWidth="1"/>
    <col min="15364" max="15364" width="39" style="45" customWidth="1"/>
    <col min="15365" max="15365" width="55.7109375" style="45" customWidth="1"/>
    <col min="15366" max="15366" width="9.140625" style="45"/>
    <col min="15367" max="15367" width="9.140625" style="45" customWidth="1"/>
    <col min="15368" max="15616" width="9.140625" style="45"/>
    <col min="15617" max="15617" width="2.5703125" style="45" customWidth="1"/>
    <col min="15618" max="15619" width="4.28515625" style="45" customWidth="1"/>
    <col min="15620" max="15620" width="39" style="45" customWidth="1"/>
    <col min="15621" max="15621" width="55.7109375" style="45" customWidth="1"/>
    <col min="15622" max="15622" width="9.140625" style="45"/>
    <col min="15623" max="15623" width="9.140625" style="45" customWidth="1"/>
    <col min="15624" max="15872" width="9.140625" style="45"/>
    <col min="15873" max="15873" width="2.5703125" style="45" customWidth="1"/>
    <col min="15874" max="15875" width="4.28515625" style="45" customWidth="1"/>
    <col min="15876" max="15876" width="39" style="45" customWidth="1"/>
    <col min="15877" max="15877" width="55.7109375" style="45" customWidth="1"/>
    <col min="15878" max="15878" width="9.140625" style="45"/>
    <col min="15879" max="15879" width="9.140625" style="45" customWidth="1"/>
    <col min="15880" max="16128" width="9.140625" style="45"/>
    <col min="16129" max="16129" width="2.5703125" style="45" customWidth="1"/>
    <col min="16130" max="16131" width="4.28515625" style="45" customWidth="1"/>
    <col min="16132" max="16132" width="39" style="45" customWidth="1"/>
    <col min="16133" max="16133" width="55.7109375" style="45" customWidth="1"/>
    <col min="16134" max="16134" width="9.140625" style="45"/>
    <col min="16135" max="16135" width="9.140625" style="45" customWidth="1"/>
    <col min="16136" max="16384" width="9.140625" style="45"/>
  </cols>
  <sheetData>
    <row r="1" spans="1:26" s="43" customFormat="1" ht="15" customHeight="1" x14ac:dyDescent="0.2">
      <c r="A1" s="40"/>
      <c r="B1" s="1617" t="s">
        <v>1661</v>
      </c>
      <c r="C1" s="1617"/>
      <c r="D1" s="1617"/>
      <c r="E1" s="1420" t="s">
        <v>1654</v>
      </c>
      <c r="F1" s="41"/>
      <c r="G1" s="42"/>
      <c r="H1" s="42"/>
      <c r="I1" s="42"/>
    </row>
    <row r="2" spans="1:26" ht="53.25" customHeight="1" x14ac:dyDescent="0.2">
      <c r="A2" s="44"/>
      <c r="B2" s="1754" t="s">
        <v>1882</v>
      </c>
      <c r="C2" s="1754"/>
      <c r="D2" s="1754"/>
      <c r="E2" s="1754"/>
      <c r="F2" s="44"/>
      <c r="G2" s="44"/>
      <c r="H2" s="44"/>
      <c r="I2" s="44"/>
      <c r="J2" s="44"/>
      <c r="K2" s="44"/>
      <c r="L2" s="44"/>
      <c r="M2" s="44"/>
      <c r="N2" s="44"/>
      <c r="O2" s="44"/>
      <c r="P2" s="44"/>
      <c r="Q2" s="44"/>
      <c r="R2" s="44"/>
      <c r="S2" s="44"/>
      <c r="T2" s="44"/>
      <c r="U2" s="44"/>
      <c r="V2" s="44"/>
      <c r="W2" s="44"/>
      <c r="X2" s="44"/>
      <c r="Y2" s="44"/>
      <c r="Z2" s="44"/>
    </row>
    <row r="3" spans="1:26" ht="70.5" customHeight="1" x14ac:dyDescent="0.2">
      <c r="A3" s="44"/>
      <c r="B3" s="1755" t="s">
        <v>1883</v>
      </c>
      <c r="C3" s="1755"/>
      <c r="D3" s="1755"/>
      <c r="E3" s="1755"/>
      <c r="F3" s="44"/>
      <c r="G3" s="44"/>
      <c r="H3" s="44"/>
      <c r="I3" s="44"/>
      <c r="J3" s="44"/>
      <c r="K3" s="44"/>
      <c r="L3" s="44"/>
      <c r="M3" s="44"/>
      <c r="N3" s="44"/>
      <c r="O3" s="44"/>
      <c r="P3" s="44"/>
      <c r="Q3" s="44"/>
      <c r="R3" s="44"/>
      <c r="S3" s="44"/>
      <c r="T3" s="44"/>
      <c r="U3" s="44"/>
      <c r="V3" s="44"/>
      <c r="W3" s="44"/>
      <c r="X3" s="44"/>
      <c r="Y3" s="44"/>
      <c r="Z3" s="44"/>
    </row>
    <row r="4" spans="1:26" s="46" customFormat="1" ht="18.75" customHeight="1" x14ac:dyDescent="0.2">
      <c r="A4" s="44"/>
      <c r="B4" s="1751" t="s">
        <v>1662</v>
      </c>
      <c r="C4" s="1752"/>
      <c r="D4" s="1752"/>
      <c r="E4" s="1753"/>
      <c r="F4" s="44"/>
      <c r="G4" s="44"/>
      <c r="H4" s="44"/>
      <c r="I4" s="44"/>
      <c r="J4" s="44"/>
      <c r="K4" s="44"/>
      <c r="L4" s="44"/>
      <c r="M4" s="44"/>
      <c r="N4" s="44"/>
      <c r="O4" s="44"/>
      <c r="P4" s="44"/>
      <c r="Q4" s="44"/>
      <c r="R4" s="44"/>
      <c r="S4" s="44"/>
      <c r="T4" s="44"/>
      <c r="U4" s="44"/>
      <c r="V4" s="44"/>
      <c r="W4" s="44"/>
      <c r="X4" s="44"/>
      <c r="Y4" s="44"/>
      <c r="Z4" s="44"/>
    </row>
    <row r="5" spans="1:26" s="46" customFormat="1" ht="15" customHeight="1" x14ac:dyDescent="0.2">
      <c r="A5" s="44"/>
      <c r="B5" s="1756" t="s">
        <v>1663</v>
      </c>
      <c r="C5" s="1757"/>
      <c r="D5" s="1758"/>
      <c r="E5" s="47"/>
      <c r="F5" s="44"/>
      <c r="G5" s="44" t="s">
        <v>0</v>
      </c>
      <c r="H5" s="44" t="s">
        <v>1664</v>
      </c>
      <c r="I5" s="44" t="s">
        <v>1665</v>
      </c>
      <c r="J5" s="44"/>
      <c r="K5" s="44"/>
      <c r="L5" s="44"/>
      <c r="M5" s="44"/>
      <c r="N5" s="44"/>
      <c r="O5" s="44"/>
      <c r="P5" s="44"/>
      <c r="Q5" s="44"/>
      <c r="R5" s="44"/>
      <c r="S5" s="44"/>
      <c r="T5" s="44"/>
      <c r="U5" s="44"/>
      <c r="V5" s="44"/>
      <c r="W5" s="44"/>
      <c r="X5" s="44"/>
      <c r="Y5" s="44"/>
      <c r="Z5" s="44"/>
    </row>
    <row r="6" spans="1:26" s="46" customFormat="1" ht="15" customHeight="1" x14ac:dyDescent="0.2">
      <c r="A6" s="44"/>
      <c r="B6" s="1745" t="s">
        <v>1666</v>
      </c>
      <c r="C6" s="1746"/>
      <c r="D6" s="1747"/>
      <c r="E6" s="48"/>
      <c r="F6" s="44"/>
      <c r="G6" s="44" t="s">
        <v>13</v>
      </c>
      <c r="H6" s="44" t="s">
        <v>1667</v>
      </c>
      <c r="I6" s="44" t="s">
        <v>1668</v>
      </c>
      <c r="J6" s="44"/>
      <c r="K6" s="44"/>
      <c r="L6" s="44"/>
      <c r="M6" s="44"/>
      <c r="N6" s="44"/>
      <c r="O6" s="44"/>
      <c r="P6" s="44"/>
      <c r="Q6" s="44"/>
      <c r="R6" s="44"/>
      <c r="S6" s="44"/>
      <c r="T6" s="44"/>
      <c r="U6" s="44"/>
      <c r="V6" s="44"/>
      <c r="W6" s="44"/>
      <c r="X6" s="44"/>
      <c r="Y6" s="44"/>
      <c r="Z6" s="44"/>
    </row>
    <row r="7" spans="1:26" s="46" customFormat="1" ht="15" customHeight="1" x14ac:dyDescent="0.2">
      <c r="A7" s="44"/>
      <c r="B7" s="1745" t="s">
        <v>1669</v>
      </c>
      <c r="C7" s="1746"/>
      <c r="D7" s="1747"/>
      <c r="E7" s="48"/>
      <c r="F7" s="44"/>
      <c r="G7" s="44" t="s">
        <v>36</v>
      </c>
      <c r="H7" s="44" t="s">
        <v>1670</v>
      </c>
      <c r="I7" s="44" t="s">
        <v>1671</v>
      </c>
      <c r="J7" s="44"/>
      <c r="K7" s="44"/>
      <c r="L7" s="44"/>
      <c r="M7" s="44"/>
      <c r="N7" s="44"/>
      <c r="O7" s="44"/>
      <c r="P7" s="44"/>
      <c r="Q7" s="44"/>
      <c r="R7" s="44"/>
      <c r="S7" s="44"/>
      <c r="T7" s="44"/>
      <c r="U7" s="44"/>
      <c r="V7" s="44"/>
      <c r="W7" s="44"/>
      <c r="X7" s="44"/>
      <c r="Y7" s="44"/>
      <c r="Z7" s="44"/>
    </row>
    <row r="8" spans="1:26" s="46" customFormat="1" ht="15" customHeight="1" x14ac:dyDescent="0.2">
      <c r="A8" s="44"/>
      <c r="B8" s="1745" t="s">
        <v>1672</v>
      </c>
      <c r="C8" s="1746"/>
      <c r="D8" s="1747"/>
      <c r="E8" s="49"/>
      <c r="F8" s="44"/>
      <c r="G8" s="44" t="s">
        <v>44</v>
      </c>
      <c r="H8" s="44" t="s">
        <v>1673</v>
      </c>
      <c r="I8" s="44" t="s">
        <v>1674</v>
      </c>
      <c r="J8" s="44"/>
      <c r="K8" s="44"/>
      <c r="L8" s="44"/>
      <c r="M8" s="44"/>
      <c r="N8" s="44"/>
      <c r="O8" s="44"/>
      <c r="P8" s="44"/>
      <c r="Q8" s="44"/>
      <c r="R8" s="44"/>
      <c r="S8" s="44"/>
      <c r="T8" s="44"/>
      <c r="U8" s="44"/>
      <c r="V8" s="44"/>
      <c r="W8" s="44"/>
      <c r="X8" s="44"/>
      <c r="Y8" s="44"/>
      <c r="Z8" s="44"/>
    </row>
    <row r="9" spans="1:26" s="46" customFormat="1" ht="15" customHeight="1" x14ac:dyDescent="0.2">
      <c r="A9" s="44"/>
      <c r="B9" s="1745" t="s">
        <v>1675</v>
      </c>
      <c r="C9" s="1746"/>
      <c r="D9" s="1747"/>
      <c r="E9" s="48"/>
      <c r="F9" s="44"/>
      <c r="G9" s="44" t="s">
        <v>47</v>
      </c>
      <c r="H9" s="44" t="s">
        <v>1676</v>
      </c>
      <c r="I9" s="44"/>
      <c r="J9" s="44"/>
      <c r="K9" s="44"/>
      <c r="L9" s="44"/>
      <c r="M9" s="44"/>
      <c r="N9" s="44"/>
      <c r="O9" s="44"/>
      <c r="P9" s="44"/>
      <c r="Q9" s="44"/>
      <c r="R9" s="44"/>
      <c r="S9" s="44"/>
      <c r="T9" s="44"/>
      <c r="U9" s="44"/>
      <c r="V9" s="44"/>
      <c r="W9" s="44"/>
      <c r="X9" s="44"/>
      <c r="Y9" s="44"/>
      <c r="Z9" s="44"/>
    </row>
    <row r="10" spans="1:26" s="46" customFormat="1" ht="15" customHeight="1" x14ac:dyDescent="0.2">
      <c r="A10" s="44"/>
      <c r="B10" s="1745" t="s">
        <v>1677</v>
      </c>
      <c r="C10" s="1746"/>
      <c r="D10" s="1747"/>
      <c r="E10" s="48"/>
      <c r="F10" s="44"/>
      <c r="G10" s="44" t="s">
        <v>50</v>
      </c>
      <c r="H10" s="44" t="s">
        <v>1678</v>
      </c>
      <c r="I10" s="44"/>
      <c r="J10" s="44"/>
      <c r="K10" s="44"/>
      <c r="L10" s="44"/>
      <c r="M10" s="44"/>
      <c r="N10" s="44"/>
      <c r="O10" s="44"/>
      <c r="P10" s="44"/>
      <c r="Q10" s="44"/>
      <c r="R10" s="44"/>
      <c r="S10" s="44"/>
      <c r="T10" s="44"/>
      <c r="U10" s="44"/>
      <c r="V10" s="44"/>
      <c r="W10" s="44"/>
      <c r="X10" s="44"/>
      <c r="Y10" s="44"/>
      <c r="Z10" s="44"/>
    </row>
    <row r="11" spans="1:26" s="46" customFormat="1" ht="15" customHeight="1" x14ac:dyDescent="0.2">
      <c r="A11" s="44"/>
      <c r="B11" s="1745" t="s">
        <v>1679</v>
      </c>
      <c r="C11" s="1746"/>
      <c r="D11" s="1747"/>
      <c r="E11" s="48"/>
      <c r="F11" s="44"/>
      <c r="G11" s="44" t="s">
        <v>409</v>
      </c>
      <c r="H11" s="44"/>
      <c r="I11" s="44"/>
      <c r="J11" s="44"/>
      <c r="K11" s="44"/>
      <c r="L11" s="44"/>
      <c r="M11" s="44"/>
      <c r="N11" s="44"/>
      <c r="O11" s="44"/>
      <c r="P11" s="44"/>
      <c r="Q11" s="44"/>
      <c r="R11" s="44"/>
      <c r="S11" s="44"/>
      <c r="T11" s="44"/>
      <c r="U11" s="44"/>
      <c r="V11" s="44"/>
      <c r="W11" s="44"/>
      <c r="X11" s="44"/>
      <c r="Y11" s="44"/>
      <c r="Z11" s="44"/>
    </row>
    <row r="12" spans="1:26" s="46" customFormat="1" ht="15" customHeight="1" x14ac:dyDescent="0.2">
      <c r="A12" s="44"/>
      <c r="B12" s="1745" t="s">
        <v>1680</v>
      </c>
      <c r="C12" s="1746"/>
      <c r="D12" s="1747"/>
      <c r="E12" s="48"/>
      <c r="F12" s="44"/>
      <c r="G12" s="44" t="s">
        <v>293</v>
      </c>
      <c r="H12" s="44"/>
      <c r="I12" s="44"/>
      <c r="J12" s="44"/>
      <c r="K12" s="44"/>
      <c r="L12" s="44"/>
      <c r="M12" s="44"/>
      <c r="N12" s="44"/>
      <c r="O12" s="44"/>
      <c r="P12" s="44"/>
      <c r="Q12" s="44"/>
      <c r="R12" s="44"/>
      <c r="S12" s="44"/>
      <c r="T12" s="44"/>
      <c r="U12" s="44"/>
      <c r="V12" s="44"/>
      <c r="W12" s="44"/>
      <c r="X12" s="44"/>
      <c r="Y12" s="44"/>
      <c r="Z12" s="44"/>
    </row>
    <row r="13" spans="1:26" s="46" customFormat="1" ht="22.5" customHeight="1" x14ac:dyDescent="0.2">
      <c r="A13" s="44"/>
      <c r="B13" s="1748"/>
      <c r="C13" s="1749"/>
      <c r="D13" s="1750"/>
      <c r="E13" s="50"/>
      <c r="F13" s="44"/>
      <c r="G13" s="44" t="s">
        <v>419</v>
      </c>
      <c r="H13" s="44"/>
      <c r="I13" s="44"/>
      <c r="J13" s="44"/>
      <c r="K13" s="44"/>
      <c r="L13" s="44"/>
      <c r="M13" s="44"/>
      <c r="N13" s="44"/>
      <c r="O13" s="44"/>
      <c r="P13" s="44"/>
      <c r="Q13" s="44"/>
      <c r="R13" s="44"/>
      <c r="S13" s="44"/>
      <c r="T13" s="44"/>
      <c r="U13" s="44"/>
      <c r="V13" s="44"/>
      <c r="W13" s="44"/>
      <c r="X13" s="44"/>
      <c r="Y13" s="44"/>
      <c r="Z13" s="44"/>
    </row>
    <row r="14" spans="1:26" s="46" customFormat="1" ht="18.75" customHeight="1" x14ac:dyDescent="0.2">
      <c r="A14" s="44"/>
      <c r="B14" s="1751" t="s">
        <v>1884</v>
      </c>
      <c r="C14" s="1752"/>
      <c r="D14" s="1752"/>
      <c r="E14" s="1753"/>
      <c r="F14" s="44"/>
      <c r="G14" s="44" t="s">
        <v>422</v>
      </c>
      <c r="H14" s="44"/>
      <c r="I14" s="44"/>
      <c r="J14" s="44"/>
      <c r="K14" s="44"/>
      <c r="L14" s="44"/>
      <c r="M14" s="44"/>
      <c r="N14" s="44"/>
      <c r="O14" s="44"/>
      <c r="P14" s="44"/>
      <c r="Q14" s="44"/>
      <c r="R14" s="44"/>
      <c r="S14" s="44"/>
      <c r="T14" s="44"/>
      <c r="U14" s="44"/>
      <c r="V14" s="44"/>
      <c r="W14" s="44"/>
      <c r="X14" s="44"/>
      <c r="Y14" s="44"/>
      <c r="Z14" s="44"/>
    </row>
    <row r="15" spans="1:26" ht="26.25" customHeight="1" x14ac:dyDescent="0.2">
      <c r="A15" s="44"/>
      <c r="B15" s="51" t="s">
        <v>1681</v>
      </c>
      <c r="C15" s="1709" t="s">
        <v>1885</v>
      </c>
      <c r="D15" s="1709"/>
      <c r="E15" s="1710"/>
      <c r="F15" s="44"/>
      <c r="G15" s="44" t="s">
        <v>1706</v>
      </c>
      <c r="H15" s="44"/>
      <c r="I15" s="44"/>
      <c r="J15" s="44"/>
      <c r="K15" s="44"/>
      <c r="L15" s="44"/>
      <c r="M15" s="44"/>
      <c r="N15" s="44"/>
      <c r="O15" s="44"/>
      <c r="P15" s="44"/>
      <c r="Q15" s="44"/>
      <c r="R15" s="44"/>
      <c r="S15" s="44"/>
      <c r="T15" s="44"/>
      <c r="U15" s="44"/>
      <c r="V15" s="44"/>
      <c r="W15" s="44"/>
      <c r="X15" s="44"/>
      <c r="Y15" s="44"/>
      <c r="Z15" s="44"/>
    </row>
    <row r="16" spans="1:26" ht="15" customHeight="1" x14ac:dyDescent="0.2">
      <c r="A16" s="44"/>
      <c r="B16" s="52" t="s">
        <v>1682</v>
      </c>
      <c r="C16" s="53"/>
      <c r="D16" s="1711" t="s">
        <v>1683</v>
      </c>
      <c r="E16" s="1712"/>
      <c r="F16" s="44"/>
      <c r="G16" s="44" t="s">
        <v>1740</v>
      </c>
      <c r="H16" s="44"/>
      <c r="I16" s="44"/>
      <c r="J16" s="44"/>
      <c r="K16" s="44"/>
      <c r="L16" s="44"/>
      <c r="M16" s="44"/>
      <c r="N16" s="44"/>
      <c r="O16" s="44"/>
      <c r="P16" s="44"/>
      <c r="Q16" s="44"/>
      <c r="R16" s="44"/>
      <c r="S16" s="44"/>
      <c r="T16" s="44"/>
      <c r="U16" s="44"/>
      <c r="V16" s="44"/>
      <c r="W16" s="44"/>
      <c r="X16" s="44"/>
      <c r="Y16" s="44"/>
      <c r="Z16" s="44"/>
    </row>
    <row r="17" spans="1:26" ht="15" customHeight="1" x14ac:dyDescent="0.2">
      <c r="A17" s="44"/>
      <c r="B17" s="54" t="s">
        <v>1684</v>
      </c>
      <c r="C17" s="55"/>
      <c r="D17" s="1713" t="s">
        <v>1685</v>
      </c>
      <c r="E17" s="1714"/>
      <c r="F17" s="44"/>
      <c r="G17" s="44" t="s">
        <v>1742</v>
      </c>
      <c r="H17" s="44"/>
      <c r="I17" s="44"/>
      <c r="J17" s="44"/>
      <c r="K17" s="44"/>
      <c r="L17" s="44"/>
      <c r="M17" s="44"/>
      <c r="N17" s="44"/>
      <c r="O17" s="44"/>
      <c r="P17" s="44"/>
      <c r="Q17" s="44"/>
      <c r="R17" s="44"/>
      <c r="S17" s="44"/>
      <c r="T17" s="44"/>
      <c r="U17" s="44"/>
      <c r="V17" s="44"/>
      <c r="W17" s="44"/>
      <c r="X17" s="44"/>
      <c r="Y17" s="44"/>
      <c r="Z17" s="44"/>
    </row>
    <row r="18" spans="1:26" ht="15" customHeight="1" x14ac:dyDescent="0.2">
      <c r="A18" s="44"/>
      <c r="B18" s="54" t="s">
        <v>1686</v>
      </c>
      <c r="C18" s="55"/>
      <c r="D18" s="1713" t="s">
        <v>1687</v>
      </c>
      <c r="E18" s="1714"/>
      <c r="F18" s="44"/>
      <c r="G18" s="44" t="s">
        <v>95</v>
      </c>
      <c r="H18" s="44"/>
      <c r="I18" s="44"/>
      <c r="J18" s="44"/>
      <c r="K18" s="44"/>
      <c r="L18" s="44"/>
      <c r="M18" s="44"/>
      <c r="N18" s="44"/>
      <c r="O18" s="44"/>
      <c r="P18" s="44"/>
      <c r="Q18" s="44"/>
      <c r="R18" s="44"/>
      <c r="S18" s="44"/>
      <c r="T18" s="44"/>
      <c r="U18" s="44"/>
      <c r="V18" s="44"/>
      <c r="W18" s="44"/>
      <c r="X18" s="44"/>
      <c r="Y18" s="44"/>
      <c r="Z18" s="44"/>
    </row>
    <row r="19" spans="1:26" ht="15" customHeight="1" x14ac:dyDescent="0.2">
      <c r="A19" s="44"/>
      <c r="B19" s="1717" t="s">
        <v>1688</v>
      </c>
      <c r="C19" s="1725"/>
      <c r="D19" s="1713" t="s">
        <v>1689</v>
      </c>
      <c r="E19" s="1714"/>
      <c r="F19" s="44"/>
      <c r="G19" s="44" t="s">
        <v>255</v>
      </c>
      <c r="H19" s="44"/>
      <c r="I19" s="44"/>
      <c r="J19" s="44"/>
      <c r="K19" s="44"/>
      <c r="L19" s="44"/>
      <c r="M19" s="44"/>
      <c r="N19" s="44"/>
      <c r="O19" s="44"/>
      <c r="P19" s="44"/>
      <c r="Q19" s="44"/>
      <c r="R19" s="44"/>
      <c r="S19" s="44"/>
      <c r="T19" s="44"/>
      <c r="U19" s="44"/>
      <c r="V19" s="44"/>
      <c r="W19" s="44"/>
      <c r="X19" s="44"/>
      <c r="Y19" s="44"/>
      <c r="Z19" s="44"/>
    </row>
    <row r="20" spans="1:26" ht="22.5" customHeight="1" x14ac:dyDescent="0.2">
      <c r="A20" s="44"/>
      <c r="B20" s="1735"/>
      <c r="C20" s="1726"/>
      <c r="D20" s="1739"/>
      <c r="E20" s="1740"/>
      <c r="F20" s="44"/>
      <c r="G20" s="44" t="s">
        <v>91</v>
      </c>
      <c r="H20" s="44"/>
      <c r="I20" s="44"/>
      <c r="J20" s="44"/>
      <c r="K20" s="44"/>
      <c r="L20" s="44"/>
      <c r="M20" s="44"/>
      <c r="N20" s="44"/>
      <c r="O20" s="44"/>
      <c r="P20" s="44"/>
      <c r="Q20" s="44"/>
      <c r="R20" s="44"/>
      <c r="S20" s="44"/>
      <c r="T20" s="44"/>
      <c r="U20" s="44"/>
      <c r="V20" s="44"/>
      <c r="W20" s="44"/>
      <c r="X20" s="44"/>
      <c r="Y20" s="44"/>
      <c r="Z20" s="44"/>
    </row>
    <row r="21" spans="1:26" ht="26.25" customHeight="1" x14ac:dyDescent="0.2">
      <c r="A21" s="44"/>
      <c r="B21" s="51" t="s">
        <v>1690</v>
      </c>
      <c r="C21" s="1709" t="s">
        <v>1886</v>
      </c>
      <c r="D21" s="1709"/>
      <c r="E21" s="1710"/>
      <c r="F21" s="44"/>
      <c r="G21" s="44" t="s">
        <v>71</v>
      </c>
      <c r="H21" s="44"/>
      <c r="I21" s="44"/>
      <c r="J21" s="44"/>
      <c r="K21" s="44"/>
      <c r="L21" s="44"/>
      <c r="M21" s="44"/>
      <c r="N21" s="44"/>
      <c r="O21" s="44"/>
      <c r="P21" s="44"/>
      <c r="Q21" s="44"/>
      <c r="R21" s="44"/>
      <c r="S21" s="44"/>
      <c r="T21" s="44"/>
      <c r="U21" s="44"/>
      <c r="V21" s="44"/>
      <c r="W21" s="44"/>
      <c r="X21" s="44"/>
      <c r="Y21" s="44"/>
      <c r="Z21" s="44"/>
    </row>
    <row r="22" spans="1:26" ht="14.25" customHeight="1" x14ac:dyDescent="0.2">
      <c r="A22" s="44"/>
      <c r="B22" s="52" t="s">
        <v>1682</v>
      </c>
      <c r="C22" s="53"/>
      <c r="D22" s="1711" t="s">
        <v>1691</v>
      </c>
      <c r="E22" s="1712"/>
      <c r="F22" s="44"/>
      <c r="G22" s="44" t="s">
        <v>614</v>
      </c>
      <c r="H22" s="44"/>
      <c r="I22" s="44"/>
      <c r="J22" s="44"/>
      <c r="K22" s="44"/>
      <c r="L22" s="44"/>
      <c r="M22" s="44"/>
      <c r="N22" s="44"/>
      <c r="O22" s="44"/>
      <c r="P22" s="44"/>
      <c r="Q22" s="44"/>
      <c r="R22" s="44"/>
      <c r="S22" s="44"/>
      <c r="T22" s="44"/>
      <c r="U22" s="44"/>
      <c r="V22" s="44"/>
      <c r="W22" s="44"/>
      <c r="X22" s="44"/>
      <c r="Y22" s="44"/>
      <c r="Z22" s="44"/>
    </row>
    <row r="23" spans="1:26" ht="14.25" customHeight="1" x14ac:dyDescent="0.2">
      <c r="A23" s="44"/>
      <c r="B23" s="54" t="s">
        <v>1684</v>
      </c>
      <c r="C23" s="55"/>
      <c r="D23" s="1713" t="s">
        <v>1693</v>
      </c>
      <c r="E23" s="1714"/>
      <c r="F23" s="44"/>
      <c r="G23" s="44" t="s">
        <v>100</v>
      </c>
      <c r="H23" s="44"/>
      <c r="I23" s="44"/>
      <c r="J23" s="44"/>
      <c r="K23" s="44"/>
      <c r="L23" s="44"/>
      <c r="M23" s="44"/>
      <c r="N23" s="44"/>
      <c r="O23" s="44"/>
      <c r="P23" s="44"/>
      <c r="Q23" s="44"/>
      <c r="R23" s="44"/>
      <c r="S23" s="44"/>
      <c r="T23" s="44"/>
      <c r="U23" s="44"/>
      <c r="V23" s="44"/>
      <c r="W23" s="44"/>
      <c r="X23" s="44"/>
      <c r="Y23" s="44"/>
      <c r="Z23" s="44"/>
    </row>
    <row r="24" spans="1:26" ht="14.25" customHeight="1" x14ac:dyDescent="0.2">
      <c r="A24" s="44"/>
      <c r="B24" s="54" t="s">
        <v>1686</v>
      </c>
      <c r="C24" s="55"/>
      <c r="D24" s="1713" t="s">
        <v>1694</v>
      </c>
      <c r="E24" s="1714"/>
      <c r="F24" s="44"/>
      <c r="G24" s="44" t="s">
        <v>102</v>
      </c>
      <c r="H24" s="44"/>
      <c r="I24" s="44"/>
      <c r="J24" s="44"/>
      <c r="K24" s="44"/>
      <c r="L24" s="44"/>
      <c r="M24" s="44"/>
      <c r="N24" s="44"/>
      <c r="O24" s="44"/>
      <c r="P24" s="44"/>
      <c r="Q24" s="44"/>
      <c r="R24" s="44"/>
      <c r="S24" s="44"/>
      <c r="T24" s="44"/>
      <c r="U24" s="44"/>
      <c r="V24" s="44"/>
      <c r="W24" s="44"/>
      <c r="X24" s="44"/>
      <c r="Y24" s="44"/>
      <c r="Z24" s="44"/>
    </row>
    <row r="25" spans="1:26" ht="14.25" customHeight="1" x14ac:dyDescent="0.2">
      <c r="A25" s="44"/>
      <c r="B25" s="54" t="s">
        <v>1688</v>
      </c>
      <c r="C25" s="55"/>
      <c r="D25" s="1713" t="s">
        <v>1695</v>
      </c>
      <c r="E25" s="1714"/>
      <c r="F25" s="44"/>
      <c r="G25" s="44" t="s">
        <v>1692</v>
      </c>
      <c r="H25" s="44"/>
      <c r="I25" s="44"/>
      <c r="J25" s="44"/>
      <c r="K25" s="44"/>
      <c r="L25" s="44"/>
      <c r="M25" s="44"/>
      <c r="N25" s="44"/>
      <c r="O25" s="44"/>
      <c r="P25" s="44"/>
      <c r="Q25" s="44"/>
      <c r="R25" s="44"/>
      <c r="S25" s="44"/>
      <c r="T25" s="44"/>
      <c r="U25" s="44"/>
      <c r="V25" s="44"/>
      <c r="W25" s="44"/>
      <c r="X25" s="44"/>
      <c r="Y25" s="44"/>
      <c r="Z25" s="44"/>
    </row>
    <row r="26" spans="1:26" ht="14.25" customHeight="1" x14ac:dyDescent="0.2">
      <c r="A26" s="44"/>
      <c r="B26" s="54" t="s">
        <v>1696</v>
      </c>
      <c r="C26" s="55"/>
      <c r="D26" s="1713" t="s">
        <v>1697</v>
      </c>
      <c r="E26" s="1714"/>
      <c r="F26" s="44"/>
      <c r="G26" s="44" t="s">
        <v>616</v>
      </c>
      <c r="H26" s="44"/>
      <c r="I26" s="44"/>
      <c r="J26" s="44"/>
      <c r="K26" s="44"/>
      <c r="L26" s="44"/>
      <c r="M26" s="44"/>
      <c r="N26" s="44"/>
      <c r="O26" s="44"/>
      <c r="P26" s="44"/>
      <c r="Q26" s="44"/>
      <c r="R26" s="44"/>
      <c r="S26" s="44"/>
      <c r="T26" s="44"/>
      <c r="U26" s="44"/>
      <c r="V26" s="44"/>
      <c r="W26" s="44"/>
      <c r="X26" s="44"/>
      <c r="Y26" s="44"/>
      <c r="Z26" s="44"/>
    </row>
    <row r="27" spans="1:26" ht="14.25" customHeight="1" x14ac:dyDescent="0.2">
      <c r="A27" s="44"/>
      <c r="B27" s="56" t="s">
        <v>1698</v>
      </c>
      <c r="C27" s="57"/>
      <c r="D27" s="1721" t="s">
        <v>1689</v>
      </c>
      <c r="E27" s="1722"/>
      <c r="F27" s="44"/>
      <c r="G27" s="44" t="s">
        <v>113</v>
      </c>
      <c r="H27" s="44"/>
      <c r="I27" s="44"/>
      <c r="J27" s="44"/>
      <c r="K27" s="44"/>
      <c r="L27" s="44"/>
      <c r="M27" s="44"/>
      <c r="N27" s="44"/>
      <c r="O27" s="44"/>
      <c r="P27" s="44"/>
      <c r="Q27" s="44"/>
      <c r="R27" s="44"/>
      <c r="S27" s="44"/>
      <c r="T27" s="44"/>
      <c r="U27" s="44"/>
      <c r="V27" s="44"/>
      <c r="W27" s="44"/>
      <c r="X27" s="44"/>
      <c r="Y27" s="44"/>
      <c r="Z27" s="44"/>
    </row>
    <row r="28" spans="1:26" ht="26.25" customHeight="1" x14ac:dyDescent="0.2">
      <c r="A28" s="44"/>
      <c r="B28" s="51" t="s">
        <v>1699</v>
      </c>
      <c r="C28" s="1709" t="s">
        <v>1700</v>
      </c>
      <c r="D28" s="1709"/>
      <c r="E28" s="1710"/>
      <c r="F28" s="44"/>
      <c r="G28" s="44" t="s">
        <v>142</v>
      </c>
      <c r="H28" s="44"/>
      <c r="I28" s="44"/>
      <c r="J28" s="44"/>
      <c r="K28" s="44"/>
      <c r="L28" s="44"/>
      <c r="M28" s="44"/>
      <c r="N28" s="44"/>
      <c r="O28" s="44"/>
      <c r="P28" s="44"/>
      <c r="Q28" s="44"/>
      <c r="R28" s="44"/>
      <c r="S28" s="44"/>
      <c r="T28" s="44"/>
      <c r="U28" s="44"/>
      <c r="V28" s="44"/>
      <c r="W28" s="44"/>
      <c r="X28" s="44"/>
      <c r="Y28" s="44"/>
      <c r="Z28" s="44"/>
    </row>
    <row r="29" spans="1:26" ht="15" customHeight="1" x14ac:dyDescent="0.2">
      <c r="A29" s="44"/>
      <c r="B29" s="52" t="s">
        <v>1682</v>
      </c>
      <c r="C29" s="53"/>
      <c r="D29" s="1711" t="s">
        <v>1701</v>
      </c>
      <c r="E29" s="1712"/>
      <c r="F29" s="44"/>
      <c r="G29" s="44" t="s">
        <v>155</v>
      </c>
      <c r="H29" s="44"/>
      <c r="I29" s="44"/>
      <c r="J29" s="44"/>
      <c r="K29" s="44"/>
      <c r="L29" s="44"/>
      <c r="M29" s="44"/>
      <c r="N29" s="44"/>
      <c r="O29" s="44"/>
      <c r="P29" s="44"/>
      <c r="Q29" s="44"/>
      <c r="R29" s="44"/>
      <c r="S29" s="44"/>
      <c r="T29" s="44"/>
      <c r="U29" s="44"/>
      <c r="V29" s="44"/>
      <c r="W29" s="44"/>
      <c r="X29" s="44"/>
      <c r="Y29" s="44"/>
      <c r="Z29" s="44"/>
    </row>
    <row r="30" spans="1:26" ht="15" customHeight="1" x14ac:dyDescent="0.2">
      <c r="A30" s="44"/>
      <c r="B30" s="54" t="s">
        <v>1684</v>
      </c>
      <c r="C30" s="55"/>
      <c r="D30" s="1713" t="s">
        <v>1702</v>
      </c>
      <c r="E30" s="1714"/>
      <c r="F30" s="44"/>
      <c r="G30" s="44" t="s">
        <v>159</v>
      </c>
      <c r="H30" s="44"/>
      <c r="I30" s="44"/>
      <c r="J30" s="44"/>
      <c r="K30" s="44"/>
      <c r="L30" s="44"/>
      <c r="M30" s="44"/>
      <c r="N30" s="44"/>
      <c r="O30" s="44"/>
      <c r="P30" s="44"/>
      <c r="Q30" s="44"/>
      <c r="R30" s="44"/>
      <c r="S30" s="44"/>
      <c r="T30" s="44"/>
      <c r="U30" s="44"/>
      <c r="V30" s="44"/>
      <c r="W30" s="44"/>
      <c r="X30" s="44"/>
      <c r="Y30" s="44"/>
      <c r="Z30" s="44"/>
    </row>
    <row r="31" spans="1:26" ht="15" customHeight="1" x14ac:dyDescent="0.2">
      <c r="A31" s="44"/>
      <c r="B31" s="54" t="s">
        <v>1686</v>
      </c>
      <c r="C31" s="55"/>
      <c r="D31" s="1713" t="s">
        <v>1703</v>
      </c>
      <c r="E31" s="1714"/>
      <c r="F31" s="44"/>
      <c r="G31" s="44" t="s">
        <v>165</v>
      </c>
      <c r="H31" s="44"/>
      <c r="I31" s="44"/>
      <c r="J31" s="44"/>
      <c r="K31" s="44"/>
      <c r="L31" s="44"/>
      <c r="M31" s="44"/>
      <c r="N31" s="44"/>
      <c r="O31" s="44"/>
      <c r="P31" s="44"/>
      <c r="Q31" s="44"/>
      <c r="R31" s="44"/>
      <c r="S31" s="44"/>
      <c r="T31" s="44"/>
      <c r="U31" s="44"/>
      <c r="V31" s="44"/>
      <c r="W31" s="44"/>
      <c r="X31" s="44"/>
      <c r="Y31" s="44"/>
      <c r="Z31" s="44"/>
    </row>
    <row r="32" spans="1:26" ht="15" customHeight="1" x14ac:dyDescent="0.2">
      <c r="A32" s="44"/>
      <c r="B32" s="56" t="s">
        <v>1688</v>
      </c>
      <c r="C32" s="57"/>
      <c r="D32" s="1721" t="s">
        <v>1704</v>
      </c>
      <c r="E32" s="1722"/>
      <c r="F32" s="44"/>
      <c r="G32" s="44" t="s">
        <v>182</v>
      </c>
      <c r="H32" s="44"/>
      <c r="I32" s="44"/>
      <c r="J32" s="44"/>
      <c r="K32" s="44"/>
      <c r="L32" s="44"/>
      <c r="M32" s="44"/>
      <c r="N32" s="44"/>
      <c r="O32" s="44"/>
      <c r="P32" s="44"/>
      <c r="Q32" s="44"/>
      <c r="R32" s="44"/>
      <c r="S32" s="44"/>
      <c r="T32" s="44"/>
      <c r="U32" s="44"/>
      <c r="V32" s="44"/>
      <c r="W32" s="44"/>
      <c r="X32" s="44"/>
      <c r="Y32" s="44"/>
      <c r="Z32" s="44"/>
    </row>
    <row r="33" spans="1:26" ht="26.25" customHeight="1" x14ac:dyDescent="0.2">
      <c r="A33" s="44"/>
      <c r="B33" s="58" t="s">
        <v>1705</v>
      </c>
      <c r="C33" s="1709" t="s">
        <v>1887</v>
      </c>
      <c r="D33" s="1709"/>
      <c r="E33" s="1710"/>
      <c r="F33" s="44"/>
      <c r="G33" s="44" t="s">
        <v>49</v>
      </c>
      <c r="H33" s="44"/>
      <c r="I33" s="44"/>
      <c r="J33" s="44"/>
      <c r="K33" s="44"/>
      <c r="L33" s="44"/>
      <c r="M33" s="44"/>
      <c r="N33" s="44"/>
      <c r="O33" s="44"/>
      <c r="P33" s="44"/>
      <c r="Q33" s="44"/>
      <c r="R33" s="44"/>
      <c r="S33" s="44"/>
      <c r="T33" s="44"/>
      <c r="U33" s="44"/>
      <c r="V33" s="44"/>
      <c r="W33" s="44"/>
      <c r="X33" s="44"/>
      <c r="Y33" s="44"/>
      <c r="Z33" s="44"/>
    </row>
    <row r="34" spans="1:26" ht="15" customHeight="1" x14ac:dyDescent="0.2">
      <c r="A34" s="44"/>
      <c r="B34" s="52" t="s">
        <v>1682</v>
      </c>
      <c r="C34" s="53"/>
      <c r="D34" s="1711" t="s">
        <v>1894</v>
      </c>
      <c r="E34" s="1712"/>
      <c r="F34" s="44"/>
      <c r="G34" s="44" t="s">
        <v>185</v>
      </c>
      <c r="H34" s="44"/>
      <c r="I34" s="44"/>
      <c r="J34" s="44"/>
      <c r="K34" s="44"/>
      <c r="L34" s="44"/>
      <c r="M34" s="44"/>
      <c r="N34" s="44"/>
      <c r="O34" s="44"/>
      <c r="P34" s="44"/>
      <c r="Q34" s="44"/>
      <c r="R34" s="44"/>
      <c r="S34" s="44"/>
      <c r="T34" s="44"/>
      <c r="U34" s="44"/>
      <c r="V34" s="44"/>
      <c r="W34" s="44"/>
      <c r="X34" s="44"/>
      <c r="Y34" s="44"/>
      <c r="Z34" s="44"/>
    </row>
    <row r="35" spans="1:26" ht="15" customHeight="1" x14ac:dyDescent="0.2">
      <c r="A35" s="44"/>
      <c r="B35" s="54" t="s">
        <v>1684</v>
      </c>
      <c r="C35" s="55"/>
      <c r="D35" s="1713" t="s">
        <v>1707</v>
      </c>
      <c r="E35" s="1714"/>
      <c r="F35" s="44"/>
      <c r="G35" s="44" t="s">
        <v>188</v>
      </c>
      <c r="H35" s="44"/>
      <c r="I35" s="44"/>
      <c r="J35" s="44"/>
      <c r="K35" s="44"/>
      <c r="L35" s="44"/>
      <c r="M35" s="44"/>
      <c r="N35" s="44"/>
      <c r="O35" s="44"/>
      <c r="P35" s="44"/>
      <c r="Q35" s="44"/>
      <c r="R35" s="44"/>
      <c r="S35" s="44"/>
      <c r="T35" s="44"/>
      <c r="U35" s="44"/>
      <c r="V35" s="44"/>
      <c r="W35" s="44"/>
      <c r="X35" s="44"/>
      <c r="Y35" s="44"/>
      <c r="Z35" s="44"/>
    </row>
    <row r="36" spans="1:26" ht="15" customHeight="1" x14ac:dyDescent="0.2">
      <c r="A36" s="44"/>
      <c r="B36" s="54" t="s">
        <v>1686</v>
      </c>
      <c r="C36" s="55"/>
      <c r="D36" s="1713" t="s">
        <v>1708</v>
      </c>
      <c r="E36" s="1714"/>
      <c r="F36" s="44"/>
      <c r="G36" s="44" t="s">
        <v>190</v>
      </c>
      <c r="H36" s="44"/>
      <c r="I36" s="44"/>
      <c r="J36" s="44"/>
      <c r="K36" s="44"/>
      <c r="L36" s="44"/>
      <c r="M36" s="44"/>
      <c r="N36" s="44"/>
      <c r="O36" s="44"/>
      <c r="P36" s="44"/>
      <c r="Q36" s="44"/>
      <c r="R36" s="44"/>
      <c r="S36" s="44"/>
      <c r="T36" s="44"/>
      <c r="U36" s="44"/>
      <c r="V36" s="44"/>
      <c r="W36" s="44"/>
      <c r="X36" s="44"/>
      <c r="Y36" s="44"/>
      <c r="Z36" s="44"/>
    </row>
    <row r="37" spans="1:26" ht="15" customHeight="1" x14ac:dyDescent="0.2">
      <c r="A37" s="44"/>
      <c r="B37" s="56" t="s">
        <v>1688</v>
      </c>
      <c r="C37" s="57"/>
      <c r="D37" s="1741" t="s">
        <v>1895</v>
      </c>
      <c r="E37" s="1742"/>
      <c r="F37" s="44"/>
      <c r="G37" s="44" t="s">
        <v>52</v>
      </c>
      <c r="H37" s="44"/>
      <c r="I37" s="44"/>
      <c r="J37" s="44"/>
      <c r="K37" s="44"/>
      <c r="L37" s="44"/>
      <c r="M37" s="44"/>
      <c r="N37" s="44"/>
      <c r="O37" s="44"/>
      <c r="P37" s="44"/>
      <c r="Q37" s="44"/>
      <c r="R37" s="44"/>
      <c r="S37" s="44"/>
      <c r="T37" s="44"/>
      <c r="U37" s="44"/>
      <c r="V37" s="44"/>
      <c r="W37" s="44"/>
      <c r="X37" s="44"/>
      <c r="Y37" s="44"/>
      <c r="Z37" s="44"/>
    </row>
    <row r="38" spans="1:26" ht="26.25" customHeight="1" x14ac:dyDescent="0.2">
      <c r="A38" s="44"/>
      <c r="B38" s="58" t="s">
        <v>1710</v>
      </c>
      <c r="C38" s="1709" t="s">
        <v>1888</v>
      </c>
      <c r="D38" s="1709"/>
      <c r="E38" s="1710"/>
      <c r="F38" s="44"/>
      <c r="G38" s="44" t="s">
        <v>202</v>
      </c>
      <c r="H38" s="44"/>
      <c r="I38" s="44"/>
      <c r="J38" s="44"/>
      <c r="K38" s="44"/>
      <c r="L38" s="44"/>
      <c r="M38" s="44"/>
      <c r="N38" s="44"/>
      <c r="O38" s="44"/>
      <c r="P38" s="44"/>
      <c r="Q38" s="44"/>
      <c r="R38" s="44"/>
      <c r="S38" s="44"/>
      <c r="T38" s="44"/>
      <c r="U38" s="44"/>
      <c r="V38" s="44"/>
      <c r="W38" s="44"/>
      <c r="X38" s="44"/>
      <c r="Y38" s="44"/>
      <c r="Z38" s="44"/>
    </row>
    <row r="39" spans="1:26" ht="15" customHeight="1" x14ac:dyDescent="0.2">
      <c r="A39" s="44"/>
      <c r="B39" s="52" t="s">
        <v>1682</v>
      </c>
      <c r="C39" s="53"/>
      <c r="D39" s="1743" t="s">
        <v>1711</v>
      </c>
      <c r="E39" s="1744"/>
      <c r="F39" s="44"/>
      <c r="G39" s="44" t="s">
        <v>1709</v>
      </c>
      <c r="H39" s="44"/>
      <c r="I39" s="44"/>
      <c r="J39" s="44"/>
      <c r="K39" s="44"/>
      <c r="L39" s="44"/>
      <c r="M39" s="44"/>
      <c r="N39" s="44"/>
      <c r="O39" s="44"/>
      <c r="P39" s="44"/>
      <c r="Q39" s="44"/>
      <c r="R39" s="44"/>
      <c r="S39" s="44"/>
      <c r="T39" s="44"/>
      <c r="U39" s="44"/>
      <c r="V39" s="44"/>
      <c r="W39" s="44"/>
      <c r="X39" s="44"/>
      <c r="Y39" s="44"/>
      <c r="Z39" s="44"/>
    </row>
    <row r="40" spans="1:26" ht="15" customHeight="1" x14ac:dyDescent="0.2">
      <c r="A40" s="44"/>
      <c r="B40" s="1723" t="s">
        <v>1684</v>
      </c>
      <c r="C40" s="1725"/>
      <c r="D40" s="1731" t="s">
        <v>1712</v>
      </c>
      <c r="E40" s="1732"/>
      <c r="F40" s="44"/>
      <c r="G40" s="44" t="s">
        <v>67</v>
      </c>
      <c r="H40" s="44"/>
      <c r="I40" s="44"/>
      <c r="J40" s="44"/>
      <c r="K40" s="44"/>
      <c r="L40" s="44"/>
      <c r="M40" s="44"/>
      <c r="N40" s="44"/>
      <c r="O40" s="44"/>
      <c r="P40" s="44"/>
      <c r="Q40" s="44"/>
      <c r="R40" s="44"/>
      <c r="S40" s="44"/>
      <c r="T40" s="44"/>
      <c r="U40" s="44"/>
      <c r="V40" s="44"/>
      <c r="W40" s="44"/>
      <c r="X40" s="44"/>
      <c r="Y40" s="44"/>
      <c r="Z40" s="44"/>
    </row>
    <row r="41" spans="1:26" ht="22.5" customHeight="1" x14ac:dyDescent="0.2">
      <c r="A41" s="44"/>
      <c r="B41" s="1729"/>
      <c r="C41" s="1730"/>
      <c r="D41" s="1733"/>
      <c r="E41" s="1734"/>
      <c r="F41" s="44"/>
      <c r="G41" s="44" t="s">
        <v>226</v>
      </c>
      <c r="H41" s="44"/>
      <c r="I41" s="44"/>
      <c r="J41" s="44"/>
      <c r="K41" s="44"/>
      <c r="L41" s="44"/>
      <c r="M41" s="44"/>
      <c r="N41" s="44"/>
      <c r="O41" s="44"/>
      <c r="P41" s="44"/>
      <c r="Q41" s="44"/>
      <c r="R41" s="44"/>
      <c r="S41" s="44"/>
      <c r="T41" s="44"/>
      <c r="U41" s="44"/>
      <c r="V41" s="44"/>
      <c r="W41" s="44"/>
      <c r="X41" s="44"/>
      <c r="Y41" s="44"/>
      <c r="Z41" s="44"/>
    </row>
    <row r="42" spans="1:26" ht="15" customHeight="1" x14ac:dyDescent="0.2">
      <c r="A42" s="44"/>
      <c r="B42" s="59" t="s">
        <v>1686</v>
      </c>
      <c r="C42" s="60"/>
      <c r="D42" s="1731" t="s">
        <v>1713</v>
      </c>
      <c r="E42" s="1732"/>
      <c r="F42" s="44"/>
      <c r="G42" s="44" t="s">
        <v>229</v>
      </c>
      <c r="H42" s="44"/>
      <c r="I42" s="44"/>
      <c r="J42" s="44"/>
      <c r="K42" s="44"/>
      <c r="L42" s="44"/>
      <c r="M42" s="44"/>
      <c r="N42" s="44"/>
      <c r="O42" s="44"/>
      <c r="P42" s="44"/>
      <c r="Q42" s="44"/>
      <c r="R42" s="44"/>
      <c r="S42" s="44"/>
      <c r="T42" s="44"/>
      <c r="U42" s="44"/>
      <c r="V42" s="44"/>
      <c r="W42" s="44"/>
      <c r="X42" s="44"/>
      <c r="Y42" s="44"/>
      <c r="Z42" s="44"/>
    </row>
    <row r="43" spans="1:26" ht="15" customHeight="1" x14ac:dyDescent="0.2">
      <c r="A43" s="44"/>
      <c r="B43" s="54" t="s">
        <v>1688</v>
      </c>
      <c r="C43" s="55"/>
      <c r="D43" s="1731" t="s">
        <v>1714</v>
      </c>
      <c r="E43" s="1732"/>
      <c r="F43" s="44"/>
      <c r="G43" s="44" t="s">
        <v>238</v>
      </c>
      <c r="H43" s="44"/>
      <c r="I43" s="44"/>
      <c r="J43" s="44"/>
      <c r="K43" s="44"/>
      <c r="L43" s="44"/>
      <c r="M43" s="44"/>
      <c r="N43" s="44"/>
      <c r="O43" s="44"/>
      <c r="P43" s="44"/>
      <c r="Q43" s="44"/>
      <c r="R43" s="44"/>
      <c r="S43" s="44"/>
      <c r="T43" s="44"/>
      <c r="U43" s="44"/>
      <c r="V43" s="44"/>
      <c r="W43" s="44"/>
      <c r="X43" s="44"/>
      <c r="Y43" s="44"/>
      <c r="Z43" s="44"/>
    </row>
    <row r="44" spans="1:26" ht="15" customHeight="1" x14ac:dyDescent="0.2">
      <c r="A44" s="44"/>
      <c r="B44" s="1717" t="s">
        <v>1696</v>
      </c>
      <c r="C44" s="1718"/>
      <c r="D44" s="1737" t="s">
        <v>1689</v>
      </c>
      <c r="E44" s="1738"/>
      <c r="F44" s="44"/>
      <c r="G44" s="44" t="s">
        <v>242</v>
      </c>
      <c r="H44" s="44"/>
      <c r="I44" s="44"/>
      <c r="J44" s="44"/>
      <c r="K44" s="44"/>
      <c r="L44" s="44"/>
      <c r="M44" s="44"/>
      <c r="N44" s="44"/>
      <c r="O44" s="44"/>
      <c r="P44" s="44"/>
      <c r="Q44" s="44"/>
      <c r="R44" s="44"/>
      <c r="S44" s="44"/>
      <c r="T44" s="44"/>
      <c r="U44" s="44"/>
      <c r="V44" s="44"/>
      <c r="W44" s="44"/>
      <c r="X44" s="44"/>
      <c r="Y44" s="44"/>
      <c r="Z44" s="44"/>
    </row>
    <row r="45" spans="1:26" ht="22.5" customHeight="1" x14ac:dyDescent="0.2">
      <c r="A45" s="44"/>
      <c r="B45" s="1735"/>
      <c r="C45" s="1736"/>
      <c r="D45" s="1739"/>
      <c r="E45" s="1740"/>
      <c r="F45" s="44"/>
      <c r="G45" s="44" t="s">
        <v>246</v>
      </c>
      <c r="H45" s="44"/>
      <c r="I45" s="44"/>
      <c r="J45" s="44"/>
      <c r="K45" s="44"/>
      <c r="L45" s="44"/>
      <c r="M45" s="44"/>
      <c r="N45" s="44"/>
      <c r="O45" s="44"/>
      <c r="P45" s="44"/>
      <c r="Q45" s="44"/>
      <c r="R45" s="44"/>
      <c r="S45" s="44"/>
      <c r="T45" s="44"/>
      <c r="U45" s="44"/>
      <c r="V45" s="44"/>
      <c r="W45" s="44"/>
      <c r="X45" s="44"/>
      <c r="Y45" s="44"/>
      <c r="Z45" s="44"/>
    </row>
    <row r="46" spans="1:26" ht="26.25" customHeight="1" x14ac:dyDescent="0.2">
      <c r="A46" s="44"/>
      <c r="B46" s="58" t="s">
        <v>1716</v>
      </c>
      <c r="C46" s="1709" t="s">
        <v>1889</v>
      </c>
      <c r="D46" s="1709"/>
      <c r="E46" s="1710"/>
      <c r="F46" s="44"/>
      <c r="G46" s="44" t="s">
        <v>248</v>
      </c>
      <c r="H46" s="44"/>
      <c r="I46" s="44"/>
      <c r="J46" s="44"/>
      <c r="K46" s="44"/>
      <c r="L46" s="44"/>
      <c r="M46" s="44"/>
      <c r="N46" s="44"/>
      <c r="O46" s="44"/>
      <c r="P46" s="44"/>
      <c r="Q46" s="44"/>
      <c r="R46" s="44"/>
      <c r="S46" s="44"/>
      <c r="T46" s="44"/>
      <c r="U46" s="44"/>
      <c r="V46" s="44"/>
      <c r="W46" s="44"/>
      <c r="X46" s="44"/>
      <c r="Y46" s="44"/>
      <c r="Z46" s="44"/>
    </row>
    <row r="47" spans="1:26" ht="15" customHeight="1" x14ac:dyDescent="0.2">
      <c r="A47" s="44"/>
      <c r="B47" s="52" t="s">
        <v>1682</v>
      </c>
      <c r="C47" s="53"/>
      <c r="D47" s="1711" t="s">
        <v>1717</v>
      </c>
      <c r="E47" s="1712"/>
      <c r="F47" s="44"/>
      <c r="G47" s="44" t="s">
        <v>1715</v>
      </c>
      <c r="H47" s="44"/>
      <c r="I47" s="44"/>
      <c r="J47" s="44"/>
      <c r="K47" s="44"/>
      <c r="L47" s="44"/>
      <c r="M47" s="44"/>
      <c r="N47" s="44"/>
      <c r="O47" s="44"/>
      <c r="P47" s="44"/>
      <c r="Q47" s="44"/>
      <c r="R47" s="44"/>
      <c r="S47" s="44"/>
      <c r="T47" s="44"/>
      <c r="U47" s="44"/>
      <c r="V47" s="44"/>
      <c r="W47" s="44"/>
      <c r="X47" s="44"/>
      <c r="Y47" s="44"/>
      <c r="Z47" s="44"/>
    </row>
    <row r="48" spans="1:26" ht="15" customHeight="1" x14ac:dyDescent="0.2">
      <c r="A48" s="44"/>
      <c r="B48" s="59" t="s">
        <v>1684</v>
      </c>
      <c r="C48" s="60"/>
      <c r="D48" s="1713" t="s">
        <v>1719</v>
      </c>
      <c r="E48" s="1714"/>
      <c r="F48" s="44"/>
      <c r="G48" s="44" t="s">
        <v>265</v>
      </c>
      <c r="H48" s="44"/>
      <c r="I48" s="44"/>
      <c r="J48" s="44"/>
      <c r="K48" s="44"/>
      <c r="L48" s="44"/>
      <c r="M48" s="44"/>
      <c r="N48" s="44"/>
      <c r="O48" s="44"/>
      <c r="P48" s="44"/>
      <c r="Q48" s="44"/>
      <c r="R48" s="44"/>
      <c r="S48" s="44"/>
      <c r="T48" s="44"/>
      <c r="U48" s="44"/>
      <c r="V48" s="44"/>
      <c r="W48" s="44"/>
      <c r="X48" s="44"/>
      <c r="Y48" s="44"/>
      <c r="Z48" s="44"/>
    </row>
    <row r="49" spans="1:26" ht="15" customHeight="1" x14ac:dyDescent="0.2">
      <c r="A49" s="44"/>
      <c r="B49" s="59" t="s">
        <v>1686</v>
      </c>
      <c r="C49" s="60"/>
      <c r="D49" s="1713" t="s">
        <v>1721</v>
      </c>
      <c r="E49" s="1714"/>
      <c r="F49" s="44"/>
      <c r="G49" s="44" t="s">
        <v>1718</v>
      </c>
      <c r="H49" s="44"/>
      <c r="I49" s="44"/>
      <c r="J49" s="44"/>
      <c r="K49" s="44"/>
      <c r="L49" s="44"/>
      <c r="M49" s="44"/>
      <c r="N49" s="44"/>
      <c r="O49" s="44"/>
      <c r="P49" s="44"/>
      <c r="Q49" s="44"/>
      <c r="R49" s="44"/>
      <c r="S49" s="44"/>
      <c r="T49" s="44"/>
      <c r="U49" s="44"/>
      <c r="V49" s="44"/>
      <c r="W49" s="44"/>
      <c r="X49" s="44"/>
      <c r="Y49" s="44"/>
      <c r="Z49" s="44"/>
    </row>
    <row r="50" spans="1:26" ht="15" customHeight="1" x14ac:dyDescent="0.2">
      <c r="A50" s="44"/>
      <c r="B50" s="54" t="s">
        <v>1688</v>
      </c>
      <c r="C50" s="55"/>
      <c r="D50" s="1713" t="s">
        <v>1722</v>
      </c>
      <c r="E50" s="1714"/>
      <c r="F50" s="44"/>
      <c r="G50" s="44" t="s">
        <v>1720</v>
      </c>
      <c r="H50" s="44"/>
      <c r="I50" s="44"/>
      <c r="J50" s="44"/>
      <c r="K50" s="44"/>
      <c r="L50" s="44"/>
      <c r="M50" s="44"/>
      <c r="N50" s="44"/>
      <c r="O50" s="44"/>
      <c r="P50" s="44"/>
      <c r="Q50" s="44"/>
      <c r="R50" s="44"/>
      <c r="S50" s="44"/>
      <c r="T50" s="44"/>
      <c r="U50" s="44"/>
      <c r="V50" s="44"/>
      <c r="W50" s="44"/>
      <c r="X50" s="44"/>
      <c r="Y50" s="44"/>
      <c r="Z50" s="44"/>
    </row>
    <row r="51" spans="1:26" ht="15" customHeight="1" x14ac:dyDescent="0.2">
      <c r="A51" s="44"/>
      <c r="B51" s="54" t="s">
        <v>1696</v>
      </c>
      <c r="C51" s="55"/>
      <c r="D51" s="1713" t="s">
        <v>1723</v>
      </c>
      <c r="E51" s="1714"/>
      <c r="F51" s="44"/>
      <c r="G51" s="44" t="s">
        <v>269</v>
      </c>
      <c r="H51" s="44"/>
      <c r="I51" s="44"/>
      <c r="J51" s="44"/>
      <c r="K51" s="44"/>
      <c r="L51" s="44"/>
      <c r="M51" s="44"/>
      <c r="N51" s="44"/>
      <c r="O51" s="44"/>
      <c r="P51" s="44"/>
      <c r="Q51" s="44"/>
      <c r="R51" s="44"/>
      <c r="S51" s="44"/>
      <c r="T51" s="44"/>
      <c r="U51" s="44"/>
      <c r="V51" s="44"/>
      <c r="W51" s="44"/>
      <c r="X51" s="44"/>
      <c r="Y51" s="44"/>
      <c r="Z51" s="44"/>
    </row>
    <row r="52" spans="1:26" ht="15" customHeight="1" x14ac:dyDescent="0.2">
      <c r="A52" s="44"/>
      <c r="B52" s="1723" t="s">
        <v>1698</v>
      </c>
      <c r="C52" s="1725"/>
      <c r="D52" s="1713" t="s">
        <v>1689</v>
      </c>
      <c r="E52" s="1714"/>
      <c r="F52" s="44"/>
      <c r="G52" s="44" t="s">
        <v>275</v>
      </c>
      <c r="H52" s="44"/>
      <c r="I52" s="44"/>
      <c r="J52" s="44"/>
      <c r="K52" s="44"/>
      <c r="L52" s="44"/>
      <c r="M52" s="44"/>
      <c r="N52" s="44"/>
      <c r="O52" s="44"/>
      <c r="P52" s="44"/>
      <c r="Q52" s="44"/>
      <c r="R52" s="44"/>
      <c r="S52" s="44"/>
      <c r="T52" s="44"/>
      <c r="U52" s="44"/>
      <c r="V52" s="44"/>
      <c r="W52" s="44"/>
      <c r="X52" s="44"/>
      <c r="Y52" s="44"/>
      <c r="Z52" s="44"/>
    </row>
    <row r="53" spans="1:26" ht="22.5" customHeight="1" x14ac:dyDescent="0.2">
      <c r="A53" s="44"/>
      <c r="B53" s="1724"/>
      <c r="C53" s="1726"/>
      <c r="D53" s="1727"/>
      <c r="E53" s="1728"/>
      <c r="F53" s="44"/>
      <c r="G53" s="44" t="s">
        <v>2</v>
      </c>
      <c r="H53" s="44"/>
      <c r="I53" s="44"/>
      <c r="J53" s="44"/>
      <c r="K53" s="44"/>
      <c r="L53" s="44"/>
      <c r="M53" s="44"/>
      <c r="N53" s="44"/>
      <c r="O53" s="44"/>
      <c r="P53" s="44"/>
      <c r="Q53" s="44"/>
      <c r="R53" s="44"/>
      <c r="S53" s="44"/>
      <c r="T53" s="44"/>
      <c r="U53" s="44"/>
      <c r="V53" s="44"/>
      <c r="W53" s="44"/>
      <c r="X53" s="44"/>
      <c r="Y53" s="44"/>
      <c r="Z53" s="44"/>
    </row>
    <row r="54" spans="1:26" ht="26.25" customHeight="1" x14ac:dyDescent="0.2">
      <c r="A54" s="44"/>
      <c r="B54" s="58" t="s">
        <v>1724</v>
      </c>
      <c r="C54" s="1709" t="s">
        <v>1725</v>
      </c>
      <c r="D54" s="1709"/>
      <c r="E54" s="1710"/>
      <c r="F54" s="44"/>
      <c r="G54" s="44" t="s">
        <v>68</v>
      </c>
      <c r="H54" s="44"/>
      <c r="I54" s="44"/>
      <c r="J54" s="44"/>
      <c r="K54" s="44"/>
      <c r="L54" s="44"/>
      <c r="M54" s="44"/>
      <c r="N54" s="44"/>
      <c r="O54" s="44"/>
      <c r="P54" s="44"/>
      <c r="Q54" s="44"/>
      <c r="R54" s="44"/>
      <c r="S54" s="44"/>
      <c r="T54" s="44"/>
      <c r="U54" s="44"/>
      <c r="V54" s="44"/>
      <c r="W54" s="44"/>
      <c r="X54" s="44"/>
      <c r="Y54" s="44"/>
      <c r="Z54" s="44"/>
    </row>
    <row r="55" spans="1:26" x14ac:dyDescent="0.2">
      <c r="A55" s="44"/>
      <c r="B55" s="52" t="s">
        <v>1682</v>
      </c>
      <c r="C55" s="53"/>
      <c r="D55" s="1711" t="s">
        <v>1726</v>
      </c>
      <c r="E55" s="1712"/>
      <c r="F55" s="44"/>
      <c r="G55" s="44" t="s">
        <v>458</v>
      </c>
      <c r="H55" s="44"/>
      <c r="I55" s="44"/>
      <c r="J55" s="44"/>
      <c r="K55" s="44"/>
      <c r="L55" s="44"/>
      <c r="M55" s="44"/>
      <c r="N55" s="44"/>
      <c r="O55" s="44"/>
      <c r="P55" s="44"/>
      <c r="Q55" s="44"/>
      <c r="R55" s="44"/>
      <c r="S55" s="44"/>
      <c r="T55" s="44"/>
      <c r="U55" s="44"/>
      <c r="V55" s="44"/>
      <c r="W55" s="44"/>
      <c r="X55" s="44"/>
      <c r="Y55" s="44"/>
      <c r="Z55" s="44"/>
    </row>
    <row r="56" spans="1:26" ht="15" customHeight="1" x14ac:dyDescent="0.2">
      <c r="A56" s="44"/>
      <c r="B56" s="1717" t="s">
        <v>1684</v>
      </c>
      <c r="C56" s="1718"/>
      <c r="D56" s="1713" t="s">
        <v>1727</v>
      </c>
      <c r="E56" s="1714"/>
      <c r="F56" s="44"/>
      <c r="G56" s="44" t="s">
        <v>329</v>
      </c>
      <c r="H56" s="44"/>
      <c r="I56" s="44"/>
      <c r="J56" s="44"/>
      <c r="K56" s="44"/>
      <c r="L56" s="44"/>
      <c r="M56" s="44"/>
      <c r="N56" s="44"/>
      <c r="O56" s="44"/>
      <c r="P56" s="44"/>
      <c r="Q56" s="44"/>
      <c r="R56" s="44"/>
      <c r="S56" s="44"/>
      <c r="T56" s="44"/>
      <c r="U56" s="44"/>
      <c r="V56" s="44"/>
      <c r="W56" s="44"/>
      <c r="X56" s="44"/>
      <c r="Y56" s="44"/>
      <c r="Z56" s="44"/>
    </row>
    <row r="57" spans="1:26" ht="22.5" customHeight="1" x14ac:dyDescent="0.2">
      <c r="A57" s="44"/>
      <c r="B57" s="1717"/>
      <c r="C57" s="1718"/>
      <c r="D57" s="1719"/>
      <c r="E57" s="1720"/>
      <c r="F57" s="44"/>
      <c r="G57" s="44" t="s">
        <v>145</v>
      </c>
      <c r="H57" s="44"/>
      <c r="I57" s="44"/>
      <c r="J57" s="44"/>
      <c r="K57" s="44"/>
      <c r="L57" s="44"/>
      <c r="M57" s="44"/>
      <c r="N57" s="44"/>
      <c r="O57" s="44"/>
      <c r="P57" s="44"/>
      <c r="Q57" s="44"/>
      <c r="R57" s="44"/>
      <c r="S57" s="44"/>
      <c r="T57" s="44"/>
      <c r="U57" s="44"/>
      <c r="V57" s="44"/>
      <c r="W57" s="44"/>
      <c r="X57" s="44"/>
      <c r="Y57" s="44"/>
      <c r="Z57" s="44"/>
    </row>
    <row r="58" spans="1:26" x14ac:dyDescent="0.2">
      <c r="A58" s="44"/>
      <c r="B58" s="54" t="s">
        <v>1686</v>
      </c>
      <c r="C58" s="55"/>
      <c r="D58" s="1713" t="s">
        <v>1728</v>
      </c>
      <c r="E58" s="1714"/>
      <c r="F58" s="44"/>
      <c r="G58" s="44" t="s">
        <v>630</v>
      </c>
      <c r="H58" s="44"/>
      <c r="I58" s="44"/>
      <c r="J58" s="44"/>
      <c r="K58" s="44"/>
      <c r="L58" s="44"/>
      <c r="M58" s="44"/>
      <c r="N58" s="44"/>
      <c r="O58" s="44"/>
      <c r="P58" s="44"/>
      <c r="Q58" s="44"/>
      <c r="R58" s="44"/>
      <c r="S58" s="44"/>
      <c r="T58" s="44"/>
      <c r="U58" s="44"/>
      <c r="V58" s="44"/>
      <c r="W58" s="44"/>
      <c r="X58" s="44"/>
      <c r="Y58" s="44"/>
      <c r="Z58" s="44"/>
    </row>
    <row r="59" spans="1:26" ht="15" customHeight="1" x14ac:dyDescent="0.2">
      <c r="A59" s="44"/>
      <c r="B59" s="56" t="s">
        <v>1688</v>
      </c>
      <c r="C59" s="57"/>
      <c r="D59" s="1721" t="s">
        <v>1729</v>
      </c>
      <c r="E59" s="1722"/>
      <c r="F59" s="44"/>
      <c r="G59" s="44" t="s">
        <v>197</v>
      </c>
      <c r="H59" s="44"/>
      <c r="I59" s="44"/>
      <c r="J59" s="44"/>
      <c r="K59" s="44"/>
      <c r="L59" s="44"/>
      <c r="M59" s="44"/>
      <c r="N59" s="44"/>
      <c r="O59" s="44"/>
      <c r="P59" s="44"/>
      <c r="Q59" s="44"/>
      <c r="R59" s="44"/>
      <c r="S59" s="44"/>
      <c r="T59" s="44"/>
      <c r="U59" s="44"/>
      <c r="V59" s="44"/>
      <c r="W59" s="44"/>
      <c r="X59" s="44"/>
      <c r="Y59" s="44"/>
      <c r="Z59" s="44"/>
    </row>
    <row r="60" spans="1:26" ht="26.25" customHeight="1" x14ac:dyDescent="0.2">
      <c r="A60" s="44"/>
      <c r="B60" s="58" t="s">
        <v>1730</v>
      </c>
      <c r="C60" s="1709" t="s">
        <v>1890</v>
      </c>
      <c r="D60" s="1709"/>
      <c r="E60" s="1710"/>
      <c r="F60" s="44"/>
      <c r="G60" s="44" t="s">
        <v>288</v>
      </c>
      <c r="H60" s="44"/>
      <c r="I60" s="44"/>
      <c r="J60" s="44"/>
      <c r="K60" s="44"/>
      <c r="L60" s="44"/>
      <c r="M60" s="44"/>
      <c r="N60" s="44"/>
      <c r="O60" s="44"/>
      <c r="P60" s="44"/>
      <c r="Q60" s="44"/>
      <c r="R60" s="44"/>
      <c r="S60" s="44"/>
      <c r="T60" s="44"/>
      <c r="U60" s="44"/>
      <c r="V60" s="44"/>
      <c r="W60" s="44"/>
      <c r="X60" s="44"/>
      <c r="Y60" s="44"/>
      <c r="Z60" s="44"/>
    </row>
    <row r="61" spans="1:26" ht="15" customHeight="1" x14ac:dyDescent="0.2">
      <c r="A61" s="44"/>
      <c r="B61" s="52" t="s">
        <v>1682</v>
      </c>
      <c r="C61" s="53"/>
      <c r="D61" s="1711" t="s">
        <v>1732</v>
      </c>
      <c r="E61" s="1712"/>
      <c r="F61" s="44"/>
      <c r="G61" s="44" t="s">
        <v>336</v>
      </c>
      <c r="H61" s="44"/>
      <c r="I61" s="44"/>
      <c r="J61" s="44"/>
      <c r="K61" s="44"/>
      <c r="L61" s="44"/>
      <c r="M61" s="44"/>
      <c r="N61" s="44"/>
      <c r="O61" s="44"/>
      <c r="P61" s="44"/>
      <c r="Q61" s="44"/>
      <c r="R61" s="44"/>
      <c r="S61" s="44"/>
      <c r="T61" s="44"/>
      <c r="U61" s="44"/>
      <c r="V61" s="44"/>
      <c r="W61" s="44"/>
      <c r="X61" s="44"/>
      <c r="Y61" s="44"/>
      <c r="Z61" s="44"/>
    </row>
    <row r="62" spans="1:26" ht="15" customHeight="1" x14ac:dyDescent="0.2">
      <c r="A62" s="44"/>
      <c r="B62" s="1717" t="s">
        <v>1684</v>
      </c>
      <c r="C62" s="1718"/>
      <c r="D62" s="1713" t="s">
        <v>1734</v>
      </c>
      <c r="E62" s="1714"/>
      <c r="F62" s="44"/>
      <c r="G62" s="44" t="s">
        <v>1731</v>
      </c>
      <c r="H62" s="44"/>
      <c r="I62" s="44"/>
      <c r="J62" s="44"/>
      <c r="K62" s="44"/>
      <c r="L62" s="44"/>
      <c r="M62" s="44"/>
      <c r="N62" s="44"/>
      <c r="O62" s="44"/>
      <c r="P62" s="44"/>
      <c r="Q62" s="44"/>
      <c r="R62" s="44"/>
      <c r="S62" s="44"/>
      <c r="T62" s="44"/>
      <c r="U62" s="44"/>
      <c r="V62" s="44"/>
      <c r="W62" s="44"/>
      <c r="X62" s="44"/>
      <c r="Y62" s="44"/>
      <c r="Z62" s="44"/>
    </row>
    <row r="63" spans="1:26" ht="22.5" customHeight="1" x14ac:dyDescent="0.2">
      <c r="A63" s="44"/>
      <c r="B63" s="1717"/>
      <c r="C63" s="1718"/>
      <c r="D63" s="1719"/>
      <c r="E63" s="1720"/>
      <c r="F63" s="44"/>
      <c r="G63" s="44" t="s">
        <v>1733</v>
      </c>
      <c r="H63" s="44"/>
      <c r="I63" s="44"/>
      <c r="J63" s="44"/>
      <c r="K63" s="44"/>
      <c r="L63" s="44"/>
      <c r="M63" s="44"/>
      <c r="N63" s="44"/>
      <c r="O63" s="44"/>
      <c r="P63" s="44"/>
      <c r="Q63" s="44"/>
      <c r="R63" s="44"/>
      <c r="S63" s="44"/>
      <c r="T63" s="44"/>
      <c r="U63" s="44"/>
      <c r="V63" s="44"/>
      <c r="W63" s="44"/>
      <c r="X63" s="44"/>
      <c r="Y63" s="44"/>
      <c r="Z63" s="44"/>
    </row>
    <row r="64" spans="1:26" ht="15" customHeight="1" x14ac:dyDescent="0.2">
      <c r="A64" s="44"/>
      <c r="B64" s="54" t="s">
        <v>1686</v>
      </c>
      <c r="C64" s="55"/>
      <c r="D64" s="1713" t="s">
        <v>1736</v>
      </c>
      <c r="E64" s="1714"/>
      <c r="F64" s="44"/>
      <c r="G64" s="44" t="s">
        <v>622</v>
      </c>
      <c r="H64" s="44"/>
      <c r="I64" s="44"/>
      <c r="J64" s="44"/>
      <c r="K64" s="44"/>
      <c r="L64" s="44"/>
      <c r="M64" s="44"/>
      <c r="N64" s="44"/>
      <c r="O64" s="44"/>
      <c r="P64" s="44"/>
      <c r="Q64" s="44"/>
      <c r="R64" s="44"/>
      <c r="S64" s="44"/>
      <c r="T64" s="44"/>
      <c r="U64" s="44"/>
      <c r="V64" s="44"/>
      <c r="W64" s="44"/>
      <c r="X64" s="44"/>
      <c r="Y64" s="44"/>
      <c r="Z64" s="44"/>
    </row>
    <row r="65" spans="1:26" ht="15" customHeight="1" x14ac:dyDescent="0.2">
      <c r="A65" s="44"/>
      <c r="B65" s="56" t="s">
        <v>1688</v>
      </c>
      <c r="C65" s="57"/>
      <c r="D65" s="1721" t="s">
        <v>1737</v>
      </c>
      <c r="E65" s="1722"/>
      <c r="F65" s="44"/>
      <c r="G65" s="44" t="s">
        <v>1735</v>
      </c>
      <c r="H65" s="44"/>
      <c r="I65" s="44"/>
      <c r="J65" s="44"/>
      <c r="K65" s="44"/>
      <c r="L65" s="44"/>
      <c r="M65" s="44"/>
      <c r="N65" s="44"/>
      <c r="O65" s="44"/>
      <c r="P65" s="44"/>
      <c r="Q65" s="44"/>
      <c r="R65" s="44"/>
      <c r="S65" s="44"/>
      <c r="T65" s="44"/>
      <c r="U65" s="44"/>
      <c r="V65" s="44"/>
      <c r="W65" s="44"/>
      <c r="X65" s="44"/>
      <c r="Y65" s="44"/>
      <c r="Z65" s="44"/>
    </row>
    <row r="66" spans="1:26" ht="26.25" customHeight="1" x14ac:dyDescent="0.2">
      <c r="A66" s="44"/>
      <c r="B66" s="58" t="s">
        <v>1738</v>
      </c>
      <c r="C66" s="1709" t="s">
        <v>1891</v>
      </c>
      <c r="D66" s="1709"/>
      <c r="E66" s="1710"/>
      <c r="F66" s="44"/>
      <c r="G66" s="44" t="s">
        <v>291</v>
      </c>
      <c r="H66" s="44"/>
      <c r="I66" s="44"/>
      <c r="J66" s="44"/>
      <c r="K66" s="44"/>
      <c r="L66" s="44"/>
      <c r="M66" s="44"/>
      <c r="N66" s="44"/>
      <c r="O66" s="44"/>
      <c r="P66" s="44"/>
      <c r="Q66" s="44"/>
      <c r="R66" s="44"/>
      <c r="S66" s="44"/>
      <c r="T66" s="44"/>
      <c r="U66" s="44"/>
      <c r="V66" s="44"/>
      <c r="W66" s="44"/>
      <c r="X66" s="44"/>
      <c r="Y66" s="44"/>
      <c r="Z66" s="44"/>
    </row>
    <row r="67" spans="1:26" ht="15" customHeight="1" x14ac:dyDescent="0.2">
      <c r="A67" s="44"/>
      <c r="B67" s="52" t="s">
        <v>1682</v>
      </c>
      <c r="C67" s="53"/>
      <c r="D67" s="1711" t="s">
        <v>1739</v>
      </c>
      <c r="E67" s="1712"/>
      <c r="F67" s="44"/>
      <c r="G67" s="44" t="s">
        <v>294</v>
      </c>
      <c r="H67" s="44"/>
      <c r="I67" s="44"/>
      <c r="J67" s="44"/>
      <c r="K67" s="44"/>
      <c r="L67" s="44"/>
      <c r="M67" s="44"/>
      <c r="N67" s="44"/>
      <c r="O67" s="44"/>
      <c r="P67" s="44"/>
      <c r="Q67" s="44"/>
      <c r="R67" s="44"/>
      <c r="S67" s="44"/>
      <c r="T67" s="44"/>
      <c r="U67" s="44"/>
      <c r="V67" s="44"/>
      <c r="W67" s="44"/>
      <c r="X67" s="44"/>
      <c r="Y67" s="44"/>
      <c r="Z67" s="44"/>
    </row>
    <row r="68" spans="1:26" ht="15" customHeight="1" x14ac:dyDescent="0.2">
      <c r="A68" s="44"/>
      <c r="B68" s="54" t="s">
        <v>1684</v>
      </c>
      <c r="C68" s="55"/>
      <c r="D68" s="1713" t="s">
        <v>1741</v>
      </c>
      <c r="E68" s="1714"/>
      <c r="F68" s="44"/>
      <c r="G68" s="44" t="s">
        <v>307</v>
      </c>
      <c r="H68" s="44"/>
      <c r="I68" s="44"/>
      <c r="J68" s="44"/>
      <c r="K68" s="44"/>
      <c r="L68" s="44"/>
      <c r="M68" s="44"/>
      <c r="N68" s="44"/>
      <c r="O68" s="44"/>
      <c r="P68" s="44"/>
      <c r="Q68" s="44"/>
      <c r="R68" s="44"/>
      <c r="S68" s="44"/>
      <c r="T68" s="44"/>
      <c r="U68" s="44"/>
      <c r="V68" s="44"/>
      <c r="W68" s="44"/>
      <c r="X68" s="44"/>
      <c r="Y68" s="44"/>
      <c r="Z68" s="44"/>
    </row>
    <row r="69" spans="1:26" ht="15" customHeight="1" x14ac:dyDescent="0.2">
      <c r="A69" s="44"/>
      <c r="B69" s="56" t="s">
        <v>1686</v>
      </c>
      <c r="C69" s="57"/>
      <c r="D69" s="1715" t="s">
        <v>1737</v>
      </c>
      <c r="E69" s="1716"/>
      <c r="F69" s="44"/>
      <c r="G69" s="44" t="s">
        <v>249</v>
      </c>
      <c r="H69" s="44"/>
      <c r="I69" s="44"/>
      <c r="J69" s="44"/>
      <c r="K69" s="44"/>
      <c r="L69" s="44"/>
      <c r="M69" s="44"/>
      <c r="N69" s="44"/>
      <c r="O69" s="44"/>
      <c r="P69" s="44"/>
      <c r="Q69" s="44"/>
      <c r="R69" s="44"/>
      <c r="S69" s="44"/>
      <c r="T69" s="44"/>
      <c r="U69" s="44"/>
      <c r="V69" s="44"/>
      <c r="W69" s="44"/>
      <c r="X69" s="44"/>
      <c r="Y69" s="44"/>
      <c r="Z69" s="44"/>
    </row>
    <row r="70" spans="1:26" ht="25.5" customHeight="1" x14ac:dyDescent="0.2">
      <c r="A70" s="44"/>
      <c r="B70" s="58" t="s">
        <v>1743</v>
      </c>
      <c r="C70" s="1709" t="s">
        <v>1892</v>
      </c>
      <c r="D70" s="1709"/>
      <c r="E70" s="1710"/>
      <c r="F70" s="44"/>
      <c r="G70" s="44" t="s">
        <v>296</v>
      </c>
      <c r="H70" s="44"/>
      <c r="I70" s="44"/>
      <c r="J70" s="44"/>
      <c r="K70" s="44"/>
      <c r="L70" s="44"/>
      <c r="M70" s="44"/>
      <c r="N70" s="44"/>
      <c r="O70" s="44"/>
      <c r="P70" s="44"/>
      <c r="Q70" s="44"/>
      <c r="R70" s="44"/>
      <c r="S70" s="44"/>
      <c r="T70" s="44"/>
      <c r="U70" s="44"/>
      <c r="V70" s="44"/>
      <c r="W70" s="44"/>
      <c r="X70" s="44"/>
      <c r="Y70" s="44"/>
      <c r="Z70" s="44"/>
    </row>
    <row r="71" spans="1:26" ht="15" customHeight="1" x14ac:dyDescent="0.2">
      <c r="A71" s="44"/>
      <c r="B71" s="52" t="s">
        <v>1682</v>
      </c>
      <c r="C71" s="53"/>
      <c r="D71" s="1711" t="s">
        <v>1744</v>
      </c>
      <c r="E71" s="1712"/>
      <c r="F71" s="44"/>
      <c r="G71" s="44" t="s">
        <v>320</v>
      </c>
      <c r="H71" s="44"/>
      <c r="I71" s="44"/>
      <c r="J71" s="44"/>
      <c r="K71" s="44"/>
      <c r="L71" s="44"/>
      <c r="M71" s="44"/>
      <c r="N71" s="44"/>
      <c r="O71" s="44"/>
      <c r="P71" s="44"/>
      <c r="Q71" s="44"/>
      <c r="R71" s="44"/>
      <c r="S71" s="44"/>
      <c r="T71" s="44"/>
      <c r="U71" s="44"/>
      <c r="V71" s="44"/>
      <c r="W71" s="44"/>
      <c r="X71" s="44"/>
      <c r="Y71" s="44"/>
      <c r="Z71" s="44"/>
    </row>
    <row r="72" spans="1:26" ht="15" customHeight="1" x14ac:dyDescent="0.2">
      <c r="A72" s="44"/>
      <c r="B72" s="54" t="s">
        <v>1684</v>
      </c>
      <c r="C72" s="55"/>
      <c r="D72" s="1713" t="s">
        <v>1745</v>
      </c>
      <c r="E72" s="1714"/>
      <c r="F72" s="44"/>
      <c r="G72" s="44" t="s">
        <v>312</v>
      </c>
      <c r="H72" s="44"/>
      <c r="I72" s="44"/>
      <c r="J72" s="44"/>
      <c r="K72" s="44"/>
      <c r="L72" s="44"/>
      <c r="M72" s="44"/>
      <c r="N72" s="44"/>
      <c r="O72" s="44"/>
      <c r="P72" s="44"/>
      <c r="Q72" s="44"/>
      <c r="R72" s="44"/>
      <c r="S72" s="44"/>
      <c r="T72" s="44"/>
      <c r="U72" s="44"/>
      <c r="V72" s="44"/>
      <c r="W72" s="44"/>
      <c r="X72" s="44"/>
      <c r="Y72" s="44"/>
      <c r="Z72" s="44"/>
    </row>
    <row r="73" spans="1:26" ht="15" customHeight="1" x14ac:dyDescent="0.2">
      <c r="A73" s="44"/>
      <c r="B73" s="54" t="s">
        <v>1686</v>
      </c>
      <c r="C73" s="55"/>
      <c r="D73" s="1713" t="s">
        <v>1746</v>
      </c>
      <c r="E73" s="1714"/>
      <c r="F73" s="44"/>
      <c r="G73" s="44" t="s">
        <v>314</v>
      </c>
      <c r="H73" s="44"/>
      <c r="I73" s="44"/>
      <c r="J73" s="44"/>
      <c r="K73" s="44"/>
      <c r="L73" s="44"/>
      <c r="M73" s="44"/>
      <c r="N73" s="44"/>
      <c r="O73" s="44"/>
      <c r="P73" s="44"/>
      <c r="Q73" s="44"/>
      <c r="R73" s="44"/>
      <c r="S73" s="44"/>
      <c r="T73" s="44"/>
      <c r="U73" s="44"/>
      <c r="V73" s="44"/>
      <c r="W73" s="44"/>
      <c r="X73" s="44"/>
      <c r="Y73" s="44"/>
      <c r="Z73" s="44"/>
    </row>
    <row r="74" spans="1:26" ht="15" customHeight="1" x14ac:dyDescent="0.2">
      <c r="A74" s="44"/>
      <c r="B74" s="56" t="s">
        <v>1688</v>
      </c>
      <c r="C74" s="57"/>
      <c r="D74" s="1715" t="s">
        <v>1737</v>
      </c>
      <c r="E74" s="1716"/>
      <c r="F74" s="44"/>
      <c r="G74" s="44" t="s">
        <v>326</v>
      </c>
      <c r="H74" s="44"/>
      <c r="I74" s="44"/>
      <c r="J74" s="44"/>
      <c r="K74" s="44"/>
      <c r="L74" s="44"/>
      <c r="M74" s="44"/>
      <c r="N74" s="44"/>
      <c r="O74" s="44"/>
      <c r="P74" s="44"/>
      <c r="Q74" s="44"/>
      <c r="R74" s="44"/>
      <c r="S74" s="44"/>
      <c r="T74" s="44"/>
      <c r="U74" s="44"/>
      <c r="V74" s="44"/>
      <c r="W74" s="44"/>
      <c r="X74" s="44"/>
      <c r="Y74" s="44"/>
      <c r="Z74" s="44"/>
    </row>
    <row r="75" spans="1:26" ht="26.25" customHeight="1" x14ac:dyDescent="0.2">
      <c r="A75" s="44"/>
      <c r="B75" s="58" t="s">
        <v>1747</v>
      </c>
      <c r="C75" s="1709" t="s">
        <v>1893</v>
      </c>
      <c r="D75" s="1709"/>
      <c r="E75" s="1710"/>
      <c r="F75" s="44"/>
      <c r="G75" s="44" t="s">
        <v>392</v>
      </c>
      <c r="H75" s="44"/>
      <c r="I75" s="44"/>
      <c r="J75" s="44"/>
      <c r="K75" s="44"/>
      <c r="L75" s="44"/>
      <c r="M75" s="44"/>
      <c r="N75" s="44"/>
      <c r="O75" s="44"/>
      <c r="P75" s="44"/>
      <c r="Q75" s="44"/>
      <c r="R75" s="44"/>
      <c r="S75" s="44"/>
      <c r="T75" s="44"/>
      <c r="U75" s="44"/>
      <c r="V75" s="44"/>
      <c r="W75" s="44"/>
      <c r="X75" s="44"/>
      <c r="Y75" s="44"/>
      <c r="Z75" s="44"/>
    </row>
    <row r="76" spans="1:26" ht="45" customHeight="1" x14ac:dyDescent="0.2">
      <c r="A76" s="44"/>
      <c r="B76" s="1705"/>
      <c r="C76" s="1706"/>
      <c r="D76" s="1706"/>
      <c r="E76" s="1707"/>
      <c r="F76" s="44"/>
      <c r="G76" s="44" t="s">
        <v>55</v>
      </c>
      <c r="H76" s="44"/>
      <c r="I76" s="44"/>
      <c r="J76" s="44"/>
      <c r="K76" s="44"/>
      <c r="L76" s="44"/>
      <c r="M76" s="44"/>
      <c r="N76" s="44"/>
      <c r="O76" s="44"/>
      <c r="P76" s="44"/>
      <c r="Q76" s="44"/>
      <c r="R76" s="44"/>
      <c r="S76" s="44"/>
      <c r="T76" s="44"/>
      <c r="U76" s="44"/>
      <c r="V76" s="44"/>
      <c r="W76" s="44"/>
      <c r="X76" s="44"/>
      <c r="Y76" s="44"/>
      <c r="Z76" s="44"/>
    </row>
    <row r="77" spans="1:26" x14ac:dyDescent="0.2">
      <c r="A77" s="44"/>
      <c r="B77" s="61"/>
      <c r="C77" s="61"/>
      <c r="D77" s="61"/>
      <c r="E77" s="61"/>
      <c r="F77" s="44"/>
      <c r="G77" s="44" t="s">
        <v>389</v>
      </c>
      <c r="H77" s="44"/>
      <c r="I77" s="44"/>
      <c r="J77" s="44"/>
      <c r="K77" s="44"/>
      <c r="L77" s="44"/>
      <c r="M77" s="44"/>
      <c r="N77" s="44"/>
      <c r="O77" s="44"/>
      <c r="P77" s="44"/>
      <c r="Q77" s="44"/>
      <c r="R77" s="44"/>
      <c r="S77" s="44"/>
      <c r="T77" s="44"/>
      <c r="U77" s="44"/>
      <c r="V77" s="44"/>
      <c r="W77" s="44"/>
      <c r="X77" s="44"/>
      <c r="Y77" s="44"/>
      <c r="Z77" s="44"/>
    </row>
    <row r="78" spans="1:26" ht="18.75" customHeight="1" x14ac:dyDescent="0.2">
      <c r="A78" s="44"/>
      <c r="B78" s="1708" t="s">
        <v>1896</v>
      </c>
      <c r="C78" s="1708"/>
      <c r="D78" s="1708"/>
      <c r="E78" s="1708"/>
      <c r="F78" s="44"/>
      <c r="G78" s="44" t="s">
        <v>396</v>
      </c>
      <c r="H78" s="44"/>
      <c r="I78" s="44"/>
      <c r="J78" s="44"/>
      <c r="K78" s="44"/>
      <c r="L78" s="44"/>
      <c r="M78" s="44"/>
      <c r="N78" s="44"/>
      <c r="O78" s="44"/>
      <c r="P78" s="44"/>
      <c r="Q78" s="44"/>
      <c r="R78" s="44"/>
      <c r="S78" s="44"/>
      <c r="T78" s="44"/>
      <c r="U78" s="44"/>
      <c r="V78" s="44"/>
      <c r="W78" s="44"/>
      <c r="X78" s="44"/>
      <c r="Y78" s="44"/>
      <c r="Z78" s="44"/>
    </row>
    <row r="79" spans="1:26" x14ac:dyDescent="0.2">
      <c r="A79" s="44"/>
      <c r="B79" s="44"/>
      <c r="C79" s="44"/>
      <c r="D79" s="44"/>
      <c r="E79" s="44"/>
      <c r="F79" s="44"/>
      <c r="G79" s="44" t="s">
        <v>625</v>
      </c>
      <c r="H79" s="44"/>
      <c r="I79" s="44"/>
      <c r="J79" s="44"/>
      <c r="K79" s="44"/>
      <c r="L79" s="44"/>
      <c r="M79" s="44"/>
      <c r="N79" s="44"/>
      <c r="O79" s="44"/>
      <c r="P79" s="44"/>
      <c r="Q79" s="44"/>
      <c r="R79" s="44"/>
      <c r="S79" s="44"/>
      <c r="T79" s="44"/>
      <c r="U79" s="44"/>
      <c r="V79" s="44"/>
      <c r="W79" s="44"/>
      <c r="X79" s="44"/>
      <c r="Y79" s="44"/>
      <c r="Z79" s="44"/>
    </row>
    <row r="80" spans="1:26" x14ac:dyDescent="0.2">
      <c r="A80" s="44"/>
      <c r="B80" s="44"/>
      <c r="C80" s="44"/>
      <c r="D80" s="44"/>
      <c r="E80" s="44"/>
      <c r="F80" s="44"/>
      <c r="G80" s="44" t="s">
        <v>406</v>
      </c>
      <c r="H80" s="44"/>
      <c r="I80" s="44"/>
      <c r="J80" s="44"/>
      <c r="K80" s="44"/>
      <c r="L80" s="44"/>
      <c r="M80" s="44"/>
      <c r="N80" s="44"/>
      <c r="O80" s="44"/>
      <c r="P80" s="44"/>
      <c r="Q80" s="44"/>
      <c r="R80" s="44"/>
      <c r="S80" s="44"/>
      <c r="T80" s="44"/>
      <c r="U80" s="44"/>
      <c r="V80" s="44"/>
      <c r="W80" s="44"/>
      <c r="X80" s="44"/>
      <c r="Y80" s="44"/>
      <c r="Z80" s="44"/>
    </row>
    <row r="81" spans="1:26" x14ac:dyDescent="0.2">
      <c r="A81" s="44"/>
      <c r="B81" s="44"/>
      <c r="C81" s="44"/>
      <c r="D81" s="44"/>
      <c r="E81" s="44"/>
      <c r="F81" s="44"/>
      <c r="G81" s="44" t="s">
        <v>121</v>
      </c>
      <c r="H81" s="44"/>
      <c r="I81" s="44"/>
      <c r="J81" s="44"/>
      <c r="K81" s="44"/>
      <c r="L81" s="44"/>
      <c r="M81" s="44"/>
      <c r="N81" s="44"/>
      <c r="O81" s="44"/>
      <c r="P81" s="44"/>
      <c r="Q81" s="44"/>
      <c r="R81" s="44"/>
      <c r="S81" s="44"/>
      <c r="T81" s="44"/>
      <c r="U81" s="44"/>
      <c r="V81" s="44"/>
      <c r="W81" s="44"/>
      <c r="X81" s="44"/>
      <c r="Y81" s="44"/>
      <c r="Z81" s="44"/>
    </row>
    <row r="82" spans="1:26" x14ac:dyDescent="0.2">
      <c r="A82" s="44"/>
      <c r="B82" s="44"/>
      <c r="C82" s="44"/>
      <c r="D82" s="44"/>
      <c r="E82" s="44"/>
      <c r="F82" s="44"/>
      <c r="G82" s="44" t="s">
        <v>1748</v>
      </c>
      <c r="H82" s="44"/>
      <c r="I82" s="44"/>
      <c r="J82" s="44"/>
      <c r="K82" s="44"/>
      <c r="L82" s="44"/>
      <c r="M82" s="44"/>
      <c r="N82" s="44"/>
      <c r="O82" s="44"/>
      <c r="P82" s="44"/>
      <c r="Q82" s="44"/>
      <c r="R82" s="44"/>
      <c r="S82" s="44"/>
      <c r="T82" s="44"/>
      <c r="U82" s="44"/>
      <c r="V82" s="44"/>
      <c r="W82" s="44"/>
      <c r="X82" s="44"/>
      <c r="Y82" s="44"/>
      <c r="Z82" s="44"/>
    </row>
    <row r="83" spans="1:26" x14ac:dyDescent="0.2">
      <c r="A83" s="44"/>
      <c r="B83" s="44"/>
      <c r="C83" s="44"/>
      <c r="D83" s="44"/>
      <c r="E83" s="44"/>
      <c r="F83" s="44"/>
      <c r="G83" s="44" t="s">
        <v>53</v>
      </c>
      <c r="H83" s="44"/>
      <c r="I83" s="44"/>
      <c r="J83" s="44"/>
      <c r="K83" s="44"/>
      <c r="L83" s="44"/>
      <c r="M83" s="44"/>
      <c r="N83" s="44"/>
      <c r="O83" s="44"/>
      <c r="P83" s="44"/>
      <c r="Q83" s="44"/>
      <c r="R83" s="44"/>
      <c r="S83" s="44"/>
      <c r="T83" s="44"/>
      <c r="U83" s="44"/>
      <c r="V83" s="44"/>
      <c r="W83" s="44"/>
      <c r="X83" s="44"/>
      <c r="Y83" s="44"/>
      <c r="Z83" s="44"/>
    </row>
    <row r="84" spans="1:26" x14ac:dyDescent="0.2">
      <c r="A84" s="44"/>
      <c r="B84" s="44"/>
      <c r="C84" s="44"/>
      <c r="D84" s="44"/>
      <c r="E84" s="44"/>
      <c r="F84" s="44"/>
      <c r="G84" s="44" t="s">
        <v>627</v>
      </c>
      <c r="H84" s="44"/>
      <c r="I84" s="44"/>
      <c r="J84" s="44"/>
      <c r="K84" s="44"/>
      <c r="L84" s="44"/>
      <c r="M84" s="44"/>
      <c r="N84" s="44"/>
      <c r="O84" s="44"/>
      <c r="P84" s="44"/>
      <c r="Q84" s="44"/>
      <c r="R84" s="44"/>
      <c r="S84" s="44"/>
      <c r="T84" s="44"/>
      <c r="U84" s="44"/>
      <c r="V84" s="44"/>
      <c r="W84" s="44"/>
      <c r="X84" s="44"/>
      <c r="Y84" s="44"/>
      <c r="Z84" s="44"/>
    </row>
    <row r="85" spans="1:26" x14ac:dyDescent="0.2">
      <c r="A85" s="44"/>
      <c r="B85" s="44"/>
      <c r="C85" s="44"/>
      <c r="D85" s="44"/>
      <c r="E85" s="44"/>
      <c r="F85" s="44"/>
      <c r="G85" s="44" t="s">
        <v>1749</v>
      </c>
      <c r="H85" s="44"/>
      <c r="I85" s="44"/>
      <c r="J85" s="44"/>
      <c r="K85" s="44"/>
      <c r="L85" s="44"/>
      <c r="M85" s="44"/>
      <c r="N85" s="44"/>
      <c r="O85" s="44"/>
      <c r="P85" s="44"/>
      <c r="Q85" s="44"/>
      <c r="R85" s="44"/>
      <c r="S85" s="44"/>
      <c r="T85" s="44"/>
      <c r="U85" s="44"/>
      <c r="V85" s="44"/>
      <c r="W85" s="44"/>
      <c r="X85" s="44"/>
      <c r="Y85" s="44"/>
      <c r="Z85" s="44"/>
    </row>
    <row r="86" spans="1:26" x14ac:dyDescent="0.2">
      <c r="A86" s="44"/>
      <c r="B86" s="44"/>
      <c r="C86" s="44"/>
      <c r="D86" s="44"/>
      <c r="E86" s="44"/>
      <c r="F86" s="44"/>
      <c r="G86" s="44" t="s">
        <v>58</v>
      </c>
      <c r="H86" s="44"/>
      <c r="I86" s="44"/>
      <c r="J86" s="44"/>
      <c r="K86" s="44"/>
      <c r="L86" s="44"/>
      <c r="M86" s="44"/>
      <c r="N86" s="44"/>
      <c r="O86" s="44"/>
      <c r="P86" s="44"/>
      <c r="Q86" s="44"/>
      <c r="R86" s="44"/>
      <c r="S86" s="44"/>
      <c r="T86" s="44"/>
      <c r="U86" s="44"/>
      <c r="V86" s="44"/>
      <c r="W86" s="44"/>
      <c r="X86" s="44"/>
      <c r="Y86" s="44"/>
      <c r="Z86" s="44"/>
    </row>
    <row r="87" spans="1:26" x14ac:dyDescent="0.2">
      <c r="A87" s="44"/>
      <c r="B87" s="44"/>
      <c r="C87" s="44"/>
      <c r="D87" s="44"/>
      <c r="E87" s="44"/>
      <c r="F87" s="44"/>
      <c r="G87" s="44" t="s">
        <v>629</v>
      </c>
      <c r="H87" s="44"/>
      <c r="I87" s="44"/>
      <c r="J87" s="44"/>
      <c r="K87" s="44"/>
      <c r="L87" s="44"/>
      <c r="M87" s="44"/>
      <c r="N87" s="44"/>
      <c r="O87" s="44"/>
      <c r="P87" s="44"/>
      <c r="Q87" s="44"/>
      <c r="R87" s="44"/>
      <c r="S87" s="44"/>
      <c r="T87" s="44"/>
      <c r="U87" s="44"/>
      <c r="V87" s="44"/>
      <c r="W87" s="44"/>
      <c r="X87" s="44"/>
      <c r="Y87" s="44"/>
      <c r="Z87" s="44"/>
    </row>
    <row r="88" spans="1:26" x14ac:dyDescent="0.2">
      <c r="G88" s="66" t="s">
        <v>427</v>
      </c>
    </row>
  </sheetData>
  <sheetProtection algorithmName="SHA-512" hashValue="jeiFG8UYeB2ATnoU/z4V8VzrKPLxcAbrkYcQr7Yngm5zYs++wEtEiWbEWnwSyedCwDGjfpDkLOWG1QmahzOxRg==" saltValue="Wafosr13ZZ3uNTkhAqeilg==" spinCount="100000" sheet="1" objects="1" scenarios="1" selectLockedCells="1"/>
  <sortState ref="G5:G89">
    <sortCondition ref="G5"/>
  </sortState>
  <mergeCells count="88">
    <mergeCell ref="B6:D6"/>
    <mergeCell ref="B1:D1"/>
    <mergeCell ref="B2:E2"/>
    <mergeCell ref="B3:E3"/>
    <mergeCell ref="B4:E4"/>
    <mergeCell ref="B5:D5"/>
    <mergeCell ref="B19:B20"/>
    <mergeCell ref="C19:C20"/>
    <mergeCell ref="D19:E19"/>
    <mergeCell ref="D20:E20"/>
    <mergeCell ref="B7:D7"/>
    <mergeCell ref="B8:D8"/>
    <mergeCell ref="B9:D9"/>
    <mergeCell ref="B10:D10"/>
    <mergeCell ref="B11:D11"/>
    <mergeCell ref="B12:D13"/>
    <mergeCell ref="B14:E14"/>
    <mergeCell ref="C15:E15"/>
    <mergeCell ref="D16:E16"/>
    <mergeCell ref="D17:E17"/>
    <mergeCell ref="D18:E18"/>
    <mergeCell ref="C38:E38"/>
    <mergeCell ref="D39:E39"/>
    <mergeCell ref="D32:E32"/>
    <mergeCell ref="C21:E21"/>
    <mergeCell ref="D22:E22"/>
    <mergeCell ref="D23:E23"/>
    <mergeCell ref="D24:E24"/>
    <mergeCell ref="D25:E25"/>
    <mergeCell ref="D26:E26"/>
    <mergeCell ref="D27:E27"/>
    <mergeCell ref="C28:E28"/>
    <mergeCell ref="D29:E29"/>
    <mergeCell ref="D30:E30"/>
    <mergeCell ref="D31:E31"/>
    <mergeCell ref="C33:E33"/>
    <mergeCell ref="D34:E34"/>
    <mergeCell ref="D35:E35"/>
    <mergeCell ref="D36:E36"/>
    <mergeCell ref="D37:E37"/>
    <mergeCell ref="B40:B41"/>
    <mergeCell ref="C40:C41"/>
    <mergeCell ref="D40:E40"/>
    <mergeCell ref="D41:E41"/>
    <mergeCell ref="D51:E51"/>
    <mergeCell ref="D43:E43"/>
    <mergeCell ref="B44:B45"/>
    <mergeCell ref="C44:C45"/>
    <mergeCell ref="D44:E44"/>
    <mergeCell ref="D45:E45"/>
    <mergeCell ref="C46:E46"/>
    <mergeCell ref="D47:E47"/>
    <mergeCell ref="D48:E48"/>
    <mergeCell ref="D49:E49"/>
    <mergeCell ref="D50:E50"/>
    <mergeCell ref="D42:E42"/>
    <mergeCell ref="D59:E59"/>
    <mergeCell ref="B52:B53"/>
    <mergeCell ref="C52:C53"/>
    <mergeCell ref="D52:E52"/>
    <mergeCell ref="D53:E53"/>
    <mergeCell ref="C54:E54"/>
    <mergeCell ref="D55:E55"/>
    <mergeCell ref="B56:B57"/>
    <mergeCell ref="C56:C57"/>
    <mergeCell ref="D56:E56"/>
    <mergeCell ref="D57:E57"/>
    <mergeCell ref="D58:E58"/>
    <mergeCell ref="D69:E69"/>
    <mergeCell ref="C60:E60"/>
    <mergeCell ref="D61:E61"/>
    <mergeCell ref="B62:B63"/>
    <mergeCell ref="C62:C63"/>
    <mergeCell ref="D62:E62"/>
    <mergeCell ref="D63:E63"/>
    <mergeCell ref="D64:E64"/>
    <mergeCell ref="D65:E65"/>
    <mergeCell ref="C66:E66"/>
    <mergeCell ref="D67:E67"/>
    <mergeCell ref="D68:E68"/>
    <mergeCell ref="B76:E76"/>
    <mergeCell ref="B78:E78"/>
    <mergeCell ref="C70:E70"/>
    <mergeCell ref="D71:E71"/>
    <mergeCell ref="D72:E72"/>
    <mergeCell ref="D73:E73"/>
    <mergeCell ref="D74:E74"/>
    <mergeCell ref="C75:E75"/>
  </mergeCells>
  <conditionalFormatting sqref="B28:C28">
    <cfRule type="expression" dxfId="46" priority="18" stopIfTrue="1">
      <formula>IF(COUNTA($C29:$C32)=0,1-1,IF(COUNTA($C29:$C32)=1,1+0,1+1))=1</formula>
    </cfRule>
  </conditionalFormatting>
  <conditionalFormatting sqref="B33:C33">
    <cfRule type="expression" dxfId="45" priority="17" stopIfTrue="1">
      <formula>IF(COUNTA($C34:$C37)=0,1-1,IF(COUNTA($C34:$C37)=1,1+0,1+1))=1</formula>
    </cfRule>
  </conditionalFormatting>
  <conditionalFormatting sqref="B38:C38 B46:C46">
    <cfRule type="expression" dxfId="44" priority="16" stopIfTrue="1">
      <formula>IF(COUNTA($C39:$C45)=0,1-1,IF(COUNTA($C39:$C45)=1,1+0,1+1))=1</formula>
    </cfRule>
  </conditionalFormatting>
  <conditionalFormatting sqref="B5">
    <cfRule type="expression" dxfId="43" priority="15" stopIfTrue="1">
      <formula>IF(ISERROR(MATCH(E5,Анкета_Субъекты_РФ,0)),0,1)=1</formula>
    </cfRule>
  </conditionalFormatting>
  <conditionalFormatting sqref="B15:C15">
    <cfRule type="expression" dxfId="42" priority="14" stopIfTrue="1">
      <formula>IF(COUNTA($C16:$C20)=0,1-1,IF(COUNTA($C16:$C20)=1,1+0,1+1))=1</formula>
    </cfRule>
  </conditionalFormatting>
  <conditionalFormatting sqref="B21:C21">
    <cfRule type="expression" dxfId="41" priority="13" stopIfTrue="1">
      <formula>IF(COUNTA($C22:$C27)=0,1-1,IF(COUNTA($C22:$C27)=1,1+0,1+1))=1</formula>
    </cfRule>
  </conditionalFormatting>
  <conditionalFormatting sqref="B54:C54">
    <cfRule type="expression" dxfId="40" priority="20" stopIfTrue="1">
      <formula>IF(COUNTA($C55:$C59)=0,1-1,IF(COUNTA($C55:$C59)=1,1+0,1+1))=1</formula>
    </cfRule>
  </conditionalFormatting>
  <conditionalFormatting sqref="B60:C60">
    <cfRule type="expression" dxfId="39" priority="21" stopIfTrue="1">
      <formula>IF(COUNTA($C61:$C65)=0,1-1,IF(COUNTA($C61:$C65)=1,1+0,1+1))=1</formula>
    </cfRule>
  </conditionalFormatting>
  <conditionalFormatting sqref="B70:C70 B66:C66">
    <cfRule type="expression" dxfId="38" priority="22" stopIfTrue="1">
      <formula>IF(COUNTA($C67:$C69)=0,1-1,IF(COUNTA($C67:$C69)=1,1+0,1+1))=1</formula>
    </cfRule>
  </conditionalFormatting>
  <conditionalFormatting sqref="B75:C75">
    <cfRule type="expression" dxfId="37" priority="23" stopIfTrue="1">
      <formula>IF(LEN($B76)&lt;5,0,1)=1</formula>
    </cfRule>
  </conditionalFormatting>
  <conditionalFormatting sqref="B6:D6">
    <cfRule type="expression" dxfId="36" priority="12" stopIfTrue="1">
      <formula>IF(LEN($E6)&lt;2,0,1)=1</formula>
    </cfRule>
  </conditionalFormatting>
  <conditionalFormatting sqref="B7:D7">
    <cfRule type="expression" dxfId="35" priority="11" stopIfTrue="1">
      <formula>IF(LEN($E7)&lt;1,0,1)=1</formula>
    </cfRule>
  </conditionalFormatting>
  <conditionalFormatting sqref="B8:D8">
    <cfRule type="expression" dxfId="34" priority="10" stopIfTrue="1">
      <formula>IF(LEN(E8)&lt;5,0,IF(ISERROR(SEARCH("@",E8)),0,1))=1</formula>
    </cfRule>
  </conditionalFormatting>
  <conditionalFormatting sqref="B9:D9">
    <cfRule type="expression" dxfId="33" priority="9" stopIfTrue="1">
      <formula>IF(LEN($E9)&lt;5,0,1)=1</formula>
    </cfRule>
  </conditionalFormatting>
  <conditionalFormatting sqref="B10:D10">
    <cfRule type="expression" dxfId="32" priority="8" stopIfTrue="1">
      <formula>IF(ISERROR(MATCH(E10,Анкета_Виды_лиц,0)),0,1)=1</formula>
    </cfRule>
  </conditionalFormatting>
  <conditionalFormatting sqref="E12:E13">
    <cfRule type="expression" dxfId="31" priority="2" stopIfTrue="1">
      <formula>IF(OR(E10="частное лицо",E10="орган власти субъекта РФ",E10="орган местного самоуправления"),1,0)=1</formula>
    </cfRule>
  </conditionalFormatting>
  <conditionalFormatting sqref="B11:D11">
    <cfRule type="expression" dxfId="30" priority="3" stopIfTrue="1">
      <formula>IF(E10="частное лицо",1,0)=1</formula>
    </cfRule>
    <cfRule type="expression" dxfId="29" priority="6" stopIfTrue="1">
      <formula>IF(LEN($E11)&lt;3,0,1)=1</formula>
    </cfRule>
  </conditionalFormatting>
  <conditionalFormatting sqref="B12:D13">
    <cfRule type="expression" dxfId="28" priority="4" stopIfTrue="1">
      <formula>IF(OR(E10="частное лицо",E10="орган власти субъекта РФ",E10="орган местного самоуправления"),1,0)=1</formula>
    </cfRule>
    <cfRule type="expression" dxfId="27" priority="5" stopIfTrue="1">
      <formula>IF(OR(ISBLANK(E10),ISBLANK(E11)),0,IF(ISERROR(MATCH(E12,Анкета_Виды_деятельности,0)),0,IF(E12&lt;&gt;"иная деятельность",1,IF(LEN(E13)&lt;3,0,1)))=1)</formula>
    </cfRule>
  </conditionalFormatting>
  <conditionalFormatting sqref="E13">
    <cfRule type="expression" dxfId="26" priority="7" stopIfTrue="1">
      <formula>IF(E12&lt;&gt;"иная деятельность",1,0)=1</formula>
    </cfRule>
  </conditionalFormatting>
  <conditionalFormatting sqref="E11">
    <cfRule type="expression" dxfId="25" priority="1">
      <formula>IF(E10="частное лицо",1,0)=1</formula>
    </cfRule>
  </conditionalFormatting>
  <dataValidations count="5">
    <dataValidation type="list" allowBlank="1" sqref="E12">
      <formula1>Анкета_Виды_деятельности</formula1>
    </dataValidation>
    <dataValidation type="list" allowBlank="1" sqref="JA12 WVM983051 WLQ983051 WBU983051 VRY983051 VIC983051 UYG983051 UOK983051 UEO983051 TUS983051 TKW983051 TBA983051 SRE983051 SHI983051 RXM983051 RNQ983051 RDU983051 QTY983051 QKC983051 QAG983051 PQK983051 PGO983051 OWS983051 OMW983051 ODA983051 NTE983051 NJI983051 MZM983051 MPQ983051 MFU983051 LVY983051 LMC983051 LCG983051 KSK983051 KIO983051 JYS983051 JOW983051 JFA983051 IVE983051 ILI983051 IBM983051 HRQ983051 HHU983051 GXY983051 GOC983051 GEG983051 FUK983051 FKO983051 FAS983051 EQW983051 EHA983051 DXE983051 DNI983051 DDM983051 CTQ983051 CJU983051 BZY983051 BQC983051 BGG983051 AWK983051 AMO983051 ACS983051 SW983051 JA983051 E983051 WVM917515 WLQ917515 WBU917515 VRY917515 VIC917515 UYG917515 UOK917515 UEO917515 TUS917515 TKW917515 TBA917515 SRE917515 SHI917515 RXM917515 RNQ917515 RDU917515 QTY917515 QKC917515 QAG917515 PQK917515 PGO917515 OWS917515 OMW917515 ODA917515 NTE917515 NJI917515 MZM917515 MPQ917515 MFU917515 LVY917515 LMC917515 LCG917515 KSK917515 KIO917515 JYS917515 JOW917515 JFA917515 IVE917515 ILI917515 IBM917515 HRQ917515 HHU917515 GXY917515 GOC917515 GEG917515 FUK917515 FKO917515 FAS917515 EQW917515 EHA917515 DXE917515 DNI917515 DDM917515 CTQ917515 CJU917515 BZY917515 BQC917515 BGG917515 AWK917515 AMO917515 ACS917515 SW917515 JA917515 E917515 WVM851979 WLQ851979 WBU851979 VRY851979 VIC851979 UYG851979 UOK851979 UEO851979 TUS851979 TKW851979 TBA851979 SRE851979 SHI851979 RXM851979 RNQ851979 RDU851979 QTY851979 QKC851979 QAG851979 PQK851979 PGO851979 OWS851979 OMW851979 ODA851979 NTE851979 NJI851979 MZM851979 MPQ851979 MFU851979 LVY851979 LMC851979 LCG851979 KSK851979 KIO851979 JYS851979 JOW851979 JFA851979 IVE851979 ILI851979 IBM851979 HRQ851979 HHU851979 GXY851979 GOC851979 GEG851979 FUK851979 FKO851979 FAS851979 EQW851979 EHA851979 DXE851979 DNI851979 DDM851979 CTQ851979 CJU851979 BZY851979 BQC851979 BGG851979 AWK851979 AMO851979 ACS851979 SW851979 JA851979 E851979 WVM786443 WLQ786443 WBU786443 VRY786443 VIC786443 UYG786443 UOK786443 UEO786443 TUS786443 TKW786443 TBA786443 SRE786443 SHI786443 RXM786443 RNQ786443 RDU786443 QTY786443 QKC786443 QAG786443 PQK786443 PGO786443 OWS786443 OMW786443 ODA786443 NTE786443 NJI786443 MZM786443 MPQ786443 MFU786443 LVY786443 LMC786443 LCG786443 KSK786443 KIO786443 JYS786443 JOW786443 JFA786443 IVE786443 ILI786443 IBM786443 HRQ786443 HHU786443 GXY786443 GOC786443 GEG786443 FUK786443 FKO786443 FAS786443 EQW786443 EHA786443 DXE786443 DNI786443 DDM786443 CTQ786443 CJU786443 BZY786443 BQC786443 BGG786443 AWK786443 AMO786443 ACS786443 SW786443 JA786443 E786443 WVM720907 WLQ720907 WBU720907 VRY720907 VIC720907 UYG720907 UOK720907 UEO720907 TUS720907 TKW720907 TBA720907 SRE720907 SHI720907 RXM720907 RNQ720907 RDU720907 QTY720907 QKC720907 QAG720907 PQK720907 PGO720907 OWS720907 OMW720907 ODA720907 NTE720907 NJI720907 MZM720907 MPQ720907 MFU720907 LVY720907 LMC720907 LCG720907 KSK720907 KIO720907 JYS720907 JOW720907 JFA720907 IVE720907 ILI720907 IBM720907 HRQ720907 HHU720907 GXY720907 GOC720907 GEG720907 FUK720907 FKO720907 FAS720907 EQW720907 EHA720907 DXE720907 DNI720907 DDM720907 CTQ720907 CJU720907 BZY720907 BQC720907 BGG720907 AWK720907 AMO720907 ACS720907 SW720907 JA720907 E720907 WVM655371 WLQ655371 WBU655371 VRY655371 VIC655371 UYG655371 UOK655371 UEO655371 TUS655371 TKW655371 TBA655371 SRE655371 SHI655371 RXM655371 RNQ655371 RDU655371 QTY655371 QKC655371 QAG655371 PQK655371 PGO655371 OWS655371 OMW655371 ODA655371 NTE655371 NJI655371 MZM655371 MPQ655371 MFU655371 LVY655371 LMC655371 LCG655371 KSK655371 KIO655371 JYS655371 JOW655371 JFA655371 IVE655371 ILI655371 IBM655371 HRQ655371 HHU655371 GXY655371 GOC655371 GEG655371 FUK655371 FKO655371 FAS655371 EQW655371 EHA655371 DXE655371 DNI655371 DDM655371 CTQ655371 CJU655371 BZY655371 BQC655371 BGG655371 AWK655371 AMO655371 ACS655371 SW655371 JA655371 E655371 WVM589835 WLQ589835 WBU589835 VRY589835 VIC589835 UYG589835 UOK589835 UEO589835 TUS589835 TKW589835 TBA589835 SRE589835 SHI589835 RXM589835 RNQ589835 RDU589835 QTY589835 QKC589835 QAG589835 PQK589835 PGO589835 OWS589835 OMW589835 ODA589835 NTE589835 NJI589835 MZM589835 MPQ589835 MFU589835 LVY589835 LMC589835 LCG589835 KSK589835 KIO589835 JYS589835 JOW589835 JFA589835 IVE589835 ILI589835 IBM589835 HRQ589835 HHU589835 GXY589835 GOC589835 GEG589835 FUK589835 FKO589835 FAS589835 EQW589835 EHA589835 DXE589835 DNI589835 DDM589835 CTQ589835 CJU589835 BZY589835 BQC589835 BGG589835 AWK589835 AMO589835 ACS589835 SW589835 JA589835 E589835 WVM524299 WLQ524299 WBU524299 VRY524299 VIC524299 UYG524299 UOK524299 UEO524299 TUS524299 TKW524299 TBA524299 SRE524299 SHI524299 RXM524299 RNQ524299 RDU524299 QTY524299 QKC524299 QAG524299 PQK524299 PGO524299 OWS524299 OMW524299 ODA524299 NTE524299 NJI524299 MZM524299 MPQ524299 MFU524299 LVY524299 LMC524299 LCG524299 KSK524299 KIO524299 JYS524299 JOW524299 JFA524299 IVE524299 ILI524299 IBM524299 HRQ524299 HHU524299 GXY524299 GOC524299 GEG524299 FUK524299 FKO524299 FAS524299 EQW524299 EHA524299 DXE524299 DNI524299 DDM524299 CTQ524299 CJU524299 BZY524299 BQC524299 BGG524299 AWK524299 AMO524299 ACS524299 SW524299 JA524299 E524299 WVM458763 WLQ458763 WBU458763 VRY458763 VIC458763 UYG458763 UOK458763 UEO458763 TUS458763 TKW458763 TBA458763 SRE458763 SHI458763 RXM458763 RNQ458763 RDU458763 QTY458763 QKC458763 QAG458763 PQK458763 PGO458763 OWS458763 OMW458763 ODA458763 NTE458763 NJI458763 MZM458763 MPQ458763 MFU458763 LVY458763 LMC458763 LCG458763 KSK458763 KIO458763 JYS458763 JOW458763 JFA458763 IVE458763 ILI458763 IBM458763 HRQ458763 HHU458763 GXY458763 GOC458763 GEG458763 FUK458763 FKO458763 FAS458763 EQW458763 EHA458763 DXE458763 DNI458763 DDM458763 CTQ458763 CJU458763 BZY458763 BQC458763 BGG458763 AWK458763 AMO458763 ACS458763 SW458763 JA458763 E458763 WVM393227 WLQ393227 WBU393227 VRY393227 VIC393227 UYG393227 UOK393227 UEO393227 TUS393227 TKW393227 TBA393227 SRE393227 SHI393227 RXM393227 RNQ393227 RDU393227 QTY393227 QKC393227 QAG393227 PQK393227 PGO393227 OWS393227 OMW393227 ODA393227 NTE393227 NJI393227 MZM393227 MPQ393227 MFU393227 LVY393227 LMC393227 LCG393227 KSK393227 KIO393227 JYS393227 JOW393227 JFA393227 IVE393227 ILI393227 IBM393227 HRQ393227 HHU393227 GXY393227 GOC393227 GEG393227 FUK393227 FKO393227 FAS393227 EQW393227 EHA393227 DXE393227 DNI393227 DDM393227 CTQ393227 CJU393227 BZY393227 BQC393227 BGG393227 AWK393227 AMO393227 ACS393227 SW393227 JA393227 E393227 WVM327691 WLQ327691 WBU327691 VRY327691 VIC327691 UYG327691 UOK327691 UEO327691 TUS327691 TKW327691 TBA327691 SRE327691 SHI327691 RXM327691 RNQ327691 RDU327691 QTY327691 QKC327691 QAG327691 PQK327691 PGO327691 OWS327691 OMW327691 ODA327691 NTE327691 NJI327691 MZM327691 MPQ327691 MFU327691 LVY327691 LMC327691 LCG327691 KSK327691 KIO327691 JYS327691 JOW327691 JFA327691 IVE327691 ILI327691 IBM327691 HRQ327691 HHU327691 GXY327691 GOC327691 GEG327691 FUK327691 FKO327691 FAS327691 EQW327691 EHA327691 DXE327691 DNI327691 DDM327691 CTQ327691 CJU327691 BZY327691 BQC327691 BGG327691 AWK327691 AMO327691 ACS327691 SW327691 JA327691 E327691 WVM262155 WLQ262155 WBU262155 VRY262155 VIC262155 UYG262155 UOK262155 UEO262155 TUS262155 TKW262155 TBA262155 SRE262155 SHI262155 RXM262155 RNQ262155 RDU262155 QTY262155 QKC262155 QAG262155 PQK262155 PGO262155 OWS262155 OMW262155 ODA262155 NTE262155 NJI262155 MZM262155 MPQ262155 MFU262155 LVY262155 LMC262155 LCG262155 KSK262155 KIO262155 JYS262155 JOW262155 JFA262155 IVE262155 ILI262155 IBM262155 HRQ262155 HHU262155 GXY262155 GOC262155 GEG262155 FUK262155 FKO262155 FAS262155 EQW262155 EHA262155 DXE262155 DNI262155 DDM262155 CTQ262155 CJU262155 BZY262155 BQC262155 BGG262155 AWK262155 AMO262155 ACS262155 SW262155 JA262155 E262155 WVM196619 WLQ196619 WBU196619 VRY196619 VIC196619 UYG196619 UOK196619 UEO196619 TUS196619 TKW196619 TBA196619 SRE196619 SHI196619 RXM196619 RNQ196619 RDU196619 QTY196619 QKC196619 QAG196619 PQK196619 PGO196619 OWS196619 OMW196619 ODA196619 NTE196619 NJI196619 MZM196619 MPQ196619 MFU196619 LVY196619 LMC196619 LCG196619 KSK196619 KIO196619 JYS196619 JOW196619 JFA196619 IVE196619 ILI196619 IBM196619 HRQ196619 HHU196619 GXY196619 GOC196619 GEG196619 FUK196619 FKO196619 FAS196619 EQW196619 EHA196619 DXE196619 DNI196619 DDM196619 CTQ196619 CJU196619 BZY196619 BQC196619 BGG196619 AWK196619 AMO196619 ACS196619 SW196619 JA196619 E196619 WVM131083 WLQ131083 WBU131083 VRY131083 VIC131083 UYG131083 UOK131083 UEO131083 TUS131083 TKW131083 TBA131083 SRE131083 SHI131083 RXM131083 RNQ131083 RDU131083 QTY131083 QKC131083 QAG131083 PQK131083 PGO131083 OWS131083 OMW131083 ODA131083 NTE131083 NJI131083 MZM131083 MPQ131083 MFU131083 LVY131083 LMC131083 LCG131083 KSK131083 KIO131083 JYS131083 JOW131083 JFA131083 IVE131083 ILI131083 IBM131083 HRQ131083 HHU131083 GXY131083 GOC131083 GEG131083 FUK131083 FKO131083 FAS131083 EQW131083 EHA131083 DXE131083 DNI131083 DDM131083 CTQ131083 CJU131083 BZY131083 BQC131083 BGG131083 AWK131083 AMO131083 ACS131083 SW131083 JA131083 E131083 WVM65547 WLQ65547 WBU65547 VRY65547 VIC65547 UYG65547 UOK65547 UEO65547 TUS65547 TKW65547 TBA65547 SRE65547 SHI65547 RXM65547 RNQ65547 RDU65547 QTY65547 QKC65547 QAG65547 PQK65547 PGO65547 OWS65547 OMW65547 ODA65547 NTE65547 NJI65547 MZM65547 MPQ65547 MFU65547 LVY65547 LMC65547 LCG65547 KSK65547 KIO65547 JYS65547 JOW65547 JFA65547 IVE65547 ILI65547 IBM65547 HRQ65547 HHU65547 GXY65547 GOC65547 GEG65547 FUK65547 FKO65547 FAS65547 EQW65547 EHA65547 DXE65547 DNI65547 DDM65547 CTQ65547 CJU65547 BZY65547 BQC65547 BGG65547 AWK65547 AMO65547 ACS65547 SW65547 JA65547 E65547 WVM12 WLQ12 WBU12 VRY12 VIC12 UYG12 UOK12 UEO12 TUS12 TKW12 TBA12 SRE12 SHI12 RXM12 RNQ12 RDU12 QTY12 QKC12 QAG12 PQK12 PGO12 OWS12 OMW12 ODA12 NTE12 NJI12 MZM12 MPQ12 MFU12 LVY12 LMC12 LCG12 KSK12 KIO12 JYS12 JOW12 JFA12 IVE12 ILI12 IBM12 HRQ12 HHU12 GXY12 GOC12 GEG12 FUK12 FKO12 FAS12 EQW12 EHA12 DXE12 DNI12 DDM12 CTQ12 CJU12 BZY12 BQC12 BGG12 AWK12 AMO12 ACS12 SW12">
      <formula1>$H$5:$H$10</formula1>
    </dataValidation>
    <dataValidation type="list" allowBlank="1" sqref="E65540 WVM983044 WLQ983044 WBU983044 VRY983044 VIC983044 UYG983044 UOK983044 UEO983044 TUS983044 TKW983044 TBA983044 SRE983044 SHI983044 RXM983044 RNQ983044 RDU983044 QTY983044 QKC983044 QAG983044 PQK983044 PGO983044 OWS983044 OMW983044 ODA983044 NTE983044 NJI983044 MZM983044 MPQ983044 MFU983044 LVY983044 LMC983044 LCG983044 KSK983044 KIO983044 JYS983044 JOW983044 JFA983044 IVE983044 ILI983044 IBM983044 HRQ983044 HHU983044 GXY983044 GOC983044 GEG983044 FUK983044 FKO983044 FAS983044 EQW983044 EHA983044 DXE983044 DNI983044 DDM983044 CTQ983044 CJU983044 BZY983044 BQC983044 BGG983044 AWK983044 AMO983044 ACS983044 SW983044 JA983044 E983044 WVM917508 WLQ917508 WBU917508 VRY917508 VIC917508 UYG917508 UOK917508 UEO917508 TUS917508 TKW917508 TBA917508 SRE917508 SHI917508 RXM917508 RNQ917508 RDU917508 QTY917508 QKC917508 QAG917508 PQK917508 PGO917508 OWS917508 OMW917508 ODA917508 NTE917508 NJI917508 MZM917508 MPQ917508 MFU917508 LVY917508 LMC917508 LCG917508 KSK917508 KIO917508 JYS917508 JOW917508 JFA917508 IVE917508 ILI917508 IBM917508 HRQ917508 HHU917508 GXY917508 GOC917508 GEG917508 FUK917508 FKO917508 FAS917508 EQW917508 EHA917508 DXE917508 DNI917508 DDM917508 CTQ917508 CJU917508 BZY917508 BQC917508 BGG917508 AWK917508 AMO917508 ACS917508 SW917508 JA917508 E917508 WVM851972 WLQ851972 WBU851972 VRY851972 VIC851972 UYG851972 UOK851972 UEO851972 TUS851972 TKW851972 TBA851972 SRE851972 SHI851972 RXM851972 RNQ851972 RDU851972 QTY851972 QKC851972 QAG851972 PQK851972 PGO851972 OWS851972 OMW851972 ODA851972 NTE851972 NJI851972 MZM851972 MPQ851972 MFU851972 LVY851972 LMC851972 LCG851972 KSK851972 KIO851972 JYS851972 JOW851972 JFA851972 IVE851972 ILI851972 IBM851972 HRQ851972 HHU851972 GXY851972 GOC851972 GEG851972 FUK851972 FKO851972 FAS851972 EQW851972 EHA851972 DXE851972 DNI851972 DDM851972 CTQ851972 CJU851972 BZY851972 BQC851972 BGG851972 AWK851972 AMO851972 ACS851972 SW851972 JA851972 E851972 WVM786436 WLQ786436 WBU786436 VRY786436 VIC786436 UYG786436 UOK786436 UEO786436 TUS786436 TKW786436 TBA786436 SRE786436 SHI786436 RXM786436 RNQ786436 RDU786436 QTY786436 QKC786436 QAG786436 PQK786436 PGO786436 OWS786436 OMW786436 ODA786436 NTE786436 NJI786436 MZM786436 MPQ786436 MFU786436 LVY786436 LMC786436 LCG786436 KSK786436 KIO786436 JYS786436 JOW786436 JFA786436 IVE786436 ILI786436 IBM786436 HRQ786436 HHU786436 GXY786436 GOC786436 GEG786436 FUK786436 FKO786436 FAS786436 EQW786436 EHA786436 DXE786436 DNI786436 DDM786436 CTQ786436 CJU786436 BZY786436 BQC786436 BGG786436 AWK786436 AMO786436 ACS786436 SW786436 JA786436 E786436 WVM720900 WLQ720900 WBU720900 VRY720900 VIC720900 UYG720900 UOK720900 UEO720900 TUS720900 TKW720900 TBA720900 SRE720900 SHI720900 RXM720900 RNQ720900 RDU720900 QTY720900 QKC720900 QAG720900 PQK720900 PGO720900 OWS720900 OMW720900 ODA720900 NTE720900 NJI720900 MZM720900 MPQ720900 MFU720900 LVY720900 LMC720900 LCG720900 KSK720900 KIO720900 JYS720900 JOW720900 JFA720900 IVE720900 ILI720900 IBM720900 HRQ720900 HHU720900 GXY720900 GOC720900 GEG720900 FUK720900 FKO720900 FAS720900 EQW720900 EHA720900 DXE720900 DNI720900 DDM720900 CTQ720900 CJU720900 BZY720900 BQC720900 BGG720900 AWK720900 AMO720900 ACS720900 SW720900 JA720900 E720900 WVM655364 WLQ655364 WBU655364 VRY655364 VIC655364 UYG655364 UOK655364 UEO655364 TUS655364 TKW655364 TBA655364 SRE655364 SHI655364 RXM655364 RNQ655364 RDU655364 QTY655364 QKC655364 QAG655364 PQK655364 PGO655364 OWS655364 OMW655364 ODA655364 NTE655364 NJI655364 MZM655364 MPQ655364 MFU655364 LVY655364 LMC655364 LCG655364 KSK655364 KIO655364 JYS655364 JOW655364 JFA655364 IVE655364 ILI655364 IBM655364 HRQ655364 HHU655364 GXY655364 GOC655364 GEG655364 FUK655364 FKO655364 FAS655364 EQW655364 EHA655364 DXE655364 DNI655364 DDM655364 CTQ655364 CJU655364 BZY655364 BQC655364 BGG655364 AWK655364 AMO655364 ACS655364 SW655364 JA655364 E655364 WVM589828 WLQ589828 WBU589828 VRY589828 VIC589828 UYG589828 UOK589828 UEO589828 TUS589828 TKW589828 TBA589828 SRE589828 SHI589828 RXM589828 RNQ589828 RDU589828 QTY589828 QKC589828 QAG589828 PQK589828 PGO589828 OWS589828 OMW589828 ODA589828 NTE589828 NJI589828 MZM589828 MPQ589828 MFU589828 LVY589828 LMC589828 LCG589828 KSK589828 KIO589828 JYS589828 JOW589828 JFA589828 IVE589828 ILI589828 IBM589828 HRQ589828 HHU589828 GXY589828 GOC589828 GEG589828 FUK589828 FKO589828 FAS589828 EQW589828 EHA589828 DXE589828 DNI589828 DDM589828 CTQ589828 CJU589828 BZY589828 BQC589828 BGG589828 AWK589828 AMO589828 ACS589828 SW589828 JA589828 E589828 WVM524292 WLQ524292 WBU524292 VRY524292 VIC524292 UYG524292 UOK524292 UEO524292 TUS524292 TKW524292 TBA524292 SRE524292 SHI524292 RXM524292 RNQ524292 RDU524292 QTY524292 QKC524292 QAG524292 PQK524292 PGO524292 OWS524292 OMW524292 ODA524292 NTE524292 NJI524292 MZM524292 MPQ524292 MFU524292 LVY524292 LMC524292 LCG524292 KSK524292 KIO524292 JYS524292 JOW524292 JFA524292 IVE524292 ILI524292 IBM524292 HRQ524292 HHU524292 GXY524292 GOC524292 GEG524292 FUK524292 FKO524292 FAS524292 EQW524292 EHA524292 DXE524292 DNI524292 DDM524292 CTQ524292 CJU524292 BZY524292 BQC524292 BGG524292 AWK524292 AMO524292 ACS524292 SW524292 JA524292 E524292 WVM458756 WLQ458756 WBU458756 VRY458756 VIC458756 UYG458756 UOK458756 UEO458756 TUS458756 TKW458756 TBA458756 SRE458756 SHI458756 RXM458756 RNQ458756 RDU458756 QTY458756 QKC458756 QAG458756 PQK458756 PGO458756 OWS458756 OMW458756 ODA458756 NTE458756 NJI458756 MZM458756 MPQ458756 MFU458756 LVY458756 LMC458756 LCG458756 KSK458756 KIO458756 JYS458756 JOW458756 JFA458756 IVE458756 ILI458756 IBM458756 HRQ458756 HHU458756 GXY458756 GOC458756 GEG458756 FUK458756 FKO458756 FAS458756 EQW458756 EHA458756 DXE458756 DNI458756 DDM458756 CTQ458756 CJU458756 BZY458756 BQC458756 BGG458756 AWK458756 AMO458756 ACS458756 SW458756 JA458756 E458756 WVM393220 WLQ393220 WBU393220 VRY393220 VIC393220 UYG393220 UOK393220 UEO393220 TUS393220 TKW393220 TBA393220 SRE393220 SHI393220 RXM393220 RNQ393220 RDU393220 QTY393220 QKC393220 QAG393220 PQK393220 PGO393220 OWS393220 OMW393220 ODA393220 NTE393220 NJI393220 MZM393220 MPQ393220 MFU393220 LVY393220 LMC393220 LCG393220 KSK393220 KIO393220 JYS393220 JOW393220 JFA393220 IVE393220 ILI393220 IBM393220 HRQ393220 HHU393220 GXY393220 GOC393220 GEG393220 FUK393220 FKO393220 FAS393220 EQW393220 EHA393220 DXE393220 DNI393220 DDM393220 CTQ393220 CJU393220 BZY393220 BQC393220 BGG393220 AWK393220 AMO393220 ACS393220 SW393220 JA393220 E393220 WVM327684 WLQ327684 WBU327684 VRY327684 VIC327684 UYG327684 UOK327684 UEO327684 TUS327684 TKW327684 TBA327684 SRE327684 SHI327684 RXM327684 RNQ327684 RDU327684 QTY327684 QKC327684 QAG327684 PQK327684 PGO327684 OWS327684 OMW327684 ODA327684 NTE327684 NJI327684 MZM327684 MPQ327684 MFU327684 LVY327684 LMC327684 LCG327684 KSK327684 KIO327684 JYS327684 JOW327684 JFA327684 IVE327684 ILI327684 IBM327684 HRQ327684 HHU327684 GXY327684 GOC327684 GEG327684 FUK327684 FKO327684 FAS327684 EQW327684 EHA327684 DXE327684 DNI327684 DDM327684 CTQ327684 CJU327684 BZY327684 BQC327684 BGG327684 AWK327684 AMO327684 ACS327684 SW327684 JA327684 E327684 WVM262148 WLQ262148 WBU262148 VRY262148 VIC262148 UYG262148 UOK262148 UEO262148 TUS262148 TKW262148 TBA262148 SRE262148 SHI262148 RXM262148 RNQ262148 RDU262148 QTY262148 QKC262148 QAG262148 PQK262148 PGO262148 OWS262148 OMW262148 ODA262148 NTE262148 NJI262148 MZM262148 MPQ262148 MFU262148 LVY262148 LMC262148 LCG262148 KSK262148 KIO262148 JYS262148 JOW262148 JFA262148 IVE262148 ILI262148 IBM262148 HRQ262148 HHU262148 GXY262148 GOC262148 GEG262148 FUK262148 FKO262148 FAS262148 EQW262148 EHA262148 DXE262148 DNI262148 DDM262148 CTQ262148 CJU262148 BZY262148 BQC262148 BGG262148 AWK262148 AMO262148 ACS262148 SW262148 JA262148 E262148 WVM196612 WLQ196612 WBU196612 VRY196612 VIC196612 UYG196612 UOK196612 UEO196612 TUS196612 TKW196612 TBA196612 SRE196612 SHI196612 RXM196612 RNQ196612 RDU196612 QTY196612 QKC196612 QAG196612 PQK196612 PGO196612 OWS196612 OMW196612 ODA196612 NTE196612 NJI196612 MZM196612 MPQ196612 MFU196612 LVY196612 LMC196612 LCG196612 KSK196612 KIO196612 JYS196612 JOW196612 JFA196612 IVE196612 ILI196612 IBM196612 HRQ196612 HHU196612 GXY196612 GOC196612 GEG196612 FUK196612 FKO196612 FAS196612 EQW196612 EHA196612 DXE196612 DNI196612 DDM196612 CTQ196612 CJU196612 BZY196612 BQC196612 BGG196612 AWK196612 AMO196612 ACS196612 SW196612 JA196612 E196612 WVM131076 WLQ131076 WBU131076 VRY131076 VIC131076 UYG131076 UOK131076 UEO131076 TUS131076 TKW131076 TBA131076 SRE131076 SHI131076 RXM131076 RNQ131076 RDU131076 QTY131076 QKC131076 QAG131076 PQK131076 PGO131076 OWS131076 OMW131076 ODA131076 NTE131076 NJI131076 MZM131076 MPQ131076 MFU131076 LVY131076 LMC131076 LCG131076 KSK131076 KIO131076 JYS131076 JOW131076 JFA131076 IVE131076 ILI131076 IBM131076 HRQ131076 HHU131076 GXY131076 GOC131076 GEG131076 FUK131076 FKO131076 FAS131076 EQW131076 EHA131076 DXE131076 DNI131076 DDM131076 CTQ131076 CJU131076 BZY131076 BQC131076 BGG131076 AWK131076 AMO131076 ACS131076 SW131076 JA131076 E131076 WVM65540 WLQ65540 WBU65540 VRY65540 VIC65540 UYG65540 UOK65540 UEO65540 TUS65540 TKW65540 TBA65540 SRE65540 SHI65540 RXM65540 RNQ65540 RDU65540 QTY65540 QKC65540 QAG65540 PQK65540 PGO65540 OWS65540 OMW65540 ODA65540 NTE65540 NJI65540 MZM65540 MPQ65540 MFU65540 LVY65540 LMC65540 LCG65540 KSK65540 KIO65540 JYS65540 JOW65540 JFA65540 IVE65540 ILI65540 IBM65540 HRQ65540 HHU65540 GXY65540 GOC65540 GEG65540 FUK65540 FKO65540 FAS65540 EQW65540 EHA65540 DXE65540 DNI65540 DDM65540 CTQ65540 CJU65540 BZY65540 BQC65540 BGG65540 AWK65540 AMO65540 ACS65540 SW65540 JA65540 WVM5 WLQ5 WBU5 VRY5 VIC5 UYG5 UOK5 UEO5 TUS5 TKW5 TBA5 SRE5 SHI5 RXM5 RNQ5 RDU5 QTY5 QKC5 QAG5 PQK5 PGO5 OWS5 OMW5 ODA5 NTE5 NJI5 MZM5 MPQ5 MFU5 LVY5 LMC5 LCG5 KSK5 KIO5 JYS5 JOW5 JFA5 IVE5 ILI5 IBM5 HRQ5 HHU5 GXY5 GOC5 GEG5 FUK5 FKO5 FAS5 EQW5 EHA5 DXE5 DNI5 DDM5 CTQ5 CJU5 BZY5 BQC5 BGG5 AWK5 AMO5 ACS5 SW5 JA5 E5">
      <formula1>$G$5:$G$88</formula1>
    </dataValidation>
    <dataValidation type="list" allowBlank="1" sqref="E10 JA10 SW10 ACS10 AMO10 AWK10 BGG10 BQC10 BZY10 CJU10 CTQ10 DDM10 DNI10 DXE10 EHA10 EQW10 FAS10 FKO10 FUK10 GEG10 GOC10 GXY10 HHU10 HRQ10 IBM10 ILI10 IVE10 JFA10 JOW10 JYS10 KIO10 KSK10 LCG10 LMC10 LVY10 MFU10 MPQ10 MZM10 NJI10 NTE10 ODA10 OMW10 OWS10 PGO10 PQK10 QAG10 QKC10 QTY10 RDU10 RNQ10 RXM10 SHI10 SRE10 TBA10 TKW10 TUS10 UEO10 UOK10 UYG10 VIC10 VRY10 WBU10 WLQ10 WVM10 E65545 JA65545 SW65545 ACS65545 AMO65545 AWK65545 BGG65545 BQC65545 BZY65545 CJU65545 CTQ65545 DDM65545 DNI65545 DXE65545 EHA65545 EQW65545 FAS65545 FKO65545 FUK65545 GEG65545 GOC65545 GXY65545 HHU65545 HRQ65545 IBM65545 ILI65545 IVE65545 JFA65545 JOW65545 JYS65545 KIO65545 KSK65545 LCG65545 LMC65545 LVY65545 MFU65545 MPQ65545 MZM65545 NJI65545 NTE65545 ODA65545 OMW65545 OWS65545 PGO65545 PQK65545 QAG65545 QKC65545 QTY65545 RDU65545 RNQ65545 RXM65545 SHI65545 SRE65545 TBA65545 TKW65545 TUS65545 UEO65545 UOK65545 UYG65545 VIC65545 VRY65545 WBU65545 WLQ65545 WVM65545 E131081 JA131081 SW131081 ACS131081 AMO131081 AWK131081 BGG131081 BQC131081 BZY131081 CJU131081 CTQ131081 DDM131081 DNI131081 DXE131081 EHA131081 EQW131081 FAS131081 FKO131081 FUK131081 GEG131081 GOC131081 GXY131081 HHU131081 HRQ131081 IBM131081 ILI131081 IVE131081 JFA131081 JOW131081 JYS131081 KIO131081 KSK131081 LCG131081 LMC131081 LVY131081 MFU131081 MPQ131081 MZM131081 NJI131081 NTE131081 ODA131081 OMW131081 OWS131081 PGO131081 PQK131081 QAG131081 QKC131081 QTY131081 RDU131081 RNQ131081 RXM131081 SHI131081 SRE131081 TBA131081 TKW131081 TUS131081 UEO131081 UOK131081 UYG131081 VIC131081 VRY131081 WBU131081 WLQ131081 WVM131081 E196617 JA196617 SW196617 ACS196617 AMO196617 AWK196617 BGG196617 BQC196617 BZY196617 CJU196617 CTQ196617 DDM196617 DNI196617 DXE196617 EHA196617 EQW196617 FAS196617 FKO196617 FUK196617 GEG196617 GOC196617 GXY196617 HHU196617 HRQ196617 IBM196617 ILI196617 IVE196617 JFA196617 JOW196617 JYS196617 KIO196617 KSK196617 LCG196617 LMC196617 LVY196617 MFU196617 MPQ196617 MZM196617 NJI196617 NTE196617 ODA196617 OMW196617 OWS196617 PGO196617 PQK196617 QAG196617 QKC196617 QTY196617 RDU196617 RNQ196617 RXM196617 SHI196617 SRE196617 TBA196617 TKW196617 TUS196617 UEO196617 UOK196617 UYG196617 VIC196617 VRY196617 WBU196617 WLQ196617 WVM196617 E262153 JA262153 SW262153 ACS262153 AMO262153 AWK262153 BGG262153 BQC262153 BZY262153 CJU262153 CTQ262153 DDM262153 DNI262153 DXE262153 EHA262153 EQW262153 FAS262153 FKO262153 FUK262153 GEG262153 GOC262153 GXY262153 HHU262153 HRQ262153 IBM262153 ILI262153 IVE262153 JFA262153 JOW262153 JYS262153 KIO262153 KSK262153 LCG262153 LMC262153 LVY262153 MFU262153 MPQ262153 MZM262153 NJI262153 NTE262153 ODA262153 OMW262153 OWS262153 PGO262153 PQK262153 QAG262153 QKC262153 QTY262153 RDU262153 RNQ262153 RXM262153 SHI262153 SRE262153 TBA262153 TKW262153 TUS262153 UEO262153 UOK262153 UYG262153 VIC262153 VRY262153 WBU262153 WLQ262153 WVM262153 E327689 JA327689 SW327689 ACS327689 AMO327689 AWK327689 BGG327689 BQC327689 BZY327689 CJU327689 CTQ327689 DDM327689 DNI327689 DXE327689 EHA327689 EQW327689 FAS327689 FKO327689 FUK327689 GEG327689 GOC327689 GXY327689 HHU327689 HRQ327689 IBM327689 ILI327689 IVE327689 JFA327689 JOW327689 JYS327689 KIO327689 KSK327689 LCG327689 LMC327689 LVY327689 MFU327689 MPQ327689 MZM327689 NJI327689 NTE327689 ODA327689 OMW327689 OWS327689 PGO327689 PQK327689 QAG327689 QKC327689 QTY327689 RDU327689 RNQ327689 RXM327689 SHI327689 SRE327689 TBA327689 TKW327689 TUS327689 UEO327689 UOK327689 UYG327689 VIC327689 VRY327689 WBU327689 WLQ327689 WVM327689 E393225 JA393225 SW393225 ACS393225 AMO393225 AWK393225 BGG393225 BQC393225 BZY393225 CJU393225 CTQ393225 DDM393225 DNI393225 DXE393225 EHA393225 EQW393225 FAS393225 FKO393225 FUK393225 GEG393225 GOC393225 GXY393225 HHU393225 HRQ393225 IBM393225 ILI393225 IVE393225 JFA393225 JOW393225 JYS393225 KIO393225 KSK393225 LCG393225 LMC393225 LVY393225 MFU393225 MPQ393225 MZM393225 NJI393225 NTE393225 ODA393225 OMW393225 OWS393225 PGO393225 PQK393225 QAG393225 QKC393225 QTY393225 RDU393225 RNQ393225 RXM393225 SHI393225 SRE393225 TBA393225 TKW393225 TUS393225 UEO393225 UOK393225 UYG393225 VIC393225 VRY393225 WBU393225 WLQ393225 WVM393225 E458761 JA458761 SW458761 ACS458761 AMO458761 AWK458761 BGG458761 BQC458761 BZY458761 CJU458761 CTQ458761 DDM458761 DNI458761 DXE458761 EHA458761 EQW458761 FAS458761 FKO458761 FUK458761 GEG458761 GOC458761 GXY458761 HHU458761 HRQ458761 IBM458761 ILI458761 IVE458761 JFA458761 JOW458761 JYS458761 KIO458761 KSK458761 LCG458761 LMC458761 LVY458761 MFU458761 MPQ458761 MZM458761 NJI458761 NTE458761 ODA458761 OMW458761 OWS458761 PGO458761 PQK458761 QAG458761 QKC458761 QTY458761 RDU458761 RNQ458761 RXM458761 SHI458761 SRE458761 TBA458761 TKW458761 TUS458761 UEO458761 UOK458761 UYG458761 VIC458761 VRY458761 WBU458761 WLQ458761 WVM458761 E524297 JA524297 SW524297 ACS524297 AMO524297 AWK524297 BGG524297 BQC524297 BZY524297 CJU524297 CTQ524297 DDM524297 DNI524297 DXE524297 EHA524297 EQW524297 FAS524297 FKO524297 FUK524297 GEG524297 GOC524297 GXY524297 HHU524297 HRQ524297 IBM524297 ILI524297 IVE524297 JFA524297 JOW524297 JYS524297 KIO524297 KSK524297 LCG524297 LMC524297 LVY524297 MFU524297 MPQ524297 MZM524297 NJI524297 NTE524297 ODA524297 OMW524297 OWS524297 PGO524297 PQK524297 QAG524297 QKC524297 QTY524297 RDU524297 RNQ524297 RXM524297 SHI524297 SRE524297 TBA524297 TKW524297 TUS524297 UEO524297 UOK524297 UYG524297 VIC524297 VRY524297 WBU524297 WLQ524297 WVM524297 E589833 JA589833 SW589833 ACS589833 AMO589833 AWK589833 BGG589833 BQC589833 BZY589833 CJU589833 CTQ589833 DDM589833 DNI589833 DXE589833 EHA589833 EQW589833 FAS589833 FKO589833 FUK589833 GEG589833 GOC589833 GXY589833 HHU589833 HRQ589833 IBM589833 ILI589833 IVE589833 JFA589833 JOW589833 JYS589833 KIO589833 KSK589833 LCG589833 LMC589833 LVY589833 MFU589833 MPQ589833 MZM589833 NJI589833 NTE589833 ODA589833 OMW589833 OWS589833 PGO589833 PQK589833 QAG589833 QKC589833 QTY589833 RDU589833 RNQ589833 RXM589833 SHI589833 SRE589833 TBA589833 TKW589833 TUS589833 UEO589833 UOK589833 UYG589833 VIC589833 VRY589833 WBU589833 WLQ589833 WVM589833 E655369 JA655369 SW655369 ACS655369 AMO655369 AWK655369 BGG655369 BQC655369 BZY655369 CJU655369 CTQ655369 DDM655369 DNI655369 DXE655369 EHA655369 EQW655369 FAS655369 FKO655369 FUK655369 GEG655369 GOC655369 GXY655369 HHU655369 HRQ655369 IBM655369 ILI655369 IVE655369 JFA655369 JOW655369 JYS655369 KIO655369 KSK655369 LCG655369 LMC655369 LVY655369 MFU655369 MPQ655369 MZM655369 NJI655369 NTE655369 ODA655369 OMW655369 OWS655369 PGO655369 PQK655369 QAG655369 QKC655369 QTY655369 RDU655369 RNQ655369 RXM655369 SHI655369 SRE655369 TBA655369 TKW655369 TUS655369 UEO655369 UOK655369 UYG655369 VIC655369 VRY655369 WBU655369 WLQ655369 WVM655369 E720905 JA720905 SW720905 ACS720905 AMO720905 AWK720905 BGG720905 BQC720905 BZY720905 CJU720905 CTQ720905 DDM720905 DNI720905 DXE720905 EHA720905 EQW720905 FAS720905 FKO720905 FUK720905 GEG720905 GOC720905 GXY720905 HHU720905 HRQ720905 IBM720905 ILI720905 IVE720905 JFA720905 JOW720905 JYS720905 KIO720905 KSK720905 LCG720905 LMC720905 LVY720905 MFU720905 MPQ720905 MZM720905 NJI720905 NTE720905 ODA720905 OMW720905 OWS720905 PGO720905 PQK720905 QAG720905 QKC720905 QTY720905 RDU720905 RNQ720905 RXM720905 SHI720905 SRE720905 TBA720905 TKW720905 TUS720905 UEO720905 UOK720905 UYG720905 VIC720905 VRY720905 WBU720905 WLQ720905 WVM720905 E786441 JA786441 SW786441 ACS786441 AMO786441 AWK786441 BGG786441 BQC786441 BZY786441 CJU786441 CTQ786441 DDM786441 DNI786441 DXE786441 EHA786441 EQW786441 FAS786441 FKO786441 FUK786441 GEG786441 GOC786441 GXY786441 HHU786441 HRQ786441 IBM786441 ILI786441 IVE786441 JFA786441 JOW786441 JYS786441 KIO786441 KSK786441 LCG786441 LMC786441 LVY786441 MFU786441 MPQ786441 MZM786441 NJI786441 NTE786441 ODA786441 OMW786441 OWS786441 PGO786441 PQK786441 QAG786441 QKC786441 QTY786441 RDU786441 RNQ786441 RXM786441 SHI786441 SRE786441 TBA786441 TKW786441 TUS786441 UEO786441 UOK786441 UYG786441 VIC786441 VRY786441 WBU786441 WLQ786441 WVM786441 E851977 JA851977 SW851977 ACS851977 AMO851977 AWK851977 BGG851977 BQC851977 BZY851977 CJU851977 CTQ851977 DDM851977 DNI851977 DXE851977 EHA851977 EQW851977 FAS851977 FKO851977 FUK851977 GEG851977 GOC851977 GXY851977 HHU851977 HRQ851977 IBM851977 ILI851977 IVE851977 JFA851977 JOW851977 JYS851977 KIO851977 KSK851977 LCG851977 LMC851977 LVY851977 MFU851977 MPQ851977 MZM851977 NJI851977 NTE851977 ODA851977 OMW851977 OWS851977 PGO851977 PQK851977 QAG851977 QKC851977 QTY851977 RDU851977 RNQ851977 RXM851977 SHI851977 SRE851977 TBA851977 TKW851977 TUS851977 UEO851977 UOK851977 UYG851977 VIC851977 VRY851977 WBU851977 WLQ851977 WVM851977 E917513 JA917513 SW917513 ACS917513 AMO917513 AWK917513 BGG917513 BQC917513 BZY917513 CJU917513 CTQ917513 DDM917513 DNI917513 DXE917513 EHA917513 EQW917513 FAS917513 FKO917513 FUK917513 GEG917513 GOC917513 GXY917513 HHU917513 HRQ917513 IBM917513 ILI917513 IVE917513 JFA917513 JOW917513 JYS917513 KIO917513 KSK917513 LCG917513 LMC917513 LVY917513 MFU917513 MPQ917513 MZM917513 NJI917513 NTE917513 ODA917513 OMW917513 OWS917513 PGO917513 PQK917513 QAG917513 QKC917513 QTY917513 RDU917513 RNQ917513 RXM917513 SHI917513 SRE917513 TBA917513 TKW917513 TUS917513 UEO917513 UOK917513 UYG917513 VIC917513 VRY917513 WBU917513 WLQ917513 WVM917513 E983049 JA983049 SW983049 ACS983049 AMO983049 AWK983049 BGG983049 BQC983049 BZY983049 CJU983049 CTQ983049 DDM983049 DNI983049 DXE983049 EHA983049 EQW983049 FAS983049 FKO983049 FUK983049 GEG983049 GOC983049 GXY983049 HHU983049 HRQ983049 IBM983049 ILI983049 IVE983049 JFA983049 JOW983049 JYS983049 KIO983049 KSK983049 LCG983049 LMC983049 LVY983049 MFU983049 MPQ983049 MZM983049 NJI983049 NTE983049 ODA983049 OMW983049 OWS983049 PGO983049 PQK983049 QAG983049 QKC983049 QTY983049 RDU983049 RNQ983049 RXM983049 SHI983049 SRE983049 TBA983049 TKW983049 TUS983049 UEO983049 UOK983049 UYG983049 VIC983049 VRY983049 WBU983049 WLQ983049 WVM983049">
      <formula1>$I$5:$I$8</formula1>
    </dataValidation>
    <dataValidation errorStyle="information" allowBlank="1" error="Не требуется заполнять для частных лиц" sqref="E11 JA11 SW11 ACS11 AMO11 AWK11 BGG11 BQC11 BZY11 CJU11 CTQ11 DDM11 DNI11 DXE11 EHA11 EQW11 FAS11 FKO11 FUK11 GEG11 GOC11 GXY11 HHU11 HRQ11 IBM11 ILI11 IVE11 JFA11 JOW11 JYS11 KIO11 KSK11 LCG11 LMC11 LVY11 MFU11 MPQ11 MZM11 NJI11 NTE11 ODA11 OMW11 OWS11 PGO11 PQK11 QAG11 QKC11 QTY11 RDU11 RNQ11 RXM11 SHI11 SRE11 TBA11 TKW11 TUS11 UEO11 UOK11 UYG11 VIC11 VRY11 WBU11 WLQ11 WVM11 E65546 JA65546 SW65546 ACS65546 AMO65546 AWK65546 BGG65546 BQC65546 BZY65546 CJU65546 CTQ65546 DDM65546 DNI65546 DXE65546 EHA65546 EQW65546 FAS65546 FKO65546 FUK65546 GEG65546 GOC65546 GXY65546 HHU65546 HRQ65546 IBM65546 ILI65546 IVE65546 JFA65546 JOW65546 JYS65546 KIO65546 KSK65546 LCG65546 LMC65546 LVY65546 MFU65546 MPQ65546 MZM65546 NJI65546 NTE65546 ODA65546 OMW65546 OWS65546 PGO65546 PQK65546 QAG65546 QKC65546 QTY65546 RDU65546 RNQ65546 RXM65546 SHI65546 SRE65546 TBA65546 TKW65546 TUS65546 UEO65546 UOK65546 UYG65546 VIC65546 VRY65546 WBU65546 WLQ65546 WVM65546 E131082 JA131082 SW131082 ACS131082 AMO131082 AWK131082 BGG131082 BQC131082 BZY131082 CJU131082 CTQ131082 DDM131082 DNI131082 DXE131082 EHA131082 EQW131082 FAS131082 FKO131082 FUK131082 GEG131082 GOC131082 GXY131082 HHU131082 HRQ131082 IBM131082 ILI131082 IVE131082 JFA131082 JOW131082 JYS131082 KIO131082 KSK131082 LCG131082 LMC131082 LVY131082 MFU131082 MPQ131082 MZM131082 NJI131082 NTE131082 ODA131082 OMW131082 OWS131082 PGO131082 PQK131082 QAG131082 QKC131082 QTY131082 RDU131082 RNQ131082 RXM131082 SHI131082 SRE131082 TBA131082 TKW131082 TUS131082 UEO131082 UOK131082 UYG131082 VIC131082 VRY131082 WBU131082 WLQ131082 WVM131082 E196618 JA196618 SW196618 ACS196618 AMO196618 AWK196618 BGG196618 BQC196618 BZY196618 CJU196618 CTQ196618 DDM196618 DNI196618 DXE196618 EHA196618 EQW196618 FAS196618 FKO196618 FUK196618 GEG196618 GOC196618 GXY196618 HHU196618 HRQ196618 IBM196618 ILI196618 IVE196618 JFA196618 JOW196618 JYS196618 KIO196618 KSK196618 LCG196618 LMC196618 LVY196618 MFU196618 MPQ196618 MZM196618 NJI196618 NTE196618 ODA196618 OMW196618 OWS196618 PGO196618 PQK196618 QAG196618 QKC196618 QTY196618 RDU196618 RNQ196618 RXM196618 SHI196618 SRE196618 TBA196618 TKW196618 TUS196618 UEO196618 UOK196618 UYG196618 VIC196618 VRY196618 WBU196618 WLQ196618 WVM196618 E262154 JA262154 SW262154 ACS262154 AMO262154 AWK262154 BGG262154 BQC262154 BZY262154 CJU262154 CTQ262154 DDM262154 DNI262154 DXE262154 EHA262154 EQW262154 FAS262154 FKO262154 FUK262154 GEG262154 GOC262154 GXY262154 HHU262154 HRQ262154 IBM262154 ILI262154 IVE262154 JFA262154 JOW262154 JYS262154 KIO262154 KSK262154 LCG262154 LMC262154 LVY262154 MFU262154 MPQ262154 MZM262154 NJI262154 NTE262154 ODA262154 OMW262154 OWS262154 PGO262154 PQK262154 QAG262154 QKC262154 QTY262154 RDU262154 RNQ262154 RXM262154 SHI262154 SRE262154 TBA262154 TKW262154 TUS262154 UEO262154 UOK262154 UYG262154 VIC262154 VRY262154 WBU262154 WLQ262154 WVM262154 E327690 JA327690 SW327690 ACS327690 AMO327690 AWK327690 BGG327690 BQC327690 BZY327690 CJU327690 CTQ327690 DDM327690 DNI327690 DXE327690 EHA327690 EQW327690 FAS327690 FKO327690 FUK327690 GEG327690 GOC327690 GXY327690 HHU327690 HRQ327690 IBM327690 ILI327690 IVE327690 JFA327690 JOW327690 JYS327690 KIO327690 KSK327690 LCG327690 LMC327690 LVY327690 MFU327690 MPQ327690 MZM327690 NJI327690 NTE327690 ODA327690 OMW327690 OWS327690 PGO327690 PQK327690 QAG327690 QKC327690 QTY327690 RDU327690 RNQ327690 RXM327690 SHI327690 SRE327690 TBA327690 TKW327690 TUS327690 UEO327690 UOK327690 UYG327690 VIC327690 VRY327690 WBU327690 WLQ327690 WVM327690 E393226 JA393226 SW393226 ACS393226 AMO393226 AWK393226 BGG393226 BQC393226 BZY393226 CJU393226 CTQ393226 DDM393226 DNI393226 DXE393226 EHA393226 EQW393226 FAS393226 FKO393226 FUK393226 GEG393226 GOC393226 GXY393226 HHU393226 HRQ393226 IBM393226 ILI393226 IVE393226 JFA393226 JOW393226 JYS393226 KIO393226 KSK393226 LCG393226 LMC393226 LVY393226 MFU393226 MPQ393226 MZM393226 NJI393226 NTE393226 ODA393226 OMW393226 OWS393226 PGO393226 PQK393226 QAG393226 QKC393226 QTY393226 RDU393226 RNQ393226 RXM393226 SHI393226 SRE393226 TBA393226 TKW393226 TUS393226 UEO393226 UOK393226 UYG393226 VIC393226 VRY393226 WBU393226 WLQ393226 WVM393226 E458762 JA458762 SW458762 ACS458762 AMO458762 AWK458762 BGG458762 BQC458762 BZY458762 CJU458762 CTQ458762 DDM458762 DNI458762 DXE458762 EHA458762 EQW458762 FAS458762 FKO458762 FUK458762 GEG458762 GOC458762 GXY458762 HHU458762 HRQ458762 IBM458762 ILI458762 IVE458762 JFA458762 JOW458762 JYS458762 KIO458762 KSK458762 LCG458762 LMC458762 LVY458762 MFU458762 MPQ458762 MZM458762 NJI458762 NTE458762 ODA458762 OMW458762 OWS458762 PGO458762 PQK458762 QAG458762 QKC458762 QTY458762 RDU458762 RNQ458762 RXM458762 SHI458762 SRE458762 TBA458762 TKW458762 TUS458762 UEO458762 UOK458762 UYG458762 VIC458762 VRY458762 WBU458762 WLQ458762 WVM458762 E524298 JA524298 SW524298 ACS524298 AMO524298 AWK524298 BGG524298 BQC524298 BZY524298 CJU524298 CTQ524298 DDM524298 DNI524298 DXE524298 EHA524298 EQW524298 FAS524298 FKO524298 FUK524298 GEG524298 GOC524298 GXY524298 HHU524298 HRQ524298 IBM524298 ILI524298 IVE524298 JFA524298 JOW524298 JYS524298 KIO524298 KSK524298 LCG524298 LMC524298 LVY524298 MFU524298 MPQ524298 MZM524298 NJI524298 NTE524298 ODA524298 OMW524298 OWS524298 PGO524298 PQK524298 QAG524298 QKC524298 QTY524298 RDU524298 RNQ524298 RXM524298 SHI524298 SRE524298 TBA524298 TKW524298 TUS524298 UEO524298 UOK524298 UYG524298 VIC524298 VRY524298 WBU524298 WLQ524298 WVM524298 E589834 JA589834 SW589834 ACS589834 AMO589834 AWK589834 BGG589834 BQC589834 BZY589834 CJU589834 CTQ589834 DDM589834 DNI589834 DXE589834 EHA589834 EQW589834 FAS589834 FKO589834 FUK589834 GEG589834 GOC589834 GXY589834 HHU589834 HRQ589834 IBM589834 ILI589834 IVE589834 JFA589834 JOW589834 JYS589834 KIO589834 KSK589834 LCG589834 LMC589834 LVY589834 MFU589834 MPQ589834 MZM589834 NJI589834 NTE589834 ODA589834 OMW589834 OWS589834 PGO589834 PQK589834 QAG589834 QKC589834 QTY589834 RDU589834 RNQ589834 RXM589834 SHI589834 SRE589834 TBA589834 TKW589834 TUS589834 UEO589834 UOK589834 UYG589834 VIC589834 VRY589834 WBU589834 WLQ589834 WVM589834 E655370 JA655370 SW655370 ACS655370 AMO655370 AWK655370 BGG655370 BQC655370 BZY655370 CJU655370 CTQ655370 DDM655370 DNI655370 DXE655370 EHA655370 EQW655370 FAS655370 FKO655370 FUK655370 GEG655370 GOC655370 GXY655370 HHU655370 HRQ655370 IBM655370 ILI655370 IVE655370 JFA655370 JOW655370 JYS655370 KIO655370 KSK655370 LCG655370 LMC655370 LVY655370 MFU655370 MPQ655370 MZM655370 NJI655370 NTE655370 ODA655370 OMW655370 OWS655370 PGO655370 PQK655370 QAG655370 QKC655370 QTY655370 RDU655370 RNQ655370 RXM655370 SHI655370 SRE655370 TBA655370 TKW655370 TUS655370 UEO655370 UOK655370 UYG655370 VIC655370 VRY655370 WBU655370 WLQ655370 WVM655370 E720906 JA720906 SW720906 ACS720906 AMO720906 AWK720906 BGG720906 BQC720906 BZY720906 CJU720906 CTQ720906 DDM720906 DNI720906 DXE720906 EHA720906 EQW720906 FAS720906 FKO720906 FUK720906 GEG720906 GOC720906 GXY720906 HHU720906 HRQ720906 IBM720906 ILI720906 IVE720906 JFA720906 JOW720906 JYS720906 KIO720906 KSK720906 LCG720906 LMC720906 LVY720906 MFU720906 MPQ720906 MZM720906 NJI720906 NTE720906 ODA720906 OMW720906 OWS720906 PGO720906 PQK720906 QAG720906 QKC720906 QTY720906 RDU720906 RNQ720906 RXM720906 SHI720906 SRE720906 TBA720906 TKW720906 TUS720906 UEO720906 UOK720906 UYG720906 VIC720906 VRY720906 WBU720906 WLQ720906 WVM720906 E786442 JA786442 SW786442 ACS786442 AMO786442 AWK786442 BGG786442 BQC786442 BZY786442 CJU786442 CTQ786442 DDM786442 DNI786442 DXE786442 EHA786442 EQW786442 FAS786442 FKO786442 FUK786442 GEG786442 GOC786442 GXY786442 HHU786442 HRQ786442 IBM786442 ILI786442 IVE786442 JFA786442 JOW786442 JYS786442 KIO786442 KSK786442 LCG786442 LMC786442 LVY786442 MFU786442 MPQ786442 MZM786442 NJI786442 NTE786442 ODA786442 OMW786442 OWS786442 PGO786442 PQK786442 QAG786442 QKC786442 QTY786442 RDU786442 RNQ786442 RXM786442 SHI786442 SRE786442 TBA786442 TKW786442 TUS786442 UEO786442 UOK786442 UYG786442 VIC786442 VRY786442 WBU786442 WLQ786442 WVM786442 E851978 JA851978 SW851978 ACS851978 AMO851978 AWK851978 BGG851978 BQC851978 BZY851978 CJU851978 CTQ851978 DDM851978 DNI851978 DXE851978 EHA851978 EQW851978 FAS851978 FKO851978 FUK851978 GEG851978 GOC851978 GXY851978 HHU851978 HRQ851978 IBM851978 ILI851978 IVE851978 JFA851978 JOW851978 JYS851978 KIO851978 KSK851978 LCG851978 LMC851978 LVY851978 MFU851978 MPQ851978 MZM851978 NJI851978 NTE851978 ODA851978 OMW851978 OWS851978 PGO851978 PQK851978 QAG851978 QKC851978 QTY851978 RDU851978 RNQ851978 RXM851978 SHI851978 SRE851978 TBA851978 TKW851978 TUS851978 UEO851978 UOK851978 UYG851978 VIC851978 VRY851978 WBU851978 WLQ851978 WVM851978 E917514 JA917514 SW917514 ACS917514 AMO917514 AWK917514 BGG917514 BQC917514 BZY917514 CJU917514 CTQ917514 DDM917514 DNI917514 DXE917514 EHA917514 EQW917514 FAS917514 FKO917514 FUK917514 GEG917514 GOC917514 GXY917514 HHU917514 HRQ917514 IBM917514 ILI917514 IVE917514 JFA917514 JOW917514 JYS917514 KIO917514 KSK917514 LCG917514 LMC917514 LVY917514 MFU917514 MPQ917514 MZM917514 NJI917514 NTE917514 ODA917514 OMW917514 OWS917514 PGO917514 PQK917514 QAG917514 QKC917514 QTY917514 RDU917514 RNQ917514 RXM917514 SHI917514 SRE917514 TBA917514 TKW917514 TUS917514 UEO917514 UOK917514 UYG917514 VIC917514 VRY917514 WBU917514 WLQ917514 WVM917514 E983050 JA983050 SW983050 ACS983050 AMO983050 AWK983050 BGG983050 BQC983050 BZY983050 CJU983050 CTQ983050 DDM983050 DNI983050 DXE983050 EHA983050 EQW983050 FAS983050 FKO983050 FUK983050 GEG983050 GOC983050 GXY983050 HHU983050 HRQ983050 IBM983050 ILI983050 IVE983050 JFA983050 JOW983050 JYS983050 KIO983050 KSK983050 LCG983050 LMC983050 LVY983050 MFU983050 MPQ983050 MZM983050 NJI983050 NTE983050 ODA983050 OMW983050 OWS983050 PGO983050 PQK983050 QAG983050 QKC983050 QTY983050 RDU983050 RNQ983050 RXM983050 SHI983050 SRE983050 TBA983050 TKW983050 TUS983050 UEO983050 UOK983050 UYG983050 VIC983050 VRY983050 WBU983050 WLQ983050 WVM983050"/>
  </dataValidations>
  <hyperlinks>
    <hyperlink ref="E1" r:id="rId1" tooltip="http://fondgkh.ru/finances/finansovaya-podderzhka-kapitalnogo-remonta-v-2017-godu/pomoshhnik-ekr/"/>
    <hyperlink ref="B1" location="'Титульный лист'!A1" display="&lt;&lt; вернуться на титульный лист"/>
    <hyperlink ref="B1:D1" location="'Титульный лист'!A1" tooltip="перейти ..." display="&lt;&lt; вернуться на титульный лист"/>
  </hyperlinks>
  <printOptions horizontalCentered="1"/>
  <pageMargins left="0.23622047244094491" right="0.23622047244094491" top="0.74803149606299213" bottom="0.74803149606299213" header="0.31496062992125984" footer="0.31496062992125984"/>
  <pageSetup paperSize="9" scale="96" fitToHeight="0" orientation="portrait" r:id="rId2"/>
  <headerFooter>
    <oddFooter>&amp;RСтраница &amp;P из &amp;N</oddFooter>
  </headerFooter>
  <rowBreaks count="1" manualBreakCount="1">
    <brk id="37" min="1" max="4"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5">
    <tabColor theme="0" tint="-0.249977111117893"/>
  </sheetPr>
  <dimension ref="A1:AT87"/>
  <sheetViews>
    <sheetView zoomScaleNormal="100" workbookViewId="0">
      <pane xSplit="2" ySplit="4" topLeftCell="C67" activePane="bottomRight" state="frozen"/>
      <selection activeCell="B77" sqref="B77:E77"/>
      <selection pane="topRight" activeCell="B77" sqref="B77:E77"/>
      <selection pane="bottomLeft" activeCell="B77" sqref="B77:E77"/>
      <selection pane="bottomRight" activeCell="G76" sqref="G76"/>
    </sheetView>
  </sheetViews>
  <sheetFormatPr defaultColWidth="9.140625" defaultRowHeight="15" x14ac:dyDescent="0.25"/>
  <cols>
    <col min="1" max="1" width="14.85546875" style="1005" customWidth="1"/>
    <col min="2" max="2" width="22.7109375" style="75" customWidth="1"/>
    <col min="3" max="3" width="22.28515625" style="75" customWidth="1"/>
    <col min="4" max="4" width="11" style="75" customWidth="1"/>
    <col min="5" max="5" width="10.140625" style="75" customWidth="1"/>
    <col min="6" max="6" width="10.28515625" style="75" customWidth="1"/>
    <col min="7" max="9" width="11.7109375" style="75" customWidth="1"/>
    <col min="10" max="10" width="8.28515625" style="75" customWidth="1"/>
    <col min="11" max="13" width="12.28515625" style="75" customWidth="1"/>
    <col min="14" max="14" width="16.42578125" style="75" customWidth="1"/>
    <col min="15" max="15" width="10.42578125" style="75" customWidth="1"/>
    <col min="16" max="16" width="11.28515625" style="75" customWidth="1"/>
    <col min="17" max="17" width="15.85546875" style="75" customWidth="1"/>
    <col min="18" max="18" width="12.5703125" style="75" customWidth="1"/>
    <col min="19" max="19" width="14.85546875" style="75" customWidth="1"/>
    <col min="20" max="20" width="15.140625" style="75" customWidth="1"/>
    <col min="21" max="21" width="12.42578125" style="75" customWidth="1"/>
    <col min="22" max="22" width="12.85546875" style="75" customWidth="1"/>
    <col min="23" max="23" width="11.42578125" style="75" customWidth="1"/>
    <col min="24" max="24" width="20.42578125" style="75" customWidth="1"/>
    <col min="25" max="25" width="14" style="75" customWidth="1"/>
    <col min="26" max="28" width="13" style="75" customWidth="1"/>
    <col min="29" max="29" width="14.7109375" style="75" customWidth="1"/>
    <col min="30" max="16384" width="9.140625" style="75"/>
  </cols>
  <sheetData>
    <row r="1" spans="1:46" ht="24.75" customHeight="1" x14ac:dyDescent="0.45">
      <c r="A1" s="1762"/>
      <c r="B1" s="1762"/>
      <c r="C1" s="1762"/>
      <c r="D1" s="1762"/>
      <c r="E1" s="1762"/>
      <c r="F1" s="1762"/>
      <c r="G1" s="1762"/>
      <c r="H1" s="1762"/>
      <c r="I1" s="1762"/>
      <c r="J1" s="1762"/>
      <c r="K1" s="1762"/>
      <c r="L1" s="1762"/>
      <c r="M1" s="1762"/>
      <c r="N1" s="74"/>
      <c r="O1" s="74"/>
      <c r="P1" s="74"/>
      <c r="Q1" s="74"/>
      <c r="R1" s="74"/>
      <c r="S1" s="74"/>
      <c r="T1" s="74"/>
      <c r="U1" s="74"/>
      <c r="V1" s="74"/>
      <c r="W1" s="74"/>
      <c r="X1" s="74"/>
      <c r="Y1" s="74"/>
      <c r="Z1" s="74"/>
      <c r="AA1" s="74"/>
      <c r="AB1" s="74"/>
      <c r="AC1" s="74"/>
      <c r="AD1" s="74"/>
      <c r="AE1" s="74"/>
      <c r="AF1" s="74"/>
      <c r="AG1" s="74"/>
      <c r="AH1" s="74"/>
      <c r="AI1" s="74"/>
      <c r="AJ1" s="74"/>
      <c r="AK1" s="74"/>
      <c r="AL1" s="74"/>
      <c r="AM1" s="74"/>
      <c r="AN1" s="74"/>
      <c r="AO1" s="74"/>
      <c r="AP1" s="74"/>
      <c r="AQ1" s="74"/>
      <c r="AR1" s="74"/>
      <c r="AS1" s="74"/>
      <c r="AT1" s="74"/>
    </row>
    <row r="2" spans="1:46" x14ac:dyDescent="0.25">
      <c r="A2" s="923" t="s">
        <v>610</v>
      </c>
      <c r="B2" s="924" t="str">
        <f>CONCATENATE('Ввод исходных данных'!D14,'Ввод исходных данных'!D19,'Ввод исходных данных'!D17)</f>
        <v>Нет в списке</v>
      </c>
      <c r="C2" s="924">
        <v>1</v>
      </c>
      <c r="D2" s="924">
        <v>2</v>
      </c>
      <c r="E2" s="924">
        <v>3</v>
      </c>
      <c r="F2" s="924">
        <v>4</v>
      </c>
      <c r="G2" s="924">
        <v>5</v>
      </c>
      <c r="H2" s="924">
        <v>6</v>
      </c>
      <c r="I2" s="924">
        <v>7</v>
      </c>
      <c r="J2" s="924">
        <v>8</v>
      </c>
      <c r="K2" s="924">
        <v>9</v>
      </c>
      <c r="L2" s="924">
        <v>10</v>
      </c>
      <c r="M2" s="924">
        <v>11</v>
      </c>
      <c r="N2" s="924">
        <v>12</v>
      </c>
      <c r="O2" s="924">
        <v>13</v>
      </c>
      <c r="P2" s="924">
        <v>14</v>
      </c>
      <c r="Q2" s="924">
        <v>15</v>
      </c>
      <c r="R2" s="924">
        <v>16</v>
      </c>
      <c r="S2" s="924">
        <v>17</v>
      </c>
      <c r="T2" s="924">
        <v>18</v>
      </c>
      <c r="U2" s="924">
        <v>19</v>
      </c>
      <c r="V2" s="924">
        <v>20</v>
      </c>
      <c r="W2" s="924">
        <v>21</v>
      </c>
      <c r="X2" s="924">
        <v>22</v>
      </c>
      <c r="Y2" s="924">
        <v>23</v>
      </c>
      <c r="Z2" s="924">
        <v>24</v>
      </c>
      <c r="AA2" s="924">
        <v>25</v>
      </c>
      <c r="AB2" s="924">
        <v>26</v>
      </c>
      <c r="AC2" s="74"/>
      <c r="AD2" s="74"/>
      <c r="AE2" s="74"/>
      <c r="AF2" s="74"/>
      <c r="AG2" s="74"/>
      <c r="AH2" s="74"/>
      <c r="AI2" s="74"/>
      <c r="AJ2" s="74"/>
      <c r="AK2" s="74"/>
      <c r="AL2" s="74"/>
      <c r="AM2" s="74"/>
      <c r="AN2" s="74"/>
      <c r="AO2" s="74"/>
      <c r="AP2" s="74"/>
      <c r="AQ2" s="74"/>
      <c r="AR2" s="74"/>
      <c r="AS2" s="74"/>
      <c r="AT2" s="74"/>
    </row>
    <row r="3" spans="1:46" ht="13.5" customHeight="1" x14ac:dyDescent="0.25">
      <c r="A3" s="925"/>
      <c r="B3" s="84"/>
      <c r="C3" s="926"/>
      <c r="D3" s="84"/>
      <c r="E3" s="84"/>
      <c r="F3" s="927"/>
      <c r="G3" s="84"/>
      <c r="H3" s="84"/>
      <c r="I3" s="84"/>
      <c r="J3" s="84"/>
      <c r="K3" s="928"/>
      <c r="L3" s="928"/>
      <c r="M3" s="928"/>
      <c r="N3" s="84"/>
      <c r="O3" s="84"/>
      <c r="P3" s="84"/>
      <c r="Q3" s="84"/>
      <c r="R3" s="84"/>
      <c r="S3" s="84"/>
      <c r="T3" s="84"/>
      <c r="U3" s="84"/>
      <c r="V3" s="928"/>
      <c r="W3" s="84"/>
      <c r="X3" s="929"/>
      <c r="Y3" s="930"/>
      <c r="Z3" s="929" t="s">
        <v>1473</v>
      </c>
      <c r="AA3" s="929"/>
      <c r="AB3" s="929"/>
      <c r="AC3" s="74"/>
      <c r="AD3" s="74"/>
      <c r="AE3" s="74"/>
      <c r="AF3" s="74"/>
      <c r="AG3" s="74"/>
      <c r="AH3" s="74"/>
      <c r="AI3" s="74"/>
      <c r="AJ3" s="74"/>
      <c r="AK3" s="74"/>
      <c r="AL3" s="74"/>
      <c r="AM3" s="74"/>
      <c r="AN3" s="74"/>
      <c r="AO3" s="74"/>
      <c r="AP3" s="74"/>
      <c r="AQ3" s="74"/>
      <c r="AR3" s="74"/>
      <c r="AS3" s="74"/>
      <c r="AT3" s="74"/>
    </row>
    <row r="4" spans="1:46" s="240" customFormat="1" ht="90" customHeight="1" x14ac:dyDescent="0.25">
      <c r="A4" s="931" t="s">
        <v>757</v>
      </c>
      <c r="B4" s="932"/>
      <c r="C4" s="933" t="s">
        <v>444</v>
      </c>
      <c r="D4" s="934" t="s">
        <v>844</v>
      </c>
      <c r="E4" s="934" t="s">
        <v>845</v>
      </c>
      <c r="F4" s="934" t="s">
        <v>1454</v>
      </c>
      <c r="G4" s="934" t="s">
        <v>1401</v>
      </c>
      <c r="H4" s="934" t="s">
        <v>1395</v>
      </c>
      <c r="I4" s="934" t="s">
        <v>846</v>
      </c>
      <c r="J4" s="934" t="s">
        <v>1455</v>
      </c>
      <c r="K4" s="935" t="s">
        <v>847</v>
      </c>
      <c r="L4" s="935" t="s">
        <v>861</v>
      </c>
      <c r="M4" s="935" t="s">
        <v>862</v>
      </c>
      <c r="N4" s="934" t="s">
        <v>1456</v>
      </c>
      <c r="O4" s="933" t="s">
        <v>848</v>
      </c>
      <c r="P4" s="934" t="s">
        <v>849</v>
      </c>
      <c r="Q4" s="934" t="s">
        <v>850</v>
      </c>
      <c r="R4" s="934" t="s">
        <v>851</v>
      </c>
      <c r="S4" s="934" t="s">
        <v>852</v>
      </c>
      <c r="T4" s="934" t="s">
        <v>853</v>
      </c>
      <c r="U4" s="934" t="s">
        <v>854</v>
      </c>
      <c r="V4" s="934" t="s">
        <v>855</v>
      </c>
      <c r="W4" s="933" t="s">
        <v>856</v>
      </c>
      <c r="X4" s="934" t="s">
        <v>1552</v>
      </c>
      <c r="Y4" s="932" t="s">
        <v>857</v>
      </c>
      <c r="Z4" s="934" t="s">
        <v>1396</v>
      </c>
      <c r="AA4" s="934" t="s">
        <v>1534</v>
      </c>
      <c r="AB4" s="934" t="s">
        <v>1553</v>
      </c>
      <c r="AC4" s="74"/>
      <c r="AD4" s="74"/>
      <c r="AE4" s="74"/>
      <c r="AF4" s="74"/>
      <c r="AG4" s="74"/>
      <c r="AH4" s="74"/>
      <c r="AI4" s="74"/>
      <c r="AJ4" s="74"/>
      <c r="AK4" s="74"/>
      <c r="AL4" s="74"/>
      <c r="AM4" s="74"/>
      <c r="AN4" s="74"/>
      <c r="AO4" s="74"/>
      <c r="AP4" s="74"/>
      <c r="AQ4" s="74"/>
      <c r="AR4" s="74"/>
      <c r="AS4" s="74"/>
      <c r="AT4" s="74"/>
    </row>
    <row r="5" spans="1:46" s="240" customFormat="1" x14ac:dyDescent="0.25">
      <c r="A5" s="936"/>
      <c r="B5" s="937"/>
      <c r="C5" s="284"/>
      <c r="D5" s="938" t="s">
        <v>858</v>
      </c>
      <c r="E5" s="939" t="s">
        <v>858</v>
      </c>
      <c r="F5" s="938" t="s">
        <v>492</v>
      </c>
      <c r="G5" s="938" t="s">
        <v>492</v>
      </c>
      <c r="H5" s="938"/>
      <c r="I5" s="938" t="s">
        <v>492</v>
      </c>
      <c r="J5" s="938" t="s">
        <v>493</v>
      </c>
      <c r="K5" s="938" t="s">
        <v>493</v>
      </c>
      <c r="L5" s="938" t="s">
        <v>493</v>
      </c>
      <c r="M5" s="938" t="s">
        <v>493</v>
      </c>
      <c r="N5" s="940" t="s">
        <v>492</v>
      </c>
      <c r="O5" s="941" t="s">
        <v>492</v>
      </c>
      <c r="P5" s="938" t="s">
        <v>858</v>
      </c>
      <c r="Q5" s="938" t="s">
        <v>858</v>
      </c>
      <c r="R5" s="938" t="s">
        <v>858</v>
      </c>
      <c r="S5" s="938" t="s">
        <v>492</v>
      </c>
      <c r="T5" s="938" t="s">
        <v>492</v>
      </c>
      <c r="U5" s="942" t="s">
        <v>492</v>
      </c>
      <c r="V5" s="942" t="s">
        <v>858</v>
      </c>
      <c r="W5" s="940" t="s">
        <v>492</v>
      </c>
      <c r="X5" s="941" t="s">
        <v>492</v>
      </c>
      <c r="Y5" s="941" t="s">
        <v>492</v>
      </c>
      <c r="Z5" s="941" t="s">
        <v>492</v>
      </c>
      <c r="AA5" s="941" t="s">
        <v>492</v>
      </c>
      <c r="AB5" s="941"/>
      <c r="AC5" s="74"/>
      <c r="AD5" s="74"/>
      <c r="AE5" s="74"/>
      <c r="AF5" s="74"/>
      <c r="AG5" s="74"/>
      <c r="AH5" s="74"/>
      <c r="AI5" s="74"/>
      <c r="AJ5" s="74"/>
      <c r="AK5" s="74"/>
      <c r="AL5" s="74"/>
      <c r="AM5" s="74"/>
      <c r="AN5" s="74"/>
      <c r="AO5" s="74"/>
      <c r="AP5" s="74"/>
      <c r="AQ5" s="74"/>
      <c r="AR5" s="74"/>
      <c r="AS5" s="74"/>
      <c r="AT5" s="74"/>
    </row>
    <row r="6" spans="1:46" s="240" customFormat="1" ht="19.5" customHeight="1" x14ac:dyDescent="0.25">
      <c r="A6" s="936"/>
      <c r="B6" s="1759" t="s">
        <v>1398</v>
      </c>
      <c r="C6" s="1760"/>
      <c r="D6" s="1760"/>
      <c r="E6" s="1760"/>
      <c r="F6" s="1761"/>
      <c r="G6" s="938"/>
      <c r="H6" s="938"/>
      <c r="I6" s="938"/>
      <c r="J6" s="938"/>
      <c r="K6" s="938"/>
      <c r="L6" s="938"/>
      <c r="M6" s="938"/>
      <c r="N6" s="940"/>
      <c r="O6" s="941"/>
      <c r="P6" s="938"/>
      <c r="Q6" s="938"/>
      <c r="R6" s="938"/>
      <c r="S6" s="938"/>
      <c r="T6" s="938"/>
      <c r="U6" s="942"/>
      <c r="V6" s="942"/>
      <c r="W6" s="943"/>
      <c r="X6" s="941"/>
      <c r="Y6" s="944"/>
      <c r="Z6" s="941"/>
      <c r="AA6" s="941"/>
      <c r="AB6" s="941"/>
      <c r="AC6" s="74"/>
      <c r="AD6" s="74"/>
      <c r="AE6" s="74"/>
      <c r="AF6" s="74"/>
      <c r="AG6" s="74"/>
      <c r="AH6" s="74"/>
      <c r="AI6" s="74"/>
      <c r="AJ6" s="74"/>
      <c r="AK6" s="74"/>
      <c r="AL6" s="74"/>
      <c r="AM6" s="74"/>
      <c r="AN6" s="74"/>
      <c r="AO6" s="74"/>
      <c r="AP6" s="74"/>
      <c r="AQ6" s="74"/>
      <c r="AR6" s="74"/>
      <c r="AS6" s="74"/>
      <c r="AT6" s="74"/>
    </row>
    <row r="7" spans="1:46" ht="15" customHeight="1" x14ac:dyDescent="0.25">
      <c r="A7" s="945" t="s">
        <v>1432</v>
      </c>
      <c r="B7" s="946"/>
      <c r="C7" s="946" t="str">
        <f t="shared" ref="C7:C13" si="0">CONCATENATE(A7,D7,E7)</f>
        <v>I-33555</v>
      </c>
      <c r="D7" s="947">
        <v>5</v>
      </c>
      <c r="E7" s="947">
        <v>5</v>
      </c>
      <c r="F7" s="948">
        <f t="shared" ref="F7:F16" si="1">L7*M7*D7</f>
        <v>4872</v>
      </c>
      <c r="G7" s="948">
        <f>159*$D7*$E7</f>
        <v>3975</v>
      </c>
      <c r="H7" s="948">
        <f>117.25*$D7*$E7</f>
        <v>2931.25</v>
      </c>
      <c r="I7" s="948">
        <f>F7-G7</f>
        <v>897</v>
      </c>
      <c r="J7" s="949">
        <f t="shared" ref="J7:J51" si="2">K7*D7</f>
        <v>13.5</v>
      </c>
      <c r="K7" s="949">
        <v>2.7</v>
      </c>
      <c r="L7" s="947">
        <f>16.8*5</f>
        <v>84</v>
      </c>
      <c r="M7" s="947">
        <f>11.6</f>
        <v>11.6</v>
      </c>
      <c r="N7" s="949">
        <f>2*(L7+M7)*J7</f>
        <v>2581.1999999999998</v>
      </c>
      <c r="O7" s="950">
        <f t="shared" ref="O7:O37" si="3">N7-S7-W7</f>
        <v>1808.4499999999998</v>
      </c>
      <c r="P7" s="947">
        <f>Q7+R7</f>
        <v>295</v>
      </c>
      <c r="Q7" s="947">
        <f>11*D7*E7</f>
        <v>275</v>
      </c>
      <c r="R7" s="947">
        <f>1*D7*E7-E7</f>
        <v>20</v>
      </c>
      <c r="S7" s="948">
        <f t="shared" ref="S7" si="4">T7+U7</f>
        <v>754</v>
      </c>
      <c r="T7" s="951">
        <f>Q7*2.56</f>
        <v>704</v>
      </c>
      <c r="U7" s="951">
        <f>2.5*R7</f>
        <v>50</v>
      </c>
      <c r="V7" s="951">
        <f t="shared" ref="V7:V51" si="5">1*E7</f>
        <v>5</v>
      </c>
      <c r="W7" s="952">
        <f t="shared" ref="W7:W10" si="6">3.75*V7</f>
        <v>18.75</v>
      </c>
      <c r="X7" s="951">
        <f>202.5*$E7</f>
        <v>1012.5</v>
      </c>
      <c r="Y7" s="953">
        <f>202.5*$E7</f>
        <v>1012.5</v>
      </c>
      <c r="Z7" s="951">
        <f>Y7+(L7+M7)*2*2.5</f>
        <v>1490.5</v>
      </c>
      <c r="AA7" s="954">
        <f>M7*J7</f>
        <v>156.6</v>
      </c>
      <c r="AB7" s="954">
        <f>(L7+M7)*2</f>
        <v>191.2</v>
      </c>
      <c r="AC7" s="955"/>
      <c r="AD7" s="955"/>
      <c r="AE7" s="514"/>
      <c r="AF7" s="514"/>
      <c r="AG7" s="74"/>
      <c r="AH7" s="74"/>
      <c r="AI7" s="74"/>
      <c r="AJ7" s="74"/>
      <c r="AK7" s="74"/>
      <c r="AL7" s="74"/>
      <c r="AM7" s="74"/>
      <c r="AN7" s="74"/>
      <c r="AO7" s="74"/>
      <c r="AP7" s="74"/>
      <c r="AQ7" s="74"/>
      <c r="AR7" s="74"/>
      <c r="AS7" s="74"/>
      <c r="AT7" s="74"/>
    </row>
    <row r="8" spans="1:46" ht="15" customHeight="1" x14ac:dyDescent="0.25">
      <c r="A8" s="945" t="s">
        <v>1432</v>
      </c>
      <c r="B8" s="946"/>
      <c r="C8" s="956" t="str">
        <f t="shared" si="0"/>
        <v>I-33554</v>
      </c>
      <c r="D8" s="949">
        <v>5</v>
      </c>
      <c r="E8" s="949">
        <v>4</v>
      </c>
      <c r="F8" s="949">
        <f t="shared" si="1"/>
        <v>3897.6</v>
      </c>
      <c r="G8" s="949">
        <f t="shared" ref="G8:G10" si="7">159*$D8*$E8</f>
        <v>3180</v>
      </c>
      <c r="H8" s="949">
        <f t="shared" ref="H8:H10" si="8">117.25*$D8*$E8</f>
        <v>2345</v>
      </c>
      <c r="I8" s="949">
        <f t="shared" ref="I8:I13" si="9">F8-G8</f>
        <v>717.59999999999991</v>
      </c>
      <c r="J8" s="949">
        <f t="shared" si="2"/>
        <v>13.5</v>
      </c>
      <c r="K8" s="949">
        <v>2.7</v>
      </c>
      <c r="L8" s="949">
        <f>16.8*E8</f>
        <v>67.2</v>
      </c>
      <c r="M8" s="949">
        <f t="shared" ref="M8:M10" si="10">11.6</f>
        <v>11.6</v>
      </c>
      <c r="N8" s="949">
        <f>2*(L8+M8)*J8</f>
        <v>2127.6</v>
      </c>
      <c r="O8" s="950">
        <f t="shared" si="3"/>
        <v>1509.3999999999999</v>
      </c>
      <c r="P8" s="949">
        <f t="shared" ref="P8:P13" si="11">Q8+R8</f>
        <v>236</v>
      </c>
      <c r="Q8" s="949">
        <f>11*D8*E8</f>
        <v>220</v>
      </c>
      <c r="R8" s="947">
        <f t="shared" ref="R8:R49" si="12">1*D8*E8-E8</f>
        <v>16</v>
      </c>
      <c r="S8" s="949">
        <f t="shared" ref="S8:S13" si="13">T8+U8</f>
        <v>603.20000000000005</v>
      </c>
      <c r="T8" s="949">
        <f>Q8*2.56</f>
        <v>563.20000000000005</v>
      </c>
      <c r="U8" s="949">
        <f>2.5*R8</f>
        <v>40</v>
      </c>
      <c r="V8" s="949">
        <f t="shared" si="5"/>
        <v>4</v>
      </c>
      <c r="W8" s="957">
        <f t="shared" si="6"/>
        <v>15</v>
      </c>
      <c r="X8" s="949">
        <f t="shared" ref="X8:X10" si="14">202.5*$E8</f>
        <v>810</v>
      </c>
      <c r="Y8" s="958">
        <f t="shared" ref="Y8:Y10" si="15">202.5*$E8</f>
        <v>810</v>
      </c>
      <c r="Z8" s="949">
        <f t="shared" ref="Z8:Z50" si="16">Y8+(L8+M8)*2*2.5</f>
        <v>1204</v>
      </c>
      <c r="AA8" s="959">
        <f t="shared" ref="AA8:AA50" si="17">M8*J8</f>
        <v>156.6</v>
      </c>
      <c r="AB8" s="954">
        <f t="shared" ref="AB8:AB51" si="18">(L8+M8)*2</f>
        <v>157.6</v>
      </c>
      <c r="AC8" s="955"/>
      <c r="AD8" s="955"/>
      <c r="AE8" s="514"/>
      <c r="AF8" s="514"/>
      <c r="AG8" s="74"/>
      <c r="AH8" s="74"/>
      <c r="AI8" s="74"/>
      <c r="AJ8" s="74"/>
      <c r="AK8" s="74"/>
      <c r="AL8" s="74"/>
      <c r="AM8" s="74"/>
      <c r="AN8" s="74"/>
      <c r="AO8" s="74"/>
      <c r="AP8" s="74"/>
      <c r="AQ8" s="74"/>
      <c r="AR8" s="74"/>
      <c r="AS8" s="74"/>
      <c r="AT8" s="74"/>
    </row>
    <row r="9" spans="1:46" ht="15" customHeight="1" x14ac:dyDescent="0.25">
      <c r="A9" s="945" t="s">
        <v>1432</v>
      </c>
      <c r="B9" s="946"/>
      <c r="C9" s="946" t="str">
        <f t="shared" si="0"/>
        <v>I-33553</v>
      </c>
      <c r="D9" s="949">
        <v>5</v>
      </c>
      <c r="E9" s="949">
        <v>3</v>
      </c>
      <c r="F9" s="949">
        <f t="shared" si="1"/>
        <v>2923.2000000000007</v>
      </c>
      <c r="G9" s="949">
        <f t="shared" si="7"/>
        <v>2385</v>
      </c>
      <c r="H9" s="949">
        <f t="shared" si="8"/>
        <v>1758.75</v>
      </c>
      <c r="I9" s="949">
        <f t="shared" si="9"/>
        <v>538.20000000000073</v>
      </c>
      <c r="J9" s="949">
        <f t="shared" si="2"/>
        <v>13.5</v>
      </c>
      <c r="K9" s="949">
        <v>2.7</v>
      </c>
      <c r="L9" s="949">
        <f>16.8*E9</f>
        <v>50.400000000000006</v>
      </c>
      <c r="M9" s="949">
        <f t="shared" si="10"/>
        <v>11.6</v>
      </c>
      <c r="N9" s="949">
        <f t="shared" ref="N9:N14" si="19">2*(L9+M9)*J9</f>
        <v>1674.0000000000002</v>
      </c>
      <c r="O9" s="950">
        <f t="shared" si="3"/>
        <v>1210.3500000000001</v>
      </c>
      <c r="P9" s="949">
        <f t="shared" si="11"/>
        <v>177</v>
      </c>
      <c r="Q9" s="949">
        <f>11*D9*E9</f>
        <v>165</v>
      </c>
      <c r="R9" s="947">
        <f t="shared" si="12"/>
        <v>12</v>
      </c>
      <c r="S9" s="949">
        <f t="shared" si="13"/>
        <v>452.40000000000003</v>
      </c>
      <c r="T9" s="949">
        <f>Q9*2.56</f>
        <v>422.40000000000003</v>
      </c>
      <c r="U9" s="949">
        <f>2.5*R9</f>
        <v>30</v>
      </c>
      <c r="V9" s="949">
        <f t="shared" si="5"/>
        <v>3</v>
      </c>
      <c r="W9" s="957">
        <f t="shared" si="6"/>
        <v>11.25</v>
      </c>
      <c r="X9" s="949">
        <f t="shared" si="14"/>
        <v>607.5</v>
      </c>
      <c r="Y9" s="958">
        <f t="shared" si="15"/>
        <v>607.5</v>
      </c>
      <c r="Z9" s="949">
        <f t="shared" si="16"/>
        <v>917.5</v>
      </c>
      <c r="AA9" s="959">
        <f t="shared" si="17"/>
        <v>156.6</v>
      </c>
      <c r="AB9" s="954">
        <f t="shared" si="18"/>
        <v>124.00000000000001</v>
      </c>
      <c r="AC9" s="955"/>
      <c r="AD9" s="955"/>
      <c r="AE9" s="514"/>
      <c r="AF9" s="514"/>
      <c r="AG9" s="74"/>
      <c r="AH9" s="74"/>
      <c r="AI9" s="74"/>
      <c r="AJ9" s="74"/>
      <c r="AK9" s="74"/>
      <c r="AL9" s="74"/>
      <c r="AM9" s="74"/>
      <c r="AN9" s="74"/>
      <c r="AO9" s="74"/>
      <c r="AP9" s="74"/>
      <c r="AQ9" s="74"/>
      <c r="AR9" s="74"/>
      <c r="AS9" s="74"/>
      <c r="AT9" s="74"/>
    </row>
    <row r="10" spans="1:46" ht="15" customHeight="1" x14ac:dyDescent="0.25">
      <c r="A10" s="945" t="s">
        <v>1432</v>
      </c>
      <c r="B10" s="946"/>
      <c r="C10" s="946" t="str">
        <f t="shared" si="0"/>
        <v>I-33556</v>
      </c>
      <c r="D10" s="949">
        <v>5</v>
      </c>
      <c r="E10" s="949">
        <v>6</v>
      </c>
      <c r="F10" s="949">
        <f t="shared" si="1"/>
        <v>5846.4000000000015</v>
      </c>
      <c r="G10" s="949">
        <f t="shared" si="7"/>
        <v>4770</v>
      </c>
      <c r="H10" s="949">
        <f t="shared" si="8"/>
        <v>3517.5</v>
      </c>
      <c r="I10" s="949">
        <f t="shared" si="9"/>
        <v>1076.4000000000015</v>
      </c>
      <c r="J10" s="949">
        <f t="shared" si="2"/>
        <v>13.5</v>
      </c>
      <c r="K10" s="949">
        <v>2.7</v>
      </c>
      <c r="L10" s="949">
        <f>16.8*E10</f>
        <v>100.80000000000001</v>
      </c>
      <c r="M10" s="949">
        <f t="shared" si="10"/>
        <v>11.6</v>
      </c>
      <c r="N10" s="949">
        <f t="shared" si="19"/>
        <v>3034.8</v>
      </c>
      <c r="O10" s="950">
        <f t="shared" si="3"/>
        <v>2107.5</v>
      </c>
      <c r="P10" s="949">
        <f t="shared" si="11"/>
        <v>354</v>
      </c>
      <c r="Q10" s="949">
        <f>11*D10*E10</f>
        <v>330</v>
      </c>
      <c r="R10" s="947">
        <f t="shared" si="12"/>
        <v>24</v>
      </c>
      <c r="S10" s="949">
        <f t="shared" si="13"/>
        <v>904.80000000000007</v>
      </c>
      <c r="T10" s="949">
        <f>Q10*2.56</f>
        <v>844.80000000000007</v>
      </c>
      <c r="U10" s="949">
        <f>2.5*R10</f>
        <v>60</v>
      </c>
      <c r="V10" s="949">
        <f t="shared" si="5"/>
        <v>6</v>
      </c>
      <c r="W10" s="957">
        <f t="shared" si="6"/>
        <v>22.5</v>
      </c>
      <c r="X10" s="949">
        <f t="shared" si="14"/>
        <v>1215</v>
      </c>
      <c r="Y10" s="958">
        <f t="shared" si="15"/>
        <v>1215</v>
      </c>
      <c r="Z10" s="949">
        <f t="shared" si="16"/>
        <v>1777</v>
      </c>
      <c r="AA10" s="959">
        <f t="shared" si="17"/>
        <v>156.6</v>
      </c>
      <c r="AB10" s="954">
        <f t="shared" si="18"/>
        <v>224.8</v>
      </c>
      <c r="AC10" s="955"/>
      <c r="AD10" s="955"/>
      <c r="AE10" s="514"/>
      <c r="AF10" s="514"/>
      <c r="AG10" s="74"/>
      <c r="AH10" s="74"/>
      <c r="AI10" s="74"/>
      <c r="AJ10" s="74"/>
      <c r="AK10" s="74"/>
      <c r="AL10" s="74"/>
      <c r="AM10" s="74"/>
      <c r="AN10" s="74"/>
      <c r="AO10" s="74"/>
      <c r="AP10" s="74"/>
      <c r="AQ10" s="74"/>
      <c r="AR10" s="74"/>
      <c r="AS10" s="74"/>
      <c r="AT10" s="74"/>
    </row>
    <row r="11" spans="1:46" ht="15" customHeight="1" x14ac:dyDescent="0.25">
      <c r="A11" s="945" t="s">
        <v>1629</v>
      </c>
      <c r="B11" s="946"/>
      <c r="C11" s="946" t="str">
        <f t="shared" si="0"/>
        <v>121 (-041,-042,-043) (9-10 эт)93</v>
      </c>
      <c r="D11" s="949">
        <v>9</v>
      </c>
      <c r="E11" s="949">
        <v>3</v>
      </c>
      <c r="F11" s="949">
        <f t="shared" si="1"/>
        <v>7257.5999999999985</v>
      </c>
      <c r="G11" s="949">
        <f>215*D11*E11</f>
        <v>5805</v>
      </c>
      <c r="H11" s="949">
        <f>121.2*D11*E11</f>
        <v>3272.3999999999996</v>
      </c>
      <c r="I11" s="949">
        <f t="shared" si="9"/>
        <v>1452.5999999999985</v>
      </c>
      <c r="J11" s="949">
        <f t="shared" si="2"/>
        <v>25.02</v>
      </c>
      <c r="K11" s="949">
        <v>2.78</v>
      </c>
      <c r="L11" s="949">
        <f>22.4*E11</f>
        <v>67.199999999999989</v>
      </c>
      <c r="M11" s="949">
        <v>12</v>
      </c>
      <c r="N11" s="949">
        <f t="shared" si="19"/>
        <v>3963.1679999999992</v>
      </c>
      <c r="O11" s="950">
        <f t="shared" si="3"/>
        <v>3101.4959999999992</v>
      </c>
      <c r="P11" s="949">
        <f t="shared" si="11"/>
        <v>411</v>
      </c>
      <c r="Q11" s="949">
        <f>13*D11*E11+4*D11</f>
        <v>387</v>
      </c>
      <c r="R11" s="947">
        <f t="shared" si="12"/>
        <v>24</v>
      </c>
      <c r="S11" s="949">
        <f t="shared" si="13"/>
        <v>855.67200000000003</v>
      </c>
      <c r="T11" s="949">
        <f>Q11*2.056</f>
        <v>795.67200000000003</v>
      </c>
      <c r="U11" s="949">
        <f>R11*2.5</f>
        <v>60</v>
      </c>
      <c r="V11" s="949">
        <f t="shared" si="5"/>
        <v>3</v>
      </c>
      <c r="W11" s="949">
        <f t="shared" ref="W11:W13" si="20">V11*2</f>
        <v>6</v>
      </c>
      <c r="X11" s="949">
        <v>845</v>
      </c>
      <c r="Y11" s="958">
        <v>845</v>
      </c>
      <c r="Z11" s="949">
        <f t="shared" si="16"/>
        <v>1241</v>
      </c>
      <c r="AA11" s="959">
        <f t="shared" si="17"/>
        <v>300.24</v>
      </c>
      <c r="AB11" s="954">
        <f t="shared" si="18"/>
        <v>158.39999999999998</v>
      </c>
      <c r="AC11" s="955"/>
      <c r="AD11" s="955"/>
      <c r="AE11" s="514"/>
      <c r="AF11" s="514"/>
      <c r="AG11" s="74"/>
      <c r="AH11" s="74"/>
      <c r="AI11" s="74"/>
      <c r="AJ11" s="74"/>
      <c r="AK11" s="74"/>
      <c r="AL11" s="74"/>
      <c r="AM11" s="74"/>
      <c r="AN11" s="74"/>
      <c r="AO11" s="74"/>
      <c r="AP11" s="74"/>
      <c r="AQ11" s="74"/>
      <c r="AR11" s="74"/>
      <c r="AS11" s="74"/>
      <c r="AT11" s="74"/>
    </row>
    <row r="12" spans="1:46" ht="15" customHeight="1" x14ac:dyDescent="0.25">
      <c r="A12" s="945" t="s">
        <v>1630</v>
      </c>
      <c r="B12" s="946"/>
      <c r="C12" s="946" t="str">
        <f t="shared" si="0"/>
        <v>121 (-014,-016,-017) (5,9,10 эт)93</v>
      </c>
      <c r="D12" s="949">
        <v>9</v>
      </c>
      <c r="E12" s="949">
        <v>3</v>
      </c>
      <c r="F12" s="949">
        <f t="shared" si="1"/>
        <v>7874.4959999999983</v>
      </c>
      <c r="G12" s="949">
        <f>215*D12*E12</f>
        <v>5805</v>
      </c>
      <c r="H12" s="949">
        <f>132*D12*E12</f>
        <v>3564</v>
      </c>
      <c r="I12" s="949">
        <f t="shared" si="9"/>
        <v>2069.4959999999983</v>
      </c>
      <c r="J12" s="949">
        <f t="shared" si="2"/>
        <v>25.02</v>
      </c>
      <c r="K12" s="949">
        <v>2.78</v>
      </c>
      <c r="L12" s="949">
        <f>22.4*E12</f>
        <v>67.199999999999989</v>
      </c>
      <c r="M12" s="949">
        <v>13.02</v>
      </c>
      <c r="N12" s="949">
        <f t="shared" si="19"/>
        <v>4014.208799999999</v>
      </c>
      <c r="O12" s="950">
        <f t="shared" si="3"/>
        <v>3152.5367999999989</v>
      </c>
      <c r="P12" s="949">
        <f t="shared" si="11"/>
        <v>411</v>
      </c>
      <c r="Q12" s="949">
        <f>13*D12*E12+4*D12</f>
        <v>387</v>
      </c>
      <c r="R12" s="947">
        <f t="shared" si="12"/>
        <v>24</v>
      </c>
      <c r="S12" s="949">
        <f t="shared" si="13"/>
        <v>855.67200000000003</v>
      </c>
      <c r="T12" s="949">
        <f>Q12*2.056</f>
        <v>795.67200000000003</v>
      </c>
      <c r="U12" s="949">
        <f>R12*2.5</f>
        <v>60</v>
      </c>
      <c r="V12" s="949">
        <f t="shared" si="5"/>
        <v>3</v>
      </c>
      <c r="W12" s="949">
        <f t="shared" si="20"/>
        <v>6</v>
      </c>
      <c r="X12" s="949">
        <v>845</v>
      </c>
      <c r="Y12" s="958">
        <v>845</v>
      </c>
      <c r="Z12" s="949">
        <f t="shared" si="16"/>
        <v>1246.0999999999999</v>
      </c>
      <c r="AA12" s="959">
        <f t="shared" si="17"/>
        <v>325.7604</v>
      </c>
      <c r="AB12" s="954">
        <f t="shared" si="18"/>
        <v>160.43999999999997</v>
      </c>
      <c r="AC12" s="955"/>
      <c r="AD12" s="955"/>
      <c r="AE12" s="514"/>
      <c r="AF12" s="514"/>
      <c r="AG12" s="74"/>
      <c r="AH12" s="74"/>
      <c r="AI12" s="74"/>
      <c r="AJ12" s="74"/>
      <c r="AK12" s="74"/>
      <c r="AL12" s="74"/>
      <c r="AM12" s="74"/>
      <c r="AN12" s="74"/>
      <c r="AO12" s="74"/>
      <c r="AP12" s="74"/>
      <c r="AQ12" s="74"/>
      <c r="AR12" s="74"/>
      <c r="AS12" s="74"/>
      <c r="AT12" s="74"/>
    </row>
    <row r="13" spans="1:46" ht="15" customHeight="1" x14ac:dyDescent="0.25">
      <c r="A13" s="945" t="s">
        <v>1630</v>
      </c>
      <c r="B13" s="946"/>
      <c r="C13" s="946" t="str">
        <f t="shared" si="0"/>
        <v>121 (-014,-016,-017) (5,9,10 эт)95</v>
      </c>
      <c r="D13" s="949">
        <v>9</v>
      </c>
      <c r="E13" s="949">
        <v>5</v>
      </c>
      <c r="F13" s="949">
        <f t="shared" si="1"/>
        <v>13124.16</v>
      </c>
      <c r="G13" s="949">
        <f>215*D13*E13</f>
        <v>9675</v>
      </c>
      <c r="H13" s="949">
        <f>132*D13*E13</f>
        <v>5940</v>
      </c>
      <c r="I13" s="949">
        <f t="shared" si="9"/>
        <v>3449.16</v>
      </c>
      <c r="J13" s="949">
        <f t="shared" si="2"/>
        <v>25.02</v>
      </c>
      <c r="K13" s="949">
        <v>2.78</v>
      </c>
      <c r="L13" s="949">
        <f>22.4*E13</f>
        <v>112</v>
      </c>
      <c r="M13" s="949">
        <v>13.02</v>
      </c>
      <c r="N13" s="949">
        <f t="shared" si="19"/>
        <v>6256.0007999999998</v>
      </c>
      <c r="O13" s="950">
        <f t="shared" si="3"/>
        <v>4869.2248</v>
      </c>
      <c r="P13" s="949">
        <f t="shared" si="11"/>
        <v>661</v>
      </c>
      <c r="Q13" s="949">
        <f>13*D13*E13+4*D13</f>
        <v>621</v>
      </c>
      <c r="R13" s="947">
        <f t="shared" si="12"/>
        <v>40</v>
      </c>
      <c r="S13" s="949">
        <f t="shared" si="13"/>
        <v>1376.7760000000001</v>
      </c>
      <c r="T13" s="949">
        <f>Q13*2.056</f>
        <v>1276.7760000000001</v>
      </c>
      <c r="U13" s="949">
        <f>R13*2.5</f>
        <v>100</v>
      </c>
      <c r="V13" s="949">
        <f t="shared" si="5"/>
        <v>5</v>
      </c>
      <c r="W13" s="949">
        <f t="shared" si="20"/>
        <v>10</v>
      </c>
      <c r="X13" s="949">
        <v>1339</v>
      </c>
      <c r="Y13" s="958">
        <v>1339</v>
      </c>
      <c r="Z13" s="949">
        <f t="shared" si="16"/>
        <v>1964.1</v>
      </c>
      <c r="AA13" s="959">
        <f t="shared" si="17"/>
        <v>325.7604</v>
      </c>
      <c r="AB13" s="954">
        <f t="shared" si="18"/>
        <v>250.04</v>
      </c>
      <c r="AC13" s="955"/>
      <c r="AD13" s="955"/>
      <c r="AE13" s="514"/>
      <c r="AF13" s="514"/>
      <c r="AG13" s="74"/>
      <c r="AH13" s="74"/>
      <c r="AI13" s="74"/>
      <c r="AJ13" s="74"/>
      <c r="AK13" s="74"/>
      <c r="AL13" s="74"/>
      <c r="AM13" s="74"/>
      <c r="AN13" s="74"/>
      <c r="AO13" s="74"/>
      <c r="AP13" s="74"/>
      <c r="AQ13" s="74"/>
      <c r="AR13" s="74"/>
      <c r="AS13" s="74"/>
      <c r="AT13" s="74"/>
    </row>
    <row r="14" spans="1:46" ht="15" customHeight="1" x14ac:dyDescent="0.25">
      <c r="A14" s="945" t="s">
        <v>1437</v>
      </c>
      <c r="B14" s="946"/>
      <c r="C14" s="946" t="str">
        <f t="shared" ref="C14" si="21">CONCATENATE(A14,D14,E14)</f>
        <v>I-12594</v>
      </c>
      <c r="D14" s="949">
        <v>9</v>
      </c>
      <c r="E14" s="949">
        <v>4</v>
      </c>
      <c r="F14" s="949">
        <f t="shared" si="1"/>
        <v>10368</v>
      </c>
      <c r="G14" s="949">
        <f>242.2*D14*E14-IF(E14&gt;2,3.2*12*2*D14,0)</f>
        <v>8027.9999999999991</v>
      </c>
      <c r="H14" s="949">
        <f>140*D14*E14-IF(E14&gt;2,3.2*12*2*D14,0)*3/4</f>
        <v>4521.6000000000004</v>
      </c>
      <c r="I14" s="949">
        <f>F14-G14</f>
        <v>2340.0000000000009</v>
      </c>
      <c r="J14" s="949">
        <f t="shared" si="2"/>
        <v>25.02</v>
      </c>
      <c r="K14" s="949">
        <v>2.78</v>
      </c>
      <c r="L14" s="949">
        <f>IF(E14&gt;2,(E14-2)*25.6+2*22.4,E14*22.4)</f>
        <v>96</v>
      </c>
      <c r="M14" s="949">
        <v>12</v>
      </c>
      <c r="N14" s="949">
        <f t="shared" si="19"/>
        <v>5404.32</v>
      </c>
      <c r="O14" s="950">
        <f t="shared" si="3"/>
        <v>4063.4399999999996</v>
      </c>
      <c r="P14" s="949">
        <f t="shared" ref="P14" si="22">Q14+R14</f>
        <v>536</v>
      </c>
      <c r="Q14" s="949">
        <f>14*D14*E14</f>
        <v>504</v>
      </c>
      <c r="R14" s="947">
        <f t="shared" si="12"/>
        <v>32</v>
      </c>
      <c r="S14" s="949">
        <f t="shared" ref="S14:S20" si="23">T14+U14</f>
        <v>1329.6</v>
      </c>
      <c r="T14" s="949">
        <f>Q14*2.56</f>
        <v>1290.24</v>
      </c>
      <c r="U14" s="949">
        <f>R14*1.23</f>
        <v>39.36</v>
      </c>
      <c r="V14" s="949">
        <f t="shared" si="5"/>
        <v>4</v>
      </c>
      <c r="W14" s="949">
        <v>11.28</v>
      </c>
      <c r="X14" s="960">
        <v>1221.3</v>
      </c>
      <c r="Y14" s="960">
        <v>1221.3</v>
      </c>
      <c r="Z14" s="949">
        <f t="shared" si="16"/>
        <v>1761.3</v>
      </c>
      <c r="AA14" s="959">
        <f t="shared" si="17"/>
        <v>300.24</v>
      </c>
      <c r="AB14" s="954">
        <f t="shared" si="18"/>
        <v>216</v>
      </c>
      <c r="AC14" s="955"/>
      <c r="AD14" s="955"/>
      <c r="AE14" s="514"/>
      <c r="AF14" s="514"/>
      <c r="AG14" s="74"/>
      <c r="AH14" s="74"/>
      <c r="AI14" s="74"/>
      <c r="AJ14" s="74"/>
      <c r="AK14" s="74"/>
      <c r="AL14" s="74"/>
      <c r="AM14" s="74"/>
      <c r="AN14" s="74"/>
      <c r="AO14" s="74"/>
      <c r="AP14" s="74"/>
      <c r="AQ14" s="74"/>
      <c r="AR14" s="74"/>
      <c r="AS14" s="74"/>
      <c r="AT14" s="74"/>
    </row>
    <row r="15" spans="1:46" ht="12" customHeight="1" x14ac:dyDescent="0.25">
      <c r="A15" s="961" t="s">
        <v>1631</v>
      </c>
      <c r="B15" s="946"/>
      <c r="C15" s="946" t="str">
        <f>CONCATENATE(A15,D15,E15)</f>
        <v>I-447 (4,5 эт)43</v>
      </c>
      <c r="D15" s="949">
        <f>4</f>
        <v>4</v>
      </c>
      <c r="E15" s="949">
        <f>3</f>
        <v>3</v>
      </c>
      <c r="F15" s="949">
        <f t="shared" si="1"/>
        <v>2450.88</v>
      </c>
      <c r="G15" s="950">
        <f>161.55*D15*E15</f>
        <v>1938.6000000000001</v>
      </c>
      <c r="H15" s="949">
        <f>105.11*D15*E15</f>
        <v>1261.32</v>
      </c>
      <c r="I15" s="949">
        <f>F15-G15</f>
        <v>512.28</v>
      </c>
      <c r="J15" s="949">
        <f t="shared" si="2"/>
        <v>11.2</v>
      </c>
      <c r="K15" s="949">
        <v>2.8</v>
      </c>
      <c r="L15" s="949">
        <f>17.02*E15</f>
        <v>51.06</v>
      </c>
      <c r="M15" s="949">
        <v>12</v>
      </c>
      <c r="N15" s="950">
        <f t="shared" ref="N15:N23" si="24">(L15+M15)*2*J15</f>
        <v>1412.5439999999999</v>
      </c>
      <c r="O15" s="950">
        <f t="shared" si="3"/>
        <v>1062.7439999999999</v>
      </c>
      <c r="P15" s="950">
        <f t="shared" ref="P15:P20" si="25">Q15+R15</f>
        <v>165</v>
      </c>
      <c r="Q15" s="950">
        <f>11*D15*E15+2*2*D15+IF(E15&gt;=3,(E15-2)*D15*2,0)</f>
        <v>156</v>
      </c>
      <c r="R15" s="947">
        <f t="shared" si="12"/>
        <v>9</v>
      </c>
      <c r="S15" s="950">
        <f t="shared" si="23"/>
        <v>343.8</v>
      </c>
      <c r="T15" s="950">
        <f>(1.8*2/3+1.8*3/2*1/3)*Q15</f>
        <v>327.60000000000002</v>
      </c>
      <c r="U15" s="950">
        <f>(1.8)*R15</f>
        <v>16.2</v>
      </c>
      <c r="V15" s="950">
        <f t="shared" si="5"/>
        <v>3</v>
      </c>
      <c r="W15" s="949">
        <f t="shared" ref="W15:W18" si="26">V15*2</f>
        <v>6</v>
      </c>
      <c r="X15" s="950">
        <f t="shared" ref="X15:X34" si="27">$L15*$M15</f>
        <v>612.72</v>
      </c>
      <c r="Y15" s="958">
        <f t="shared" ref="Y15:Y34" si="28">$L15*$M15</f>
        <v>612.72</v>
      </c>
      <c r="Z15" s="949">
        <f t="shared" si="16"/>
        <v>928.02</v>
      </c>
      <c r="AA15" s="959">
        <f t="shared" si="17"/>
        <v>134.39999999999998</v>
      </c>
      <c r="AB15" s="954">
        <f t="shared" si="18"/>
        <v>126.12</v>
      </c>
      <c r="AC15" s="955"/>
      <c r="AD15" s="955"/>
      <c r="AE15" s="514"/>
      <c r="AF15" s="514"/>
      <c r="AG15" s="74"/>
      <c r="AH15" s="74"/>
      <c r="AI15" s="74"/>
      <c r="AJ15" s="74"/>
      <c r="AK15" s="74"/>
      <c r="AL15" s="74"/>
      <c r="AM15" s="74"/>
      <c r="AN15" s="74"/>
      <c r="AO15" s="74"/>
      <c r="AP15" s="74"/>
      <c r="AQ15" s="74"/>
      <c r="AR15" s="74"/>
      <c r="AS15" s="74"/>
      <c r="AT15" s="74"/>
    </row>
    <row r="16" spans="1:46" ht="12" customHeight="1" x14ac:dyDescent="0.25">
      <c r="A16" s="961" t="s">
        <v>1631</v>
      </c>
      <c r="B16" s="946"/>
      <c r="C16" s="946" t="str">
        <f>CONCATENATE(A16,D16,E16)</f>
        <v>I-447 (4,5 эт)54</v>
      </c>
      <c r="D16" s="949">
        <v>5</v>
      </c>
      <c r="E16" s="949">
        <v>4</v>
      </c>
      <c r="F16" s="949">
        <f t="shared" si="1"/>
        <v>4032.0000000000005</v>
      </c>
      <c r="G16" s="950">
        <f>161.55*D16*E16</f>
        <v>3231</v>
      </c>
      <c r="H16" s="949">
        <f>105.11*D16*E16</f>
        <v>2102.1999999999998</v>
      </c>
      <c r="I16" s="949">
        <f>F16-G16</f>
        <v>801.00000000000045</v>
      </c>
      <c r="J16" s="949">
        <f t="shared" si="2"/>
        <v>14</v>
      </c>
      <c r="K16" s="949">
        <v>2.8</v>
      </c>
      <c r="L16" s="949">
        <f>16.8*E16</f>
        <v>67.2</v>
      </c>
      <c r="M16" s="949">
        <v>12</v>
      </c>
      <c r="N16" s="950">
        <f t="shared" ref="N16" si="29">(L16+M16)*2*J16</f>
        <v>2217.6</v>
      </c>
      <c r="O16" s="950">
        <f t="shared" si="3"/>
        <v>1634.8</v>
      </c>
      <c r="P16" s="950">
        <f t="shared" ref="P16" si="30">Q16+R16</f>
        <v>276</v>
      </c>
      <c r="Q16" s="950">
        <f>11*D16*E16+2*2*D16+IF(E16&gt;=3,(E16-2)*D16*2,0)</f>
        <v>260</v>
      </c>
      <c r="R16" s="947">
        <f t="shared" si="12"/>
        <v>16</v>
      </c>
      <c r="S16" s="950">
        <f t="shared" si="23"/>
        <v>574.79999999999995</v>
      </c>
      <c r="T16" s="950">
        <f>(1.8*2/3+1.8*3/2*1/3)*Q16</f>
        <v>546</v>
      </c>
      <c r="U16" s="950">
        <f>(1.8)*R16</f>
        <v>28.8</v>
      </c>
      <c r="V16" s="950">
        <f t="shared" si="5"/>
        <v>4</v>
      </c>
      <c r="W16" s="949">
        <f t="shared" si="26"/>
        <v>8</v>
      </c>
      <c r="X16" s="950">
        <f t="shared" si="27"/>
        <v>806.40000000000009</v>
      </c>
      <c r="Y16" s="958">
        <f t="shared" si="28"/>
        <v>806.40000000000009</v>
      </c>
      <c r="Z16" s="949">
        <f t="shared" si="16"/>
        <v>1202.4000000000001</v>
      </c>
      <c r="AA16" s="959">
        <f t="shared" si="17"/>
        <v>168</v>
      </c>
      <c r="AB16" s="954">
        <f t="shared" si="18"/>
        <v>158.4</v>
      </c>
      <c r="AC16" s="955"/>
      <c r="AD16" s="955"/>
      <c r="AE16" s="514"/>
      <c r="AF16" s="514"/>
      <c r="AG16" s="74"/>
      <c r="AH16" s="74"/>
      <c r="AI16" s="74"/>
      <c r="AJ16" s="74"/>
      <c r="AK16" s="74"/>
      <c r="AL16" s="74"/>
      <c r="AM16" s="74"/>
      <c r="AN16" s="74"/>
      <c r="AO16" s="74"/>
      <c r="AP16" s="74"/>
      <c r="AQ16" s="74"/>
      <c r="AR16" s="74"/>
      <c r="AS16" s="74"/>
      <c r="AT16" s="74"/>
    </row>
    <row r="17" spans="1:46" ht="12" customHeight="1" x14ac:dyDescent="0.25">
      <c r="A17" s="962" t="s">
        <v>1441</v>
      </c>
      <c r="B17" s="946"/>
      <c r="C17" s="946" t="str">
        <f t="shared" ref="C17:C23" si="31">CONCATENATE(A17,D17,E17)</f>
        <v>I-447С-26 (башня)91</v>
      </c>
      <c r="D17" s="950">
        <f>9</f>
        <v>9</v>
      </c>
      <c r="E17" s="950">
        <f>1</f>
        <v>1</v>
      </c>
      <c r="F17" s="949">
        <v>2387</v>
      </c>
      <c r="G17" s="950">
        <v>2127</v>
      </c>
      <c r="H17" s="949">
        <f>1421</f>
        <v>1421</v>
      </c>
      <c r="I17" s="949">
        <f t="shared" ref="I17" si="32">F17-G17</f>
        <v>260</v>
      </c>
      <c r="J17" s="949">
        <f t="shared" si="2"/>
        <v>25.2</v>
      </c>
      <c r="K17" s="949">
        <v>2.8</v>
      </c>
      <c r="L17" s="949">
        <v>16.52</v>
      </c>
      <c r="M17" s="949">
        <v>18.100000000000001</v>
      </c>
      <c r="N17" s="950">
        <f t="shared" si="24"/>
        <v>1744.8480000000002</v>
      </c>
      <c r="O17" s="950">
        <f t="shared" si="3"/>
        <v>1407.1480000000001</v>
      </c>
      <c r="P17" s="950">
        <f t="shared" si="25"/>
        <v>161</v>
      </c>
      <c r="Q17" s="950">
        <f>17*D17</f>
        <v>153</v>
      </c>
      <c r="R17" s="947">
        <f t="shared" si="12"/>
        <v>8</v>
      </c>
      <c r="S17" s="950">
        <f t="shared" si="23"/>
        <v>335.7</v>
      </c>
      <c r="T17" s="950">
        <f>2.1*Q17</f>
        <v>321.3</v>
      </c>
      <c r="U17" s="950">
        <f t="shared" ref="U17:U20" si="33">(1.8)*R17</f>
        <v>14.4</v>
      </c>
      <c r="V17" s="950">
        <f t="shared" si="5"/>
        <v>1</v>
      </c>
      <c r="W17" s="949">
        <f t="shared" si="26"/>
        <v>2</v>
      </c>
      <c r="X17" s="950">
        <f t="shared" si="27"/>
        <v>299.012</v>
      </c>
      <c r="Y17" s="958">
        <f t="shared" si="28"/>
        <v>299.012</v>
      </c>
      <c r="Z17" s="949">
        <f t="shared" si="16"/>
        <v>472.11200000000002</v>
      </c>
      <c r="AA17" s="959">
        <f t="shared" si="17"/>
        <v>456.12</v>
      </c>
      <c r="AB17" s="954">
        <f t="shared" si="18"/>
        <v>69.240000000000009</v>
      </c>
      <c r="AC17" s="955"/>
      <c r="AD17" s="955"/>
      <c r="AE17" s="514"/>
      <c r="AF17" s="514"/>
      <c r="AG17" s="74"/>
      <c r="AH17" s="74"/>
      <c r="AI17" s="74"/>
      <c r="AJ17" s="74"/>
      <c r="AK17" s="74"/>
      <c r="AL17" s="74"/>
      <c r="AM17" s="74"/>
      <c r="AN17" s="74"/>
      <c r="AO17" s="74"/>
      <c r="AP17" s="74"/>
      <c r="AQ17" s="74"/>
      <c r="AR17" s="74"/>
      <c r="AS17" s="74"/>
      <c r="AT17" s="74"/>
    </row>
    <row r="18" spans="1:46" ht="12" customHeight="1" x14ac:dyDescent="0.25">
      <c r="A18" s="961" t="s">
        <v>1940</v>
      </c>
      <c r="B18" s="946"/>
      <c r="C18" s="946" t="str">
        <f t="shared" si="31"/>
        <v>I-464А (3,4,5 эт)54</v>
      </c>
      <c r="D18" s="949">
        <v>5</v>
      </c>
      <c r="E18" s="949">
        <v>4</v>
      </c>
      <c r="F18" s="949">
        <f t="shared" ref="F18:F47" si="34">L18*M18*D18</f>
        <v>4344</v>
      </c>
      <c r="G18" s="950">
        <f>177.55*$D18*$E18</f>
        <v>3551</v>
      </c>
      <c r="H18" s="949">
        <f>146.3*$D18*$E18</f>
        <v>2926</v>
      </c>
      <c r="I18" s="949">
        <f>F18-G18</f>
        <v>793</v>
      </c>
      <c r="J18" s="949">
        <f t="shared" si="2"/>
        <v>13.5</v>
      </c>
      <c r="K18" s="949">
        <v>2.7</v>
      </c>
      <c r="L18" s="949">
        <f>IF(E18&gt;2,(E18-2)*19.4+2*16.8,E18*16.8)</f>
        <v>72.400000000000006</v>
      </c>
      <c r="M18" s="949">
        <v>12</v>
      </c>
      <c r="N18" s="950">
        <f t="shared" si="24"/>
        <v>2278.8000000000002</v>
      </c>
      <c r="O18" s="950">
        <f t="shared" si="3"/>
        <v>1802.6000000000001</v>
      </c>
      <c r="P18" s="950">
        <f t="shared" si="25"/>
        <v>276</v>
      </c>
      <c r="Q18" s="950">
        <f>13*D18*E18</f>
        <v>260</v>
      </c>
      <c r="R18" s="947">
        <f t="shared" si="12"/>
        <v>16</v>
      </c>
      <c r="S18" s="950">
        <f t="shared" si="23"/>
        <v>468.2</v>
      </c>
      <c r="T18" s="950">
        <f>1.69*Q18</f>
        <v>439.4</v>
      </c>
      <c r="U18" s="950">
        <f t="shared" si="33"/>
        <v>28.8</v>
      </c>
      <c r="V18" s="950">
        <f t="shared" si="5"/>
        <v>4</v>
      </c>
      <c r="W18" s="949">
        <f t="shared" si="26"/>
        <v>8</v>
      </c>
      <c r="X18" s="950">
        <f t="shared" si="27"/>
        <v>868.80000000000007</v>
      </c>
      <c r="Y18" s="958">
        <f t="shared" si="28"/>
        <v>868.80000000000007</v>
      </c>
      <c r="Z18" s="949">
        <f t="shared" si="16"/>
        <v>1290.8000000000002</v>
      </c>
      <c r="AA18" s="959">
        <f t="shared" si="17"/>
        <v>162</v>
      </c>
      <c r="AB18" s="954">
        <f t="shared" si="18"/>
        <v>168.8</v>
      </c>
      <c r="AC18" s="955"/>
      <c r="AD18" s="955"/>
      <c r="AE18" s="514"/>
      <c r="AF18" s="514"/>
      <c r="AG18" s="74"/>
      <c r="AH18" s="74"/>
      <c r="AI18" s="74"/>
      <c r="AJ18" s="74"/>
      <c r="AK18" s="74"/>
      <c r="AL18" s="74"/>
      <c r="AM18" s="74"/>
      <c r="AN18" s="74"/>
      <c r="AO18" s="74"/>
      <c r="AP18" s="74"/>
      <c r="AQ18" s="74"/>
      <c r="AR18" s="74"/>
      <c r="AS18" s="74"/>
      <c r="AT18" s="74"/>
    </row>
    <row r="19" spans="1:46" ht="12" customHeight="1" x14ac:dyDescent="0.25">
      <c r="A19" s="961" t="s">
        <v>1941</v>
      </c>
      <c r="B19" s="946"/>
      <c r="C19" s="946" t="str">
        <f t="shared" ref="C19" si="35">CONCATENATE(A19,D19,E19)</f>
        <v>I-464А17 (5 эт, 60 кв)54</v>
      </c>
      <c r="D19" s="949">
        <v>5</v>
      </c>
      <c r="E19" s="949">
        <v>4</v>
      </c>
      <c r="F19" s="949">
        <f t="shared" si="34"/>
        <v>3640.3199999999997</v>
      </c>
      <c r="G19" s="950">
        <f>IF(E19&gt;=2,(E19-2)*D19*136+2*D19*170.3,E19*D19*170.3)</f>
        <v>3063</v>
      </c>
      <c r="H19" s="949">
        <f>IF(E19&gt;=2,(E19-2)*D19*91.9+2*D19*123.1,E19*D19*123.1)</f>
        <v>2150</v>
      </c>
      <c r="I19" s="949">
        <f>F19-G19</f>
        <v>577.31999999999971</v>
      </c>
      <c r="J19" s="949">
        <f t="shared" si="2"/>
        <v>13.5</v>
      </c>
      <c r="K19" s="949">
        <v>2.7</v>
      </c>
      <c r="L19" s="949">
        <f>IF(E19&gt;2,(E19-2)*14.2+2*17.4,E19*17.4)</f>
        <v>63.199999999999996</v>
      </c>
      <c r="M19" s="949">
        <v>11.52</v>
      </c>
      <c r="N19" s="950">
        <f t="shared" ref="N19" si="36">(L19+M19)*2*J19</f>
        <v>2017.44</v>
      </c>
      <c r="O19" s="950">
        <f t="shared" si="3"/>
        <v>1608.8400000000001</v>
      </c>
      <c r="P19" s="950">
        <f t="shared" ref="P19" si="37">Q19+R19</f>
        <v>236</v>
      </c>
      <c r="Q19" s="950">
        <f>9*D19*E19+2*2*D19+2*2*D19</f>
        <v>220</v>
      </c>
      <c r="R19" s="947">
        <f t="shared" si="12"/>
        <v>16</v>
      </c>
      <c r="S19" s="950">
        <f t="shared" ref="S19" si="38">T19+U19</f>
        <v>400.6</v>
      </c>
      <c r="T19" s="950">
        <f>1.69*Q19</f>
        <v>371.8</v>
      </c>
      <c r="U19" s="950">
        <f t="shared" ref="U19" si="39">(1.8)*R19</f>
        <v>28.8</v>
      </c>
      <c r="V19" s="950">
        <f t="shared" si="5"/>
        <v>4</v>
      </c>
      <c r="W19" s="949">
        <f t="shared" ref="W19" si="40">V19*2</f>
        <v>8</v>
      </c>
      <c r="X19" s="950">
        <f t="shared" si="27"/>
        <v>728.06399999999996</v>
      </c>
      <c r="Y19" s="958">
        <f t="shared" si="28"/>
        <v>728.06399999999996</v>
      </c>
      <c r="Z19" s="949">
        <f t="shared" ref="Z19" si="41">Y19+(L19+M19)*2*2.5</f>
        <v>1101.664</v>
      </c>
      <c r="AA19" s="959">
        <f t="shared" si="17"/>
        <v>155.51999999999998</v>
      </c>
      <c r="AB19" s="954">
        <f t="shared" si="18"/>
        <v>149.44</v>
      </c>
      <c r="AC19" s="955"/>
      <c r="AD19" s="955"/>
      <c r="AE19" s="514"/>
      <c r="AF19" s="514"/>
      <c r="AG19" s="74"/>
      <c r="AH19" s="74"/>
      <c r="AI19" s="74"/>
      <c r="AJ19" s="74"/>
      <c r="AK19" s="74"/>
      <c r="AL19" s="74"/>
      <c r="AM19" s="74"/>
      <c r="AN19" s="74"/>
      <c r="AO19" s="74"/>
      <c r="AP19" s="74"/>
      <c r="AQ19" s="74"/>
      <c r="AR19" s="74"/>
      <c r="AS19" s="74"/>
      <c r="AT19" s="74"/>
    </row>
    <row r="20" spans="1:46" ht="12" customHeight="1" x14ac:dyDescent="0.25">
      <c r="A20" s="961" t="s">
        <v>1490</v>
      </c>
      <c r="B20" s="946"/>
      <c r="C20" s="946" t="str">
        <f t="shared" si="31"/>
        <v>I-464Д (9эт)-83,-10192</v>
      </c>
      <c r="D20" s="949">
        <v>9</v>
      </c>
      <c r="E20" s="949">
        <v>2</v>
      </c>
      <c r="F20" s="949">
        <f t="shared" si="34"/>
        <v>5464.8</v>
      </c>
      <c r="G20" s="960">
        <f>225*D20*E20</f>
        <v>4050</v>
      </c>
      <c r="H20" s="960">
        <f>144.8*D20*E20</f>
        <v>2606.4</v>
      </c>
      <c r="I20" s="949">
        <f>F20-G20</f>
        <v>1414.8000000000002</v>
      </c>
      <c r="J20" s="949">
        <f t="shared" si="2"/>
        <v>25.650000000000002</v>
      </c>
      <c r="K20" s="949">
        <v>2.85</v>
      </c>
      <c r="L20" s="949">
        <f>22*E20</f>
        <v>44</v>
      </c>
      <c r="M20" s="949">
        <v>13.8</v>
      </c>
      <c r="N20" s="950">
        <f t="shared" si="24"/>
        <v>2965.1400000000003</v>
      </c>
      <c r="O20" s="950">
        <f t="shared" si="3"/>
        <v>2444.8200000000002</v>
      </c>
      <c r="P20" s="950">
        <f t="shared" si="25"/>
        <v>304</v>
      </c>
      <c r="Q20" s="950">
        <f>16*D20*E20</f>
        <v>288</v>
      </c>
      <c r="R20" s="947">
        <f t="shared" si="12"/>
        <v>16</v>
      </c>
      <c r="S20" s="950">
        <f t="shared" si="23"/>
        <v>515.52</v>
      </c>
      <c r="T20" s="950">
        <f>1.69*Q20</f>
        <v>486.71999999999997</v>
      </c>
      <c r="U20" s="950">
        <f t="shared" si="33"/>
        <v>28.8</v>
      </c>
      <c r="V20" s="950">
        <f t="shared" si="5"/>
        <v>2</v>
      </c>
      <c r="W20" s="950">
        <v>4.8</v>
      </c>
      <c r="X20" s="950">
        <f t="shared" si="27"/>
        <v>607.20000000000005</v>
      </c>
      <c r="Y20" s="958">
        <f t="shared" si="28"/>
        <v>607.20000000000005</v>
      </c>
      <c r="Z20" s="949">
        <f t="shared" si="16"/>
        <v>896.2</v>
      </c>
      <c r="AA20" s="959">
        <f t="shared" si="17"/>
        <v>353.97</v>
      </c>
      <c r="AB20" s="954">
        <f t="shared" si="18"/>
        <v>115.6</v>
      </c>
      <c r="AC20" s="955"/>
      <c r="AD20" s="955"/>
      <c r="AE20" s="514"/>
      <c r="AF20" s="514"/>
      <c r="AG20" s="74"/>
      <c r="AH20" s="74"/>
      <c r="AI20" s="74"/>
      <c r="AJ20" s="74"/>
      <c r="AK20" s="74"/>
      <c r="AL20" s="74"/>
      <c r="AM20" s="74"/>
      <c r="AN20" s="74"/>
      <c r="AO20" s="74"/>
      <c r="AP20" s="74"/>
      <c r="AQ20" s="74"/>
      <c r="AR20" s="74"/>
      <c r="AS20" s="74"/>
      <c r="AT20" s="74"/>
    </row>
    <row r="21" spans="1:46" s="963" customFormat="1" ht="12" customHeight="1" x14ac:dyDescent="0.25">
      <c r="A21" s="961" t="s">
        <v>1433</v>
      </c>
      <c r="B21" s="946"/>
      <c r="C21" s="946" t="str">
        <f t="shared" si="31"/>
        <v>I-51054</v>
      </c>
      <c r="D21" s="949">
        <v>5</v>
      </c>
      <c r="E21" s="949">
        <v>4</v>
      </c>
      <c r="F21" s="949">
        <f t="shared" si="34"/>
        <v>4267.2000000000007</v>
      </c>
      <c r="G21" s="950">
        <f>IF(E21&gt;2,2*163.2+(E21-2)*189.7,E21*163.2)*D21</f>
        <v>3529</v>
      </c>
      <c r="H21" s="949">
        <f>IF(E21&gt;2,2*113.3+(E21-2)*139.2,E21*113.3)*D21</f>
        <v>2525</v>
      </c>
      <c r="I21" s="949">
        <f t="shared" ref="I21:I24" si="42">F21-G21</f>
        <v>738.20000000000073</v>
      </c>
      <c r="J21" s="949">
        <f t="shared" si="2"/>
        <v>13.899999999999999</v>
      </c>
      <c r="K21" s="949">
        <v>2.78</v>
      </c>
      <c r="L21" s="949">
        <f t="shared" ref="L21:L30" si="43">IF(E21&gt;2,2*16.4+(E21-2)*19.16,E21*16.4)</f>
        <v>71.12</v>
      </c>
      <c r="M21" s="949">
        <v>12</v>
      </c>
      <c r="N21" s="950">
        <f t="shared" si="24"/>
        <v>2310.7359999999999</v>
      </c>
      <c r="O21" s="950">
        <f t="shared" si="3"/>
        <v>1727.9359999999999</v>
      </c>
      <c r="P21" s="949">
        <f t="shared" ref="P21" si="44">Q21+R21</f>
        <v>276</v>
      </c>
      <c r="Q21" s="950">
        <f>13*D21*E21</f>
        <v>260</v>
      </c>
      <c r="R21" s="947">
        <f t="shared" si="12"/>
        <v>16</v>
      </c>
      <c r="S21" s="949">
        <f t="shared" ref="S21:S24" si="45">T21+U21</f>
        <v>574.79999999999995</v>
      </c>
      <c r="T21" s="950">
        <f>Q21*(1.8*2/3+2.7*1/3)</f>
        <v>546</v>
      </c>
      <c r="U21" s="950">
        <f>1.8*R21</f>
        <v>28.8</v>
      </c>
      <c r="V21" s="950">
        <f t="shared" si="5"/>
        <v>4</v>
      </c>
      <c r="W21" s="949">
        <f t="shared" ref="W21:W34" si="46">V21*2</f>
        <v>8</v>
      </c>
      <c r="X21" s="950">
        <f t="shared" si="27"/>
        <v>853.44</v>
      </c>
      <c r="Y21" s="958">
        <f t="shared" si="28"/>
        <v>853.44</v>
      </c>
      <c r="Z21" s="949">
        <f t="shared" si="16"/>
        <v>1269.04</v>
      </c>
      <c r="AA21" s="959">
        <f t="shared" si="17"/>
        <v>166.79999999999998</v>
      </c>
      <c r="AB21" s="954">
        <f t="shared" si="18"/>
        <v>166.24</v>
      </c>
      <c r="AC21" s="955"/>
      <c r="AD21" s="955"/>
      <c r="AE21" s="514"/>
      <c r="AF21" s="514"/>
      <c r="AG21" s="74"/>
      <c r="AH21" s="74"/>
      <c r="AI21" s="74"/>
      <c r="AJ21" s="74"/>
      <c r="AK21" s="74"/>
      <c r="AL21" s="74"/>
      <c r="AM21" s="74"/>
      <c r="AN21" s="74"/>
      <c r="AO21" s="74"/>
      <c r="AP21" s="74"/>
      <c r="AQ21" s="74"/>
      <c r="AR21" s="74"/>
      <c r="AS21" s="74"/>
      <c r="AT21" s="74"/>
    </row>
    <row r="22" spans="1:46" ht="12" customHeight="1" x14ac:dyDescent="0.25">
      <c r="A22" s="961" t="s">
        <v>1433</v>
      </c>
      <c r="B22" s="946"/>
      <c r="C22" s="946" t="str">
        <f t="shared" si="31"/>
        <v>I-51053</v>
      </c>
      <c r="D22" s="949">
        <f>5</f>
        <v>5</v>
      </c>
      <c r="E22" s="949">
        <f>3</f>
        <v>3</v>
      </c>
      <c r="F22" s="949">
        <f t="shared" si="34"/>
        <v>3117.6</v>
      </c>
      <c r="G22" s="950">
        <f>IF(E22&gt;2,2*163.2+(E22-2)*189.7,E22*163.2)*D22</f>
        <v>2580.4999999999995</v>
      </c>
      <c r="H22" s="949">
        <f>IF(E22&gt;2,2*113.3+(E22-2)*139.2,E22*113.3)*D22</f>
        <v>1828.9999999999998</v>
      </c>
      <c r="I22" s="949">
        <f t="shared" si="42"/>
        <v>537.10000000000036</v>
      </c>
      <c r="J22" s="949">
        <f t="shared" si="2"/>
        <v>13.899999999999999</v>
      </c>
      <c r="K22" s="949">
        <v>2.78</v>
      </c>
      <c r="L22" s="949">
        <f t="shared" si="43"/>
        <v>51.959999999999994</v>
      </c>
      <c r="M22" s="949">
        <v>12</v>
      </c>
      <c r="N22" s="950">
        <f t="shared" si="24"/>
        <v>1778.0879999999997</v>
      </c>
      <c r="O22" s="950">
        <f t="shared" si="3"/>
        <v>1340.9879999999998</v>
      </c>
      <c r="P22" s="949">
        <f t="shared" ref="P22" si="47">Q22+R22</f>
        <v>207</v>
      </c>
      <c r="Q22" s="950">
        <f>13*D22*E22</f>
        <v>195</v>
      </c>
      <c r="R22" s="947">
        <f t="shared" si="12"/>
        <v>12</v>
      </c>
      <c r="S22" s="949">
        <f t="shared" si="45"/>
        <v>431.1</v>
      </c>
      <c r="T22" s="950">
        <f t="shared" ref="T22:T23" si="48">Q22*(1.8*2/3+2.7*1/3)</f>
        <v>409.5</v>
      </c>
      <c r="U22" s="950">
        <f t="shared" ref="U22:U23" si="49">1.8*R22</f>
        <v>21.6</v>
      </c>
      <c r="V22" s="950">
        <f t="shared" si="5"/>
        <v>3</v>
      </c>
      <c r="W22" s="949">
        <f t="shared" si="46"/>
        <v>6</v>
      </c>
      <c r="X22" s="950">
        <f t="shared" si="27"/>
        <v>623.52</v>
      </c>
      <c r="Y22" s="958">
        <f t="shared" si="28"/>
        <v>623.52</v>
      </c>
      <c r="Z22" s="949">
        <f t="shared" si="16"/>
        <v>943.31999999999994</v>
      </c>
      <c r="AA22" s="959">
        <f t="shared" si="17"/>
        <v>166.79999999999998</v>
      </c>
      <c r="AB22" s="954">
        <f t="shared" si="18"/>
        <v>127.91999999999999</v>
      </c>
      <c r="AC22" s="955"/>
      <c r="AD22" s="955"/>
      <c r="AE22" s="514"/>
      <c r="AF22" s="514"/>
      <c r="AG22" s="74"/>
      <c r="AH22" s="74"/>
      <c r="AI22" s="74"/>
      <c r="AJ22" s="74"/>
      <c r="AK22" s="74"/>
      <c r="AL22" s="74"/>
      <c r="AM22" s="74"/>
      <c r="AN22" s="74"/>
      <c r="AO22" s="74"/>
      <c r="AP22" s="74"/>
      <c r="AQ22" s="74"/>
      <c r="AR22" s="74"/>
      <c r="AS22" s="74"/>
      <c r="AT22" s="74"/>
    </row>
    <row r="23" spans="1:46" ht="12" customHeight="1" x14ac:dyDescent="0.25">
      <c r="A23" s="961" t="s">
        <v>1433</v>
      </c>
      <c r="B23" s="946"/>
      <c r="C23" s="946" t="str">
        <f t="shared" si="31"/>
        <v>I-51056</v>
      </c>
      <c r="D23" s="949">
        <f>5</f>
        <v>5</v>
      </c>
      <c r="E23" s="949">
        <f>6</f>
        <v>6</v>
      </c>
      <c r="F23" s="949">
        <f t="shared" si="34"/>
        <v>6566.4</v>
      </c>
      <c r="G23" s="950">
        <f>IF(E23&gt;2,2*163.2+(E23-2)*189.7,E23*163.2)*D23</f>
        <v>5425.9999999999991</v>
      </c>
      <c r="H23" s="949">
        <f>IF(E23&gt;2,2*113.3+(E23-2)*139.2,E23*113.3)*D23</f>
        <v>3917</v>
      </c>
      <c r="I23" s="949">
        <f t="shared" si="42"/>
        <v>1140.4000000000005</v>
      </c>
      <c r="J23" s="949">
        <f t="shared" si="2"/>
        <v>13.899999999999999</v>
      </c>
      <c r="K23" s="949">
        <v>2.78</v>
      </c>
      <c r="L23" s="949">
        <f t="shared" si="43"/>
        <v>109.44</v>
      </c>
      <c r="M23" s="949">
        <v>12</v>
      </c>
      <c r="N23" s="950">
        <f t="shared" si="24"/>
        <v>3376.0319999999997</v>
      </c>
      <c r="O23" s="950">
        <f t="shared" si="3"/>
        <v>2501.8319999999994</v>
      </c>
      <c r="P23" s="949">
        <f t="shared" ref="P23" si="50">Q23+R23</f>
        <v>414</v>
      </c>
      <c r="Q23" s="950">
        <f>13*D23*E23</f>
        <v>390</v>
      </c>
      <c r="R23" s="947">
        <f t="shared" si="12"/>
        <v>24</v>
      </c>
      <c r="S23" s="949">
        <f t="shared" si="45"/>
        <v>862.2</v>
      </c>
      <c r="T23" s="950">
        <f t="shared" si="48"/>
        <v>819</v>
      </c>
      <c r="U23" s="950">
        <f t="shared" si="49"/>
        <v>43.2</v>
      </c>
      <c r="V23" s="950">
        <f t="shared" si="5"/>
        <v>6</v>
      </c>
      <c r="W23" s="949">
        <f t="shared" si="46"/>
        <v>12</v>
      </c>
      <c r="X23" s="950">
        <f t="shared" si="27"/>
        <v>1313.28</v>
      </c>
      <c r="Y23" s="958">
        <f t="shared" si="28"/>
        <v>1313.28</v>
      </c>
      <c r="Z23" s="949">
        <f t="shared" si="16"/>
        <v>1920.48</v>
      </c>
      <c r="AA23" s="959">
        <f t="shared" si="17"/>
        <v>166.79999999999998</v>
      </c>
      <c r="AB23" s="954">
        <f t="shared" si="18"/>
        <v>242.88</v>
      </c>
      <c r="AC23" s="955"/>
      <c r="AD23" s="955"/>
      <c r="AE23" s="514"/>
      <c r="AF23" s="514"/>
      <c r="AG23" s="74"/>
      <c r="AH23" s="74"/>
      <c r="AI23" s="74"/>
      <c r="AJ23" s="74"/>
      <c r="AK23" s="74"/>
      <c r="AL23" s="74"/>
      <c r="AM23" s="74"/>
      <c r="AN23" s="74"/>
      <c r="AO23" s="74"/>
      <c r="AP23" s="74"/>
      <c r="AQ23" s="74"/>
      <c r="AR23" s="74"/>
      <c r="AS23" s="74"/>
      <c r="AT23" s="74"/>
    </row>
    <row r="24" spans="1:46" s="963" customFormat="1" ht="12" customHeight="1" x14ac:dyDescent="0.25">
      <c r="A24" s="961" t="s">
        <v>1434</v>
      </c>
      <c r="B24" s="946"/>
      <c r="C24" s="946" t="str">
        <f>CONCATENATE(A24,D24,E24)</f>
        <v>I-51154</v>
      </c>
      <c r="D24" s="949">
        <f>5</f>
        <v>5</v>
      </c>
      <c r="E24" s="949">
        <f>4</f>
        <v>4</v>
      </c>
      <c r="F24" s="949">
        <f t="shared" si="34"/>
        <v>4267.2000000000007</v>
      </c>
      <c r="G24" s="949">
        <f>IF(E24&gt;2,2*155.1+(E24-2)*185.1,E24*155.1)*D24</f>
        <v>3402</v>
      </c>
      <c r="H24" s="949">
        <f>IF(E24&gt;2,2*103.6+(E24-2)*133.6,E24*103.6)*D24</f>
        <v>2372</v>
      </c>
      <c r="I24" s="949">
        <f t="shared" si="42"/>
        <v>865.20000000000073</v>
      </c>
      <c r="J24" s="949">
        <f t="shared" si="2"/>
        <v>13.899999999999999</v>
      </c>
      <c r="K24" s="949">
        <v>2.78</v>
      </c>
      <c r="L24" s="949">
        <f t="shared" si="43"/>
        <v>71.12</v>
      </c>
      <c r="M24" s="949">
        <v>12</v>
      </c>
      <c r="N24" s="950">
        <f t="shared" ref="N24" si="51">(L24+M24)*2*J24</f>
        <v>2310.7359999999999</v>
      </c>
      <c r="O24" s="950">
        <f t="shared" si="3"/>
        <v>1727.9359999999999</v>
      </c>
      <c r="P24" s="949">
        <f>Q24+R24</f>
        <v>276</v>
      </c>
      <c r="Q24" s="950">
        <f>(5+6)*D24*E24+2*2*D24+IF(E24&gt;=3,(E24-2)*D24*2,0)</f>
        <v>260</v>
      </c>
      <c r="R24" s="947">
        <f t="shared" si="12"/>
        <v>16</v>
      </c>
      <c r="S24" s="949">
        <f t="shared" si="45"/>
        <v>574.79999999999995</v>
      </c>
      <c r="T24" s="950">
        <f>Q24*(1.8*2/3+2.7*1/3)</f>
        <v>546</v>
      </c>
      <c r="U24" s="950">
        <f>1.8*R24</f>
        <v>28.8</v>
      </c>
      <c r="V24" s="950">
        <f t="shared" si="5"/>
        <v>4</v>
      </c>
      <c r="W24" s="949">
        <f t="shared" si="46"/>
        <v>8</v>
      </c>
      <c r="X24" s="950">
        <f t="shared" si="27"/>
        <v>853.44</v>
      </c>
      <c r="Y24" s="958">
        <f t="shared" si="28"/>
        <v>853.44</v>
      </c>
      <c r="Z24" s="949">
        <f t="shared" si="16"/>
        <v>1269.04</v>
      </c>
      <c r="AA24" s="959">
        <f t="shared" si="17"/>
        <v>166.79999999999998</v>
      </c>
      <c r="AB24" s="954">
        <f t="shared" si="18"/>
        <v>166.24</v>
      </c>
      <c r="AC24" s="955"/>
      <c r="AD24" s="955"/>
      <c r="AE24" s="514"/>
      <c r="AF24" s="514"/>
      <c r="AG24" s="74"/>
      <c r="AH24" s="74"/>
      <c r="AI24" s="74"/>
      <c r="AJ24" s="74"/>
      <c r="AK24" s="74"/>
      <c r="AL24" s="74"/>
      <c r="AM24" s="74"/>
      <c r="AN24" s="74"/>
      <c r="AO24" s="74"/>
      <c r="AP24" s="74"/>
      <c r="AQ24" s="74"/>
      <c r="AR24" s="74"/>
      <c r="AS24" s="74"/>
      <c r="AT24" s="74"/>
    </row>
    <row r="25" spans="1:46" s="963" customFormat="1" ht="12" customHeight="1" x14ac:dyDescent="0.25">
      <c r="A25" s="961" t="s">
        <v>1435</v>
      </c>
      <c r="B25" s="946"/>
      <c r="C25" s="946" t="str">
        <f t="shared" ref="C25:C34" si="52">CONCATENATE(A25,D25,E25)</f>
        <v>I-515 (5 эт)53</v>
      </c>
      <c r="D25" s="949">
        <v>5</v>
      </c>
      <c r="E25" s="949">
        <v>3</v>
      </c>
      <c r="F25" s="949">
        <f t="shared" si="34"/>
        <v>3117.6</v>
      </c>
      <c r="G25" s="949">
        <f t="shared" ref="G25:G30" si="53">IF(E25&gt;2,2*163.33+(E25-2)*188.95,E25*163.3)*D25</f>
        <v>2578.0500000000002</v>
      </c>
      <c r="H25" s="949">
        <f t="shared" ref="H25:H30" si="54">IF(E25&gt;2,2*93+(E25-2)*102.3,E25*93)*D25</f>
        <v>1441.5</v>
      </c>
      <c r="I25" s="949">
        <f t="shared" ref="I25:I27" si="55">F25-G25</f>
        <v>539.54999999999973</v>
      </c>
      <c r="J25" s="949">
        <f t="shared" si="2"/>
        <v>13.899999999999999</v>
      </c>
      <c r="K25" s="949">
        <v>2.78</v>
      </c>
      <c r="L25" s="949">
        <f t="shared" si="43"/>
        <v>51.959999999999994</v>
      </c>
      <c r="M25" s="949">
        <v>12</v>
      </c>
      <c r="N25" s="950">
        <f t="shared" ref="N25" si="56">(L25+M25)*2*J25</f>
        <v>1778.0879999999997</v>
      </c>
      <c r="O25" s="950">
        <f t="shared" si="3"/>
        <v>1301.9879999999998</v>
      </c>
      <c r="P25" s="949">
        <f t="shared" ref="P25" si="57">Q25+R25</f>
        <v>207</v>
      </c>
      <c r="Q25" s="949">
        <f t="shared" ref="Q25:Q30" si="58">13*D25*E25</f>
        <v>195</v>
      </c>
      <c r="R25" s="947">
        <f t="shared" si="12"/>
        <v>12</v>
      </c>
      <c r="S25" s="949">
        <f t="shared" ref="S25" si="59">T25+U25</f>
        <v>470.1</v>
      </c>
      <c r="T25" s="950">
        <f t="shared" ref="T25:T30" si="60">(29.9)*D25*E25</f>
        <v>448.5</v>
      </c>
      <c r="U25" s="950">
        <f>1.8*R25</f>
        <v>21.6</v>
      </c>
      <c r="V25" s="950">
        <f t="shared" si="5"/>
        <v>3</v>
      </c>
      <c r="W25" s="949">
        <f t="shared" si="46"/>
        <v>6</v>
      </c>
      <c r="X25" s="950">
        <f t="shared" si="27"/>
        <v>623.52</v>
      </c>
      <c r="Y25" s="958">
        <f t="shared" si="28"/>
        <v>623.52</v>
      </c>
      <c r="Z25" s="949">
        <f t="shared" si="16"/>
        <v>943.31999999999994</v>
      </c>
      <c r="AA25" s="959">
        <f t="shared" si="17"/>
        <v>166.79999999999998</v>
      </c>
      <c r="AB25" s="954">
        <f t="shared" si="18"/>
        <v>127.91999999999999</v>
      </c>
      <c r="AC25" s="955"/>
      <c r="AD25" s="955"/>
      <c r="AE25" s="514"/>
      <c r="AF25" s="514"/>
      <c r="AG25" s="74"/>
      <c r="AH25" s="74"/>
      <c r="AI25" s="74"/>
      <c r="AJ25" s="74"/>
      <c r="AK25" s="74"/>
      <c r="AL25" s="74"/>
      <c r="AM25" s="74"/>
      <c r="AN25" s="74"/>
      <c r="AO25" s="74"/>
      <c r="AP25" s="74"/>
      <c r="AQ25" s="74"/>
      <c r="AR25" s="74"/>
      <c r="AS25" s="74"/>
      <c r="AT25" s="74"/>
    </row>
    <row r="26" spans="1:46" s="963" customFormat="1" ht="12" customHeight="1" x14ac:dyDescent="0.25">
      <c r="A26" s="961" t="s">
        <v>1435</v>
      </c>
      <c r="B26" s="946"/>
      <c r="C26" s="946" t="str">
        <f t="shared" si="52"/>
        <v>I-515 (5 эт)54</v>
      </c>
      <c r="D26" s="949">
        <v>5</v>
      </c>
      <c r="E26" s="949">
        <v>4</v>
      </c>
      <c r="F26" s="949">
        <f t="shared" si="34"/>
        <v>4267.2000000000007</v>
      </c>
      <c r="G26" s="949">
        <f t="shared" si="53"/>
        <v>3522.7999999999997</v>
      </c>
      <c r="H26" s="949">
        <f t="shared" si="54"/>
        <v>1953</v>
      </c>
      <c r="I26" s="949">
        <f t="shared" si="55"/>
        <v>744.400000000001</v>
      </c>
      <c r="J26" s="949">
        <f t="shared" si="2"/>
        <v>13.899999999999999</v>
      </c>
      <c r="K26" s="949">
        <v>2.78</v>
      </c>
      <c r="L26" s="949">
        <f t="shared" si="43"/>
        <v>71.12</v>
      </c>
      <c r="M26" s="949">
        <v>12</v>
      </c>
      <c r="N26" s="950">
        <f t="shared" ref="N26" si="61">(L26+M26)*2*J26</f>
        <v>2310.7359999999999</v>
      </c>
      <c r="O26" s="950">
        <f t="shared" si="3"/>
        <v>1675.9359999999999</v>
      </c>
      <c r="P26" s="949">
        <f t="shared" ref="P26" si="62">Q26+R26</f>
        <v>276</v>
      </c>
      <c r="Q26" s="949">
        <f t="shared" si="58"/>
        <v>260</v>
      </c>
      <c r="R26" s="947">
        <f t="shared" si="12"/>
        <v>16</v>
      </c>
      <c r="S26" s="949">
        <f t="shared" ref="S26:S30" si="63">T26+U26</f>
        <v>626.79999999999995</v>
      </c>
      <c r="T26" s="950">
        <f t="shared" si="60"/>
        <v>598</v>
      </c>
      <c r="U26" s="950">
        <f t="shared" ref="U26:U30" si="64">1.8*R26</f>
        <v>28.8</v>
      </c>
      <c r="V26" s="950">
        <f t="shared" si="5"/>
        <v>4</v>
      </c>
      <c r="W26" s="949">
        <f t="shared" si="46"/>
        <v>8</v>
      </c>
      <c r="X26" s="950">
        <f t="shared" si="27"/>
        <v>853.44</v>
      </c>
      <c r="Y26" s="958">
        <f t="shared" si="28"/>
        <v>853.44</v>
      </c>
      <c r="Z26" s="949">
        <f t="shared" si="16"/>
        <v>1269.04</v>
      </c>
      <c r="AA26" s="959">
        <f t="shared" si="17"/>
        <v>166.79999999999998</v>
      </c>
      <c r="AB26" s="954">
        <f t="shared" si="18"/>
        <v>166.24</v>
      </c>
      <c r="AC26" s="955"/>
      <c r="AD26" s="955"/>
      <c r="AE26" s="514"/>
      <c r="AF26" s="514"/>
      <c r="AG26" s="74"/>
      <c r="AH26" s="74"/>
      <c r="AI26" s="74"/>
      <c r="AJ26" s="74"/>
      <c r="AK26" s="74"/>
      <c r="AL26" s="74"/>
      <c r="AM26" s="74"/>
      <c r="AN26" s="74"/>
      <c r="AO26" s="74"/>
      <c r="AP26" s="74"/>
      <c r="AQ26" s="74"/>
      <c r="AR26" s="74"/>
      <c r="AS26" s="74"/>
      <c r="AT26" s="74"/>
    </row>
    <row r="27" spans="1:46" s="963" customFormat="1" ht="12" customHeight="1" x14ac:dyDescent="0.25">
      <c r="A27" s="961" t="s">
        <v>1435</v>
      </c>
      <c r="B27" s="946"/>
      <c r="C27" s="946" t="str">
        <f t="shared" si="52"/>
        <v>I-515 (5 эт)55</v>
      </c>
      <c r="D27" s="949">
        <v>5</v>
      </c>
      <c r="E27" s="949">
        <v>5</v>
      </c>
      <c r="F27" s="949">
        <f t="shared" si="34"/>
        <v>5416.8000000000011</v>
      </c>
      <c r="G27" s="949">
        <f t="shared" si="53"/>
        <v>4467.55</v>
      </c>
      <c r="H27" s="949">
        <f t="shared" si="54"/>
        <v>2464.5</v>
      </c>
      <c r="I27" s="949">
        <f t="shared" si="55"/>
        <v>949.25000000000091</v>
      </c>
      <c r="J27" s="949">
        <f t="shared" si="2"/>
        <v>13.899999999999999</v>
      </c>
      <c r="K27" s="949">
        <v>2.78</v>
      </c>
      <c r="L27" s="949">
        <f t="shared" si="43"/>
        <v>90.28</v>
      </c>
      <c r="M27" s="949">
        <v>12</v>
      </c>
      <c r="N27" s="950">
        <f t="shared" ref="N27" si="65">(L27+M27)*2*J27</f>
        <v>2843.3839999999996</v>
      </c>
      <c r="O27" s="950">
        <f t="shared" si="3"/>
        <v>2049.8839999999996</v>
      </c>
      <c r="P27" s="949">
        <f t="shared" ref="P27" si="66">Q27+R27</f>
        <v>345</v>
      </c>
      <c r="Q27" s="949">
        <f t="shared" si="58"/>
        <v>325</v>
      </c>
      <c r="R27" s="947">
        <f t="shared" si="12"/>
        <v>20</v>
      </c>
      <c r="S27" s="949">
        <f t="shared" si="63"/>
        <v>783.5</v>
      </c>
      <c r="T27" s="950">
        <f t="shared" si="60"/>
        <v>747.5</v>
      </c>
      <c r="U27" s="950">
        <f t="shared" si="64"/>
        <v>36</v>
      </c>
      <c r="V27" s="950">
        <f t="shared" si="5"/>
        <v>5</v>
      </c>
      <c r="W27" s="949">
        <f t="shared" si="46"/>
        <v>10</v>
      </c>
      <c r="X27" s="950">
        <f t="shared" si="27"/>
        <v>1083.3600000000001</v>
      </c>
      <c r="Y27" s="958">
        <f t="shared" si="28"/>
        <v>1083.3600000000001</v>
      </c>
      <c r="Z27" s="949">
        <f t="shared" si="16"/>
        <v>1594.7600000000002</v>
      </c>
      <c r="AA27" s="959">
        <f t="shared" si="17"/>
        <v>166.79999999999998</v>
      </c>
      <c r="AB27" s="954">
        <f t="shared" si="18"/>
        <v>204.56</v>
      </c>
      <c r="AC27" s="955"/>
      <c r="AD27" s="955"/>
      <c r="AE27" s="514"/>
      <c r="AF27" s="514"/>
      <c r="AG27" s="74"/>
      <c r="AH27" s="74"/>
      <c r="AI27" s="74"/>
      <c r="AJ27" s="74"/>
      <c r="AK27" s="74"/>
      <c r="AL27" s="74"/>
      <c r="AM27" s="74"/>
      <c r="AN27" s="74"/>
      <c r="AO27" s="74"/>
      <c r="AP27" s="74"/>
      <c r="AQ27" s="74"/>
      <c r="AR27" s="74"/>
      <c r="AS27" s="74"/>
      <c r="AT27" s="74"/>
    </row>
    <row r="28" spans="1:46" ht="12" customHeight="1" x14ac:dyDescent="0.25">
      <c r="A28" s="961" t="s">
        <v>1435</v>
      </c>
      <c r="B28" s="946"/>
      <c r="C28" s="946" t="str">
        <f t="shared" si="52"/>
        <v>I-515 (5 эт)53</v>
      </c>
      <c r="D28" s="949">
        <f>5</f>
        <v>5</v>
      </c>
      <c r="E28" s="949">
        <v>3</v>
      </c>
      <c r="F28" s="949">
        <f t="shared" si="34"/>
        <v>3117.6</v>
      </c>
      <c r="G28" s="950">
        <f t="shared" si="53"/>
        <v>2578.0500000000002</v>
      </c>
      <c r="H28" s="949">
        <f t="shared" si="54"/>
        <v>1441.5</v>
      </c>
      <c r="I28" s="949">
        <f t="shared" ref="I28" si="67">F28-G28</f>
        <v>539.54999999999973</v>
      </c>
      <c r="J28" s="949">
        <f t="shared" si="2"/>
        <v>13.899999999999999</v>
      </c>
      <c r="K28" s="949">
        <v>2.78</v>
      </c>
      <c r="L28" s="949">
        <f t="shared" si="43"/>
        <v>51.959999999999994</v>
      </c>
      <c r="M28" s="949">
        <v>12</v>
      </c>
      <c r="N28" s="950">
        <f>(L28+M28)*2*J28</f>
        <v>1778.0879999999997</v>
      </c>
      <c r="O28" s="950">
        <f t="shared" si="3"/>
        <v>1301.9879999999998</v>
      </c>
      <c r="P28" s="949">
        <f t="shared" ref="P28:P32" si="68">Q28+R28</f>
        <v>207</v>
      </c>
      <c r="Q28" s="949">
        <f t="shared" si="58"/>
        <v>195</v>
      </c>
      <c r="R28" s="947">
        <f t="shared" si="12"/>
        <v>12</v>
      </c>
      <c r="S28" s="949">
        <f t="shared" si="63"/>
        <v>470.1</v>
      </c>
      <c r="T28" s="950">
        <f t="shared" si="60"/>
        <v>448.5</v>
      </c>
      <c r="U28" s="950">
        <f t="shared" si="64"/>
        <v>21.6</v>
      </c>
      <c r="V28" s="950">
        <f t="shared" si="5"/>
        <v>3</v>
      </c>
      <c r="W28" s="949">
        <f t="shared" si="46"/>
        <v>6</v>
      </c>
      <c r="X28" s="950">
        <f t="shared" si="27"/>
        <v>623.52</v>
      </c>
      <c r="Y28" s="958">
        <f t="shared" si="28"/>
        <v>623.52</v>
      </c>
      <c r="Z28" s="949">
        <f t="shared" si="16"/>
        <v>943.31999999999994</v>
      </c>
      <c r="AA28" s="959">
        <f t="shared" si="17"/>
        <v>166.79999999999998</v>
      </c>
      <c r="AB28" s="954">
        <f t="shared" si="18"/>
        <v>127.91999999999999</v>
      </c>
      <c r="AC28" s="955"/>
      <c r="AD28" s="955"/>
      <c r="AE28" s="514"/>
      <c r="AF28" s="514"/>
      <c r="AG28" s="74"/>
      <c r="AH28" s="74"/>
      <c r="AI28" s="74"/>
      <c r="AJ28" s="74"/>
      <c r="AK28" s="74"/>
      <c r="AL28" s="74"/>
      <c r="AM28" s="74"/>
      <c r="AN28" s="74"/>
      <c r="AO28" s="74"/>
      <c r="AP28" s="74"/>
      <c r="AQ28" s="74"/>
      <c r="AR28" s="74"/>
      <c r="AS28" s="74"/>
      <c r="AT28" s="74"/>
    </row>
    <row r="29" spans="1:46" ht="12" customHeight="1" x14ac:dyDescent="0.25">
      <c r="A29" s="961" t="s">
        <v>1435</v>
      </c>
      <c r="B29" s="946"/>
      <c r="C29" s="946" t="str">
        <f t="shared" si="52"/>
        <v>I-515 (5 эт)57</v>
      </c>
      <c r="D29" s="949">
        <f>5</f>
        <v>5</v>
      </c>
      <c r="E29" s="949">
        <f>7</f>
        <v>7</v>
      </c>
      <c r="F29" s="949">
        <f t="shared" si="34"/>
        <v>7715.9999999999991</v>
      </c>
      <c r="G29" s="950">
        <f t="shared" si="53"/>
        <v>6357.05</v>
      </c>
      <c r="H29" s="949">
        <f t="shared" si="54"/>
        <v>3487.5</v>
      </c>
      <c r="I29" s="949">
        <f t="shared" ref="I29:I30" si="69">F29-G29</f>
        <v>1358.9499999999989</v>
      </c>
      <c r="J29" s="949">
        <f t="shared" si="2"/>
        <v>13.899999999999999</v>
      </c>
      <c r="K29" s="949">
        <v>2.78</v>
      </c>
      <c r="L29" s="949">
        <f t="shared" si="43"/>
        <v>128.6</v>
      </c>
      <c r="M29" s="949">
        <v>12</v>
      </c>
      <c r="N29" s="950">
        <f t="shared" ref="N29:N30" si="70">(L29+M29)*2*J29</f>
        <v>3908.6799999999994</v>
      </c>
      <c r="O29" s="950">
        <f t="shared" si="3"/>
        <v>2797.7799999999993</v>
      </c>
      <c r="P29" s="949">
        <f t="shared" si="68"/>
        <v>483</v>
      </c>
      <c r="Q29" s="949">
        <f t="shared" si="58"/>
        <v>455</v>
      </c>
      <c r="R29" s="947">
        <f t="shared" si="12"/>
        <v>28</v>
      </c>
      <c r="S29" s="949">
        <f t="shared" si="63"/>
        <v>1096.9000000000001</v>
      </c>
      <c r="T29" s="950">
        <f t="shared" si="60"/>
        <v>1046.5</v>
      </c>
      <c r="U29" s="950">
        <f t="shared" si="64"/>
        <v>50.4</v>
      </c>
      <c r="V29" s="950">
        <f t="shared" si="5"/>
        <v>7</v>
      </c>
      <c r="W29" s="949">
        <f t="shared" si="46"/>
        <v>14</v>
      </c>
      <c r="X29" s="950">
        <f t="shared" si="27"/>
        <v>1543.1999999999998</v>
      </c>
      <c r="Y29" s="958">
        <f t="shared" si="28"/>
        <v>1543.1999999999998</v>
      </c>
      <c r="Z29" s="949">
        <f t="shared" si="16"/>
        <v>2246.1999999999998</v>
      </c>
      <c r="AA29" s="959">
        <f t="shared" si="17"/>
        <v>166.79999999999998</v>
      </c>
      <c r="AB29" s="954">
        <f t="shared" si="18"/>
        <v>281.2</v>
      </c>
      <c r="AC29" s="955"/>
      <c r="AD29" s="955"/>
      <c r="AE29" s="514"/>
      <c r="AF29" s="514"/>
      <c r="AG29" s="74"/>
      <c r="AH29" s="74"/>
      <c r="AI29" s="74"/>
      <c r="AJ29" s="74"/>
      <c r="AK29" s="74"/>
      <c r="AL29" s="74"/>
      <c r="AM29" s="74"/>
      <c r="AN29" s="74"/>
      <c r="AO29" s="74"/>
      <c r="AP29" s="74"/>
      <c r="AQ29" s="74"/>
      <c r="AR29" s="74"/>
      <c r="AS29" s="74"/>
      <c r="AT29" s="74"/>
    </row>
    <row r="30" spans="1:46" ht="12" customHeight="1" x14ac:dyDescent="0.25">
      <c r="A30" s="961" t="s">
        <v>1435</v>
      </c>
      <c r="B30" s="946"/>
      <c r="C30" s="946" t="str">
        <f t="shared" si="52"/>
        <v>I-515 (5 эт)59</v>
      </c>
      <c r="D30" s="949">
        <f>5</f>
        <v>5</v>
      </c>
      <c r="E30" s="949">
        <f>9</f>
        <v>9</v>
      </c>
      <c r="F30" s="949">
        <f t="shared" si="34"/>
        <v>10015.200000000001</v>
      </c>
      <c r="G30" s="950">
        <f t="shared" si="53"/>
        <v>8246.5499999999993</v>
      </c>
      <c r="H30" s="949">
        <f t="shared" si="54"/>
        <v>4510.5</v>
      </c>
      <c r="I30" s="949">
        <f t="shared" si="69"/>
        <v>1768.6500000000015</v>
      </c>
      <c r="J30" s="949">
        <f t="shared" si="2"/>
        <v>13.899999999999999</v>
      </c>
      <c r="K30" s="949">
        <v>2.78</v>
      </c>
      <c r="L30" s="949">
        <f t="shared" si="43"/>
        <v>166.92000000000002</v>
      </c>
      <c r="M30" s="949">
        <v>12</v>
      </c>
      <c r="N30" s="950">
        <f t="shared" si="70"/>
        <v>4973.9759999999997</v>
      </c>
      <c r="O30" s="950">
        <f t="shared" si="3"/>
        <v>3545.6759999999995</v>
      </c>
      <c r="P30" s="949">
        <f t="shared" si="68"/>
        <v>621</v>
      </c>
      <c r="Q30" s="949">
        <f t="shared" si="58"/>
        <v>585</v>
      </c>
      <c r="R30" s="947">
        <f t="shared" si="12"/>
        <v>36</v>
      </c>
      <c r="S30" s="949">
        <f t="shared" si="63"/>
        <v>1410.3</v>
      </c>
      <c r="T30" s="950">
        <f t="shared" si="60"/>
        <v>1345.5</v>
      </c>
      <c r="U30" s="950">
        <f t="shared" si="64"/>
        <v>64.8</v>
      </c>
      <c r="V30" s="950">
        <f t="shared" si="5"/>
        <v>9</v>
      </c>
      <c r="W30" s="949">
        <f t="shared" si="46"/>
        <v>18</v>
      </c>
      <c r="X30" s="950">
        <f t="shared" si="27"/>
        <v>2003.0400000000002</v>
      </c>
      <c r="Y30" s="958">
        <f t="shared" si="28"/>
        <v>2003.0400000000002</v>
      </c>
      <c r="Z30" s="949">
        <f t="shared" si="16"/>
        <v>2897.6400000000003</v>
      </c>
      <c r="AA30" s="959">
        <f t="shared" si="17"/>
        <v>166.79999999999998</v>
      </c>
      <c r="AB30" s="954">
        <f t="shared" si="18"/>
        <v>357.84000000000003</v>
      </c>
      <c r="AC30" s="955"/>
      <c r="AD30" s="955"/>
      <c r="AE30" s="514"/>
      <c r="AF30" s="514"/>
      <c r="AG30" s="74"/>
      <c r="AH30" s="74"/>
      <c r="AI30" s="74"/>
      <c r="AJ30" s="74"/>
      <c r="AK30" s="74"/>
      <c r="AL30" s="74"/>
      <c r="AM30" s="74"/>
      <c r="AN30" s="74"/>
      <c r="AO30" s="74"/>
      <c r="AP30" s="74"/>
      <c r="AQ30" s="74"/>
      <c r="AR30" s="74"/>
      <c r="AS30" s="74"/>
      <c r="AT30" s="74"/>
    </row>
    <row r="31" spans="1:46" s="964" customFormat="1" ht="12" customHeight="1" x14ac:dyDescent="0.25">
      <c r="A31" s="961" t="s">
        <v>1436</v>
      </c>
      <c r="B31" s="946"/>
      <c r="C31" s="946" t="str">
        <f t="shared" si="52"/>
        <v>I-515/9 (9 эт)92</v>
      </c>
      <c r="D31" s="949">
        <v>9</v>
      </c>
      <c r="E31" s="949">
        <v>2</v>
      </c>
      <c r="F31" s="949">
        <f t="shared" si="34"/>
        <v>4212</v>
      </c>
      <c r="G31" s="949">
        <f t="shared" ref="G31:G34" si="71">193.4*$D31*$E31</f>
        <v>3481.2000000000003</v>
      </c>
      <c r="H31" s="949">
        <f t="shared" ref="H31:H34" si="72">127.69*$D31*$E31</f>
        <v>2298.42</v>
      </c>
      <c r="I31" s="949">
        <f t="shared" ref="I31:I34" si="73">F31-G31</f>
        <v>730.79999999999973</v>
      </c>
      <c r="J31" s="949">
        <f t="shared" si="2"/>
        <v>25.02</v>
      </c>
      <c r="K31" s="949">
        <v>2.78</v>
      </c>
      <c r="L31" s="949">
        <f>18*E31</f>
        <v>36</v>
      </c>
      <c r="M31" s="949">
        <v>13</v>
      </c>
      <c r="N31" s="950">
        <f>(L31+M31)*2*J31</f>
        <v>2451.96</v>
      </c>
      <c r="O31" s="950">
        <f t="shared" si="3"/>
        <v>1821.56</v>
      </c>
      <c r="P31" s="949">
        <f t="shared" si="68"/>
        <v>286</v>
      </c>
      <c r="Q31" s="949">
        <f>13*D31*E31+2*2*D31</f>
        <v>270</v>
      </c>
      <c r="R31" s="947">
        <f t="shared" si="12"/>
        <v>16</v>
      </c>
      <c r="S31" s="950">
        <f t="shared" ref="S31:S34" si="74">T31+U31</f>
        <v>626.4</v>
      </c>
      <c r="T31" s="950">
        <f>IF(E31&gt;=2,(E31-2)*D31*28.44+2*D31*33.2,D31*33.2)</f>
        <v>597.6</v>
      </c>
      <c r="U31" s="950">
        <f t="shared" ref="U31:U34" si="75">1.8*R31</f>
        <v>28.8</v>
      </c>
      <c r="V31" s="950">
        <f t="shared" si="5"/>
        <v>2</v>
      </c>
      <c r="W31" s="949">
        <f t="shared" si="46"/>
        <v>4</v>
      </c>
      <c r="X31" s="950">
        <f t="shared" si="27"/>
        <v>468</v>
      </c>
      <c r="Y31" s="958">
        <f t="shared" si="28"/>
        <v>468</v>
      </c>
      <c r="Z31" s="949">
        <f t="shared" si="16"/>
        <v>713</v>
      </c>
      <c r="AA31" s="959">
        <f t="shared" si="17"/>
        <v>325.26</v>
      </c>
      <c r="AB31" s="954">
        <f t="shared" si="18"/>
        <v>98</v>
      </c>
      <c r="AC31" s="955"/>
      <c r="AD31" s="955"/>
      <c r="AE31" s="514"/>
      <c r="AF31" s="514"/>
      <c r="AG31" s="74"/>
      <c r="AH31" s="74"/>
      <c r="AI31" s="74"/>
      <c r="AJ31" s="74"/>
      <c r="AK31" s="74"/>
      <c r="AL31" s="74"/>
      <c r="AM31" s="74"/>
      <c r="AN31" s="74"/>
      <c r="AO31" s="74"/>
      <c r="AP31" s="74"/>
      <c r="AQ31" s="74"/>
      <c r="AR31" s="74"/>
      <c r="AS31" s="74"/>
      <c r="AT31" s="74"/>
    </row>
    <row r="32" spans="1:46" s="964" customFormat="1" ht="12" customHeight="1" x14ac:dyDescent="0.25">
      <c r="A32" s="961" t="s">
        <v>1436</v>
      </c>
      <c r="B32" s="946"/>
      <c r="C32" s="946" t="str">
        <f t="shared" si="52"/>
        <v>I-515/9 (9 эт)94</v>
      </c>
      <c r="D32" s="949">
        <v>9</v>
      </c>
      <c r="E32" s="949">
        <v>4</v>
      </c>
      <c r="F32" s="949">
        <f t="shared" si="34"/>
        <v>8812.7999999999993</v>
      </c>
      <c r="G32" s="949">
        <v>7142</v>
      </c>
      <c r="H32" s="949">
        <v>4726</v>
      </c>
      <c r="I32" s="949">
        <f t="shared" si="73"/>
        <v>1670.7999999999993</v>
      </c>
      <c r="J32" s="949">
        <f t="shared" si="2"/>
        <v>25.02</v>
      </c>
      <c r="K32" s="949">
        <v>2.78</v>
      </c>
      <c r="L32" s="949">
        <f>20.4*E32</f>
        <v>81.599999999999994</v>
      </c>
      <c r="M32" s="949">
        <v>12</v>
      </c>
      <c r="N32" s="950">
        <f t="shared" ref="N32:N34" si="76">(L32+M32)*2*J32</f>
        <v>4683.7439999999997</v>
      </c>
      <c r="O32" s="950">
        <f t="shared" si="3"/>
        <v>3508.6239999999998</v>
      </c>
      <c r="P32" s="949">
        <f t="shared" si="68"/>
        <v>536</v>
      </c>
      <c r="Q32" s="949">
        <f>13*D32*E32+2*2*D32</f>
        <v>504</v>
      </c>
      <c r="R32" s="947">
        <f t="shared" si="12"/>
        <v>32</v>
      </c>
      <c r="S32" s="950">
        <f t="shared" si="74"/>
        <v>1167.1199999999999</v>
      </c>
      <c r="T32" s="950">
        <f>IF(E32&gt;=2,(E32-2)*D32*28.44+2*D32*33.2,D32*33.2)</f>
        <v>1109.52</v>
      </c>
      <c r="U32" s="950">
        <f t="shared" si="75"/>
        <v>57.6</v>
      </c>
      <c r="V32" s="950">
        <f t="shared" si="5"/>
        <v>4</v>
      </c>
      <c r="W32" s="949">
        <f t="shared" si="46"/>
        <v>8</v>
      </c>
      <c r="X32" s="950">
        <f t="shared" si="27"/>
        <v>979.19999999999993</v>
      </c>
      <c r="Y32" s="958">
        <f t="shared" si="28"/>
        <v>979.19999999999993</v>
      </c>
      <c r="Z32" s="949">
        <f t="shared" si="16"/>
        <v>1447.1999999999998</v>
      </c>
      <c r="AA32" s="959">
        <f t="shared" si="17"/>
        <v>300.24</v>
      </c>
      <c r="AB32" s="954">
        <f t="shared" si="18"/>
        <v>187.2</v>
      </c>
      <c r="AC32" s="955"/>
      <c r="AD32" s="955"/>
      <c r="AE32" s="514"/>
      <c r="AF32" s="514"/>
      <c r="AG32" s="74"/>
      <c r="AH32" s="74"/>
      <c r="AI32" s="74"/>
      <c r="AJ32" s="74"/>
      <c r="AK32" s="74"/>
      <c r="AL32" s="74"/>
      <c r="AM32" s="74"/>
      <c r="AN32" s="74"/>
      <c r="AO32" s="74"/>
      <c r="AP32" s="74"/>
      <c r="AQ32" s="74"/>
      <c r="AR32" s="74"/>
      <c r="AS32" s="74"/>
      <c r="AT32" s="74"/>
    </row>
    <row r="33" spans="1:46" ht="12" customHeight="1" x14ac:dyDescent="0.25">
      <c r="A33" s="961" t="s">
        <v>1436</v>
      </c>
      <c r="B33" s="946"/>
      <c r="C33" s="946" t="str">
        <f t="shared" si="52"/>
        <v>I-515/9 (9 эт)96</v>
      </c>
      <c r="D33" s="949">
        <f>9</f>
        <v>9</v>
      </c>
      <c r="E33" s="949">
        <f>6</f>
        <v>6</v>
      </c>
      <c r="F33" s="950">
        <f t="shared" si="34"/>
        <v>12636</v>
      </c>
      <c r="G33" s="950">
        <f t="shared" si="71"/>
        <v>10443.6</v>
      </c>
      <c r="H33" s="949">
        <f t="shared" si="72"/>
        <v>6895.26</v>
      </c>
      <c r="I33" s="949">
        <f t="shared" si="73"/>
        <v>2192.3999999999996</v>
      </c>
      <c r="J33" s="949">
        <f t="shared" si="2"/>
        <v>25.02</v>
      </c>
      <c r="K33" s="949">
        <v>2.78</v>
      </c>
      <c r="L33" s="949">
        <f>18*E33</f>
        <v>108</v>
      </c>
      <c r="M33" s="949">
        <v>13</v>
      </c>
      <c r="N33" s="950">
        <f t="shared" si="76"/>
        <v>6054.84</v>
      </c>
      <c r="O33" s="950">
        <f t="shared" si="3"/>
        <v>4335</v>
      </c>
      <c r="P33" s="949">
        <f t="shared" ref="P33:P34" si="77">Q33+R33</f>
        <v>786</v>
      </c>
      <c r="Q33" s="949">
        <f>13*D33*E33+2*2*D33</f>
        <v>738</v>
      </c>
      <c r="R33" s="947">
        <f t="shared" si="12"/>
        <v>48</v>
      </c>
      <c r="S33" s="950">
        <f t="shared" si="74"/>
        <v>1707.8400000000001</v>
      </c>
      <c r="T33" s="950">
        <f>IF(E33&gt;=2,(E33-2)*D33*28.44+2*D33*33.2,D33*33.2)</f>
        <v>1621.44</v>
      </c>
      <c r="U33" s="950">
        <f t="shared" si="75"/>
        <v>86.4</v>
      </c>
      <c r="V33" s="950">
        <f t="shared" si="5"/>
        <v>6</v>
      </c>
      <c r="W33" s="949">
        <f t="shared" si="46"/>
        <v>12</v>
      </c>
      <c r="X33" s="950">
        <f t="shared" si="27"/>
        <v>1404</v>
      </c>
      <c r="Y33" s="958">
        <f t="shared" si="28"/>
        <v>1404</v>
      </c>
      <c r="Z33" s="949">
        <f t="shared" si="16"/>
        <v>2009</v>
      </c>
      <c r="AA33" s="959">
        <f t="shared" si="17"/>
        <v>325.26</v>
      </c>
      <c r="AB33" s="954">
        <f t="shared" si="18"/>
        <v>242</v>
      </c>
      <c r="AC33" s="955"/>
      <c r="AD33" s="955"/>
      <c r="AE33" s="514"/>
      <c r="AF33" s="514"/>
      <c r="AG33" s="74"/>
      <c r="AH33" s="74"/>
      <c r="AI33" s="74"/>
      <c r="AJ33" s="74"/>
      <c r="AK33" s="74"/>
      <c r="AL33" s="74"/>
      <c r="AM33" s="74"/>
      <c r="AN33" s="74"/>
      <c r="AO33" s="74"/>
      <c r="AP33" s="74"/>
      <c r="AQ33" s="74"/>
      <c r="AR33" s="74"/>
      <c r="AS33" s="74"/>
      <c r="AT33" s="74"/>
    </row>
    <row r="34" spans="1:46" ht="12" customHeight="1" x14ac:dyDescent="0.25">
      <c r="A34" s="961" t="s">
        <v>1436</v>
      </c>
      <c r="B34" s="946"/>
      <c r="C34" s="946" t="str">
        <f t="shared" si="52"/>
        <v>I-515/9 (9 эт)98</v>
      </c>
      <c r="D34" s="949">
        <f>9</f>
        <v>9</v>
      </c>
      <c r="E34" s="949">
        <f>8</f>
        <v>8</v>
      </c>
      <c r="F34" s="950">
        <f t="shared" si="34"/>
        <v>16848</v>
      </c>
      <c r="G34" s="950">
        <f t="shared" si="71"/>
        <v>13924.800000000001</v>
      </c>
      <c r="H34" s="949">
        <f t="shared" si="72"/>
        <v>9193.68</v>
      </c>
      <c r="I34" s="949">
        <f t="shared" si="73"/>
        <v>2923.1999999999989</v>
      </c>
      <c r="J34" s="949">
        <f t="shared" si="2"/>
        <v>25.02</v>
      </c>
      <c r="K34" s="949">
        <v>2.78</v>
      </c>
      <c r="L34" s="949">
        <f>18*E34</f>
        <v>144</v>
      </c>
      <c r="M34" s="949">
        <v>13</v>
      </c>
      <c r="N34" s="950">
        <f t="shared" si="76"/>
        <v>7856.28</v>
      </c>
      <c r="O34" s="950">
        <f t="shared" si="3"/>
        <v>5591.7199999999993</v>
      </c>
      <c r="P34" s="949">
        <f t="shared" si="77"/>
        <v>1036</v>
      </c>
      <c r="Q34" s="949">
        <f>13*D34*E34+2*2*D34</f>
        <v>972</v>
      </c>
      <c r="R34" s="947">
        <f t="shared" si="12"/>
        <v>64</v>
      </c>
      <c r="S34" s="950">
        <f t="shared" si="74"/>
        <v>2248.56</v>
      </c>
      <c r="T34" s="950">
        <f>IF(E34&gt;=2,(E34-2)*D34*28.44+2*D34*33.2,D34*33.2)</f>
        <v>2133.36</v>
      </c>
      <c r="U34" s="950">
        <f t="shared" si="75"/>
        <v>115.2</v>
      </c>
      <c r="V34" s="950">
        <f t="shared" si="5"/>
        <v>8</v>
      </c>
      <c r="W34" s="949">
        <f t="shared" si="46"/>
        <v>16</v>
      </c>
      <c r="X34" s="950">
        <f t="shared" si="27"/>
        <v>1872</v>
      </c>
      <c r="Y34" s="958">
        <f t="shared" si="28"/>
        <v>1872</v>
      </c>
      <c r="Z34" s="949">
        <f t="shared" si="16"/>
        <v>2657</v>
      </c>
      <c r="AA34" s="959">
        <f t="shared" si="17"/>
        <v>325.26</v>
      </c>
      <c r="AB34" s="954">
        <f t="shared" si="18"/>
        <v>314</v>
      </c>
      <c r="AC34" s="955"/>
      <c r="AD34" s="955"/>
      <c r="AE34" s="514"/>
      <c r="AF34" s="514"/>
      <c r="AG34" s="74"/>
      <c r="AH34" s="74"/>
      <c r="AI34" s="74"/>
      <c r="AJ34" s="74"/>
      <c r="AK34" s="74"/>
      <c r="AL34" s="74"/>
      <c r="AM34" s="74"/>
      <c r="AN34" s="74"/>
      <c r="AO34" s="74"/>
      <c r="AP34" s="74"/>
      <c r="AQ34" s="74"/>
      <c r="AR34" s="74"/>
      <c r="AS34" s="74"/>
      <c r="AT34" s="74"/>
    </row>
    <row r="35" spans="1:46" ht="12" customHeight="1" x14ac:dyDescent="0.25">
      <c r="A35" s="965" t="s">
        <v>1438</v>
      </c>
      <c r="B35" s="946"/>
      <c r="C35" s="946" t="str">
        <f t="shared" ref="C35" si="78">CONCATENATE(A35,D35,E35)</f>
        <v>II-1891</v>
      </c>
      <c r="D35" s="949">
        <v>9</v>
      </c>
      <c r="E35" s="949">
        <v>1</v>
      </c>
      <c r="F35" s="949">
        <f t="shared" si="34"/>
        <v>3523.5</v>
      </c>
      <c r="G35" s="949">
        <f t="shared" ref="G35:G37" si="79">303.4*$D35*$E35</f>
        <v>2730.6</v>
      </c>
      <c r="H35" s="949">
        <f t="shared" ref="H35:H37" si="80">191*$D35*$E35</f>
        <v>1719</v>
      </c>
      <c r="I35" s="949">
        <f>F35-G35</f>
        <v>792.90000000000009</v>
      </c>
      <c r="J35" s="949">
        <f t="shared" si="2"/>
        <v>23.724</v>
      </c>
      <c r="K35" s="949">
        <v>2.6360000000000001</v>
      </c>
      <c r="L35" s="949">
        <v>29</v>
      </c>
      <c r="M35" s="949">
        <v>13.5</v>
      </c>
      <c r="N35" s="949">
        <f t="shared" ref="N35" si="81">(M35+L35)*2*J35</f>
        <v>2016.54</v>
      </c>
      <c r="O35" s="950">
        <f t="shared" si="3"/>
        <v>1489.1333333333332</v>
      </c>
      <c r="P35" s="949">
        <f>Q35+R35</f>
        <v>197</v>
      </c>
      <c r="Q35" s="949">
        <f>9*D35*E35+8*D35*E35+4*D35</f>
        <v>189</v>
      </c>
      <c r="R35" s="947">
        <f t="shared" si="12"/>
        <v>8</v>
      </c>
      <c r="S35" s="949">
        <f t="shared" ref="S35" si="82">T35+U35</f>
        <v>521.40666666666664</v>
      </c>
      <c r="T35" s="950">
        <f>2.66*Q35</f>
        <v>502.74</v>
      </c>
      <c r="U35" s="950">
        <f>28/12*R35</f>
        <v>18.666666666666668</v>
      </c>
      <c r="V35" s="949">
        <f t="shared" si="5"/>
        <v>1</v>
      </c>
      <c r="W35" s="949">
        <v>6</v>
      </c>
      <c r="X35" s="949">
        <v>367</v>
      </c>
      <c r="Y35" s="958">
        <v>367</v>
      </c>
      <c r="Z35" s="949">
        <f t="shared" si="16"/>
        <v>579.5</v>
      </c>
      <c r="AA35" s="959">
        <f t="shared" si="17"/>
        <v>320.274</v>
      </c>
      <c r="AB35" s="954">
        <f t="shared" si="18"/>
        <v>85</v>
      </c>
      <c r="AC35" s="955"/>
      <c r="AD35" s="955"/>
      <c r="AE35" s="514"/>
      <c r="AF35" s="514"/>
      <c r="AG35" s="74"/>
      <c r="AH35" s="74"/>
      <c r="AI35" s="74"/>
      <c r="AJ35" s="74"/>
      <c r="AK35" s="74"/>
      <c r="AL35" s="74"/>
      <c r="AM35" s="74"/>
      <c r="AN35" s="74"/>
      <c r="AO35" s="74"/>
      <c r="AP35" s="74"/>
      <c r="AQ35" s="74"/>
      <c r="AR35" s="74"/>
      <c r="AS35" s="74"/>
      <c r="AT35" s="74"/>
    </row>
    <row r="36" spans="1:46" ht="12" customHeight="1" x14ac:dyDescent="0.25">
      <c r="A36" s="965" t="s">
        <v>1438</v>
      </c>
      <c r="B36" s="946"/>
      <c r="C36" s="946" t="str">
        <f t="shared" ref="C36:C37" si="83">CONCATENATE(A36,D36,E36)</f>
        <v>II-18121</v>
      </c>
      <c r="D36" s="949">
        <v>12</v>
      </c>
      <c r="E36" s="949">
        <v>1</v>
      </c>
      <c r="F36" s="949">
        <f t="shared" si="34"/>
        <v>4698</v>
      </c>
      <c r="G36" s="949">
        <f t="shared" si="79"/>
        <v>3640.7999999999997</v>
      </c>
      <c r="H36" s="949">
        <f t="shared" si="80"/>
        <v>2292</v>
      </c>
      <c r="I36" s="949">
        <f>F36-G36</f>
        <v>1057.2000000000003</v>
      </c>
      <c r="J36" s="949">
        <f t="shared" si="2"/>
        <v>38.64</v>
      </c>
      <c r="K36" s="949">
        <v>3.22</v>
      </c>
      <c r="L36" s="949">
        <v>29</v>
      </c>
      <c r="M36" s="949">
        <v>13.5</v>
      </c>
      <c r="N36" s="949">
        <v>3025</v>
      </c>
      <c r="O36" s="950">
        <f t="shared" si="3"/>
        <v>2320.6799999999998</v>
      </c>
      <c r="P36" s="949">
        <f>Q36+R36</f>
        <v>263</v>
      </c>
      <c r="Q36" s="949">
        <f>9*D36*E36+8*D36*E36+4*D36</f>
        <v>252</v>
      </c>
      <c r="R36" s="947">
        <f t="shared" si="12"/>
        <v>11</v>
      </c>
      <c r="S36" s="949">
        <f t="shared" ref="S36:S49" si="84">T36+U36</f>
        <v>698.32</v>
      </c>
      <c r="T36" s="950">
        <f t="shared" ref="T36:T37" si="85">2.66*Q36</f>
        <v>670.32</v>
      </c>
      <c r="U36" s="949">
        <v>28</v>
      </c>
      <c r="V36" s="949">
        <f t="shared" si="5"/>
        <v>1</v>
      </c>
      <c r="W36" s="949">
        <v>6</v>
      </c>
      <c r="X36" s="949">
        <v>392</v>
      </c>
      <c r="Y36" s="958">
        <v>392</v>
      </c>
      <c r="Z36" s="949">
        <f t="shared" si="16"/>
        <v>604.5</v>
      </c>
      <c r="AA36" s="959">
        <f t="shared" si="17"/>
        <v>521.64</v>
      </c>
      <c r="AB36" s="954">
        <f t="shared" si="18"/>
        <v>85</v>
      </c>
      <c r="AC36" s="955"/>
      <c r="AD36" s="955"/>
      <c r="AE36" s="514"/>
      <c r="AF36" s="514"/>
      <c r="AG36" s="74"/>
      <c r="AH36" s="74"/>
      <c r="AI36" s="74"/>
      <c r="AJ36" s="74"/>
      <c r="AK36" s="74"/>
      <c r="AL36" s="74"/>
      <c r="AM36" s="74"/>
      <c r="AN36" s="74"/>
      <c r="AO36" s="74"/>
      <c r="AP36" s="74"/>
      <c r="AQ36" s="74"/>
      <c r="AR36" s="74"/>
      <c r="AS36" s="74"/>
      <c r="AT36" s="74"/>
    </row>
    <row r="37" spans="1:46" ht="12" customHeight="1" x14ac:dyDescent="0.25">
      <c r="A37" s="965" t="s">
        <v>1438</v>
      </c>
      <c r="B37" s="946"/>
      <c r="C37" s="946" t="str">
        <f t="shared" si="83"/>
        <v>II-18122</v>
      </c>
      <c r="D37" s="949">
        <f>12</f>
        <v>12</v>
      </c>
      <c r="E37" s="949">
        <v>2</v>
      </c>
      <c r="F37" s="950">
        <f t="shared" si="34"/>
        <v>9396</v>
      </c>
      <c r="G37" s="950">
        <f t="shared" si="79"/>
        <v>7281.5999999999995</v>
      </c>
      <c r="H37" s="949">
        <f t="shared" si="80"/>
        <v>4584</v>
      </c>
      <c r="I37" s="949">
        <f t="shared" ref="I37:I38" si="86">F37-G37</f>
        <v>2114.4000000000005</v>
      </c>
      <c r="J37" s="949">
        <f t="shared" si="2"/>
        <v>37.200000000000003</v>
      </c>
      <c r="K37" s="949">
        <v>3.1</v>
      </c>
      <c r="L37" s="949">
        <v>58</v>
      </c>
      <c r="M37" s="949">
        <v>13.5</v>
      </c>
      <c r="N37" s="950">
        <f>(L37+M37)*2*J37</f>
        <v>5319.6</v>
      </c>
      <c r="O37" s="950">
        <f t="shared" si="3"/>
        <v>4043.3066666666673</v>
      </c>
      <c r="P37" s="949">
        <f>Q37+R37</f>
        <v>478</v>
      </c>
      <c r="Q37" s="949">
        <f>9*D37*E37+8*D37*E37+4*D37</f>
        <v>456</v>
      </c>
      <c r="R37" s="947">
        <f t="shared" si="12"/>
        <v>22</v>
      </c>
      <c r="S37" s="950">
        <f t="shared" si="84"/>
        <v>1264.2933333333333</v>
      </c>
      <c r="T37" s="950">
        <f t="shared" si="85"/>
        <v>1212.96</v>
      </c>
      <c r="U37" s="950">
        <f>28/12*R37</f>
        <v>51.333333333333336</v>
      </c>
      <c r="V37" s="950">
        <f t="shared" si="5"/>
        <v>2</v>
      </c>
      <c r="W37" s="950">
        <v>12</v>
      </c>
      <c r="X37" s="950">
        <f>392*E37</f>
        <v>784</v>
      </c>
      <c r="Y37" s="958">
        <f>392*E37</f>
        <v>784</v>
      </c>
      <c r="Z37" s="949">
        <f t="shared" si="16"/>
        <v>1141.5</v>
      </c>
      <c r="AA37" s="959">
        <f t="shared" si="17"/>
        <v>502.20000000000005</v>
      </c>
      <c r="AB37" s="954">
        <f t="shared" si="18"/>
        <v>143</v>
      </c>
      <c r="AC37" s="955"/>
      <c r="AD37" s="955"/>
      <c r="AE37" s="514"/>
      <c r="AF37" s="514"/>
      <c r="AG37" s="74"/>
      <c r="AH37" s="74"/>
      <c r="AI37" s="74"/>
      <c r="AJ37" s="74"/>
      <c r="AK37" s="74"/>
      <c r="AL37" s="74"/>
      <c r="AM37" s="74"/>
      <c r="AN37" s="74"/>
      <c r="AO37" s="74"/>
      <c r="AP37" s="74"/>
      <c r="AQ37" s="74"/>
      <c r="AR37" s="74"/>
      <c r="AS37" s="74"/>
      <c r="AT37" s="74"/>
    </row>
    <row r="38" spans="1:46" ht="12" customHeight="1" x14ac:dyDescent="0.25">
      <c r="A38" s="965" t="s">
        <v>1439</v>
      </c>
      <c r="B38" s="946"/>
      <c r="C38" s="946" t="str">
        <f t="shared" ref="C38" si="87">CONCATENATE(A38,D38,E38)</f>
        <v>II-2994</v>
      </c>
      <c r="D38" s="949">
        <v>9</v>
      </c>
      <c r="E38" s="949">
        <v>4</v>
      </c>
      <c r="F38" s="950">
        <f t="shared" si="34"/>
        <v>8437.5</v>
      </c>
      <c r="G38" s="950">
        <f>IF(E38&gt;2,2*157.7+(E38-2)*183.4,E38*157.7)*D38</f>
        <v>6139.8</v>
      </c>
      <c r="H38" s="949">
        <f>IF(E38&gt;2,2*109.3+(E38-2)*129.2,E38*109.3)*D38</f>
        <v>4293</v>
      </c>
      <c r="I38" s="949">
        <f t="shared" si="86"/>
        <v>2297.6999999999998</v>
      </c>
      <c r="J38" s="949">
        <f t="shared" si="2"/>
        <v>28.98</v>
      </c>
      <c r="K38" s="949">
        <v>3.22</v>
      </c>
      <c r="L38" s="949">
        <v>75</v>
      </c>
      <c r="M38" s="949">
        <v>12.5</v>
      </c>
      <c r="N38" s="950">
        <f t="shared" ref="N38:N51" si="88">(L38+M38)*2*J38</f>
        <v>5071.5</v>
      </c>
      <c r="O38" s="950">
        <f t="shared" ref="O38:O47" si="89">N38-S38-W38</f>
        <v>4075.5</v>
      </c>
      <c r="P38" s="949">
        <f>Q38+R38</f>
        <v>500</v>
      </c>
      <c r="Q38" s="950">
        <f>(6+7)*D38*E38</f>
        <v>468</v>
      </c>
      <c r="R38" s="947">
        <f t="shared" si="12"/>
        <v>32</v>
      </c>
      <c r="S38" s="950">
        <f t="shared" si="84"/>
        <v>982</v>
      </c>
      <c r="T38" s="950">
        <v>902</v>
      </c>
      <c r="U38" s="950">
        <v>80</v>
      </c>
      <c r="V38" s="950">
        <f t="shared" si="5"/>
        <v>4</v>
      </c>
      <c r="W38" s="950">
        <v>14</v>
      </c>
      <c r="X38" s="950">
        <v>882</v>
      </c>
      <c r="Y38" s="958">
        <v>882</v>
      </c>
      <c r="Z38" s="949">
        <f t="shared" si="16"/>
        <v>1319.5</v>
      </c>
      <c r="AA38" s="959">
        <f t="shared" si="17"/>
        <v>362.25</v>
      </c>
      <c r="AB38" s="954">
        <f t="shared" si="18"/>
        <v>175</v>
      </c>
      <c r="AC38" s="955"/>
      <c r="AD38" s="955"/>
      <c r="AE38" s="514"/>
      <c r="AF38" s="514"/>
      <c r="AG38" s="74"/>
      <c r="AH38" s="74"/>
      <c r="AI38" s="74"/>
      <c r="AJ38" s="74"/>
      <c r="AK38" s="74"/>
      <c r="AL38" s="74"/>
      <c r="AM38" s="74"/>
      <c r="AN38" s="74"/>
      <c r="AO38" s="74"/>
      <c r="AP38" s="74"/>
      <c r="AQ38" s="74"/>
      <c r="AR38" s="74"/>
      <c r="AS38" s="74"/>
      <c r="AT38" s="74"/>
    </row>
    <row r="39" spans="1:46" ht="12" customHeight="1" x14ac:dyDescent="0.25">
      <c r="A39" s="965" t="s">
        <v>1440</v>
      </c>
      <c r="B39" s="946"/>
      <c r="C39" s="946" t="str">
        <f>CONCATENATE(A39,D39,E39)</f>
        <v>II-4994</v>
      </c>
      <c r="D39" s="949">
        <v>9</v>
      </c>
      <c r="E39" s="949">
        <v>4</v>
      </c>
      <c r="F39" s="949">
        <f t="shared" si="34"/>
        <v>9652.5</v>
      </c>
      <c r="G39" s="949">
        <f t="shared" ref="G39:G41" si="90">200.52*$D39*$E39</f>
        <v>7218.72</v>
      </c>
      <c r="H39" s="949">
        <f t="shared" ref="H39:H41" si="91">134.6*$D39*$E39</f>
        <v>4845.5999999999995</v>
      </c>
      <c r="I39" s="949">
        <f t="shared" ref="I39:I42" si="92">F39-G39</f>
        <v>2433.7799999999997</v>
      </c>
      <c r="J39" s="949">
        <f t="shared" si="2"/>
        <v>28.98</v>
      </c>
      <c r="K39" s="949">
        <v>3.22</v>
      </c>
      <c r="L39" s="949">
        <v>82.5</v>
      </c>
      <c r="M39" s="949">
        <v>13</v>
      </c>
      <c r="N39" s="950">
        <f t="shared" si="88"/>
        <v>5535.18</v>
      </c>
      <c r="O39" s="950">
        <f t="shared" si="89"/>
        <v>4303.1000000000004</v>
      </c>
      <c r="P39" s="949">
        <f t="shared" ref="P39:P48" si="93">Q39+R39</f>
        <v>536</v>
      </c>
      <c r="Q39" s="949">
        <f>13*D39*E39+2*2*D39</f>
        <v>504</v>
      </c>
      <c r="R39" s="947">
        <f t="shared" si="12"/>
        <v>32</v>
      </c>
      <c r="S39" s="949">
        <f t="shared" si="84"/>
        <v>1224.08</v>
      </c>
      <c r="T39" s="966">
        <f>2.27*Q39</f>
        <v>1144.08</v>
      </c>
      <c r="U39" s="949">
        <f t="shared" ref="U39:U45" si="94">2.5*R39</f>
        <v>80</v>
      </c>
      <c r="V39" s="949">
        <f t="shared" si="5"/>
        <v>4</v>
      </c>
      <c r="W39" s="949">
        <f>V39*2</f>
        <v>8</v>
      </c>
      <c r="X39" s="949">
        <v>1076</v>
      </c>
      <c r="Y39" s="958">
        <v>1076</v>
      </c>
      <c r="Z39" s="949">
        <f t="shared" si="16"/>
        <v>1553.5</v>
      </c>
      <c r="AA39" s="959">
        <f t="shared" si="17"/>
        <v>376.74</v>
      </c>
      <c r="AB39" s="954">
        <f t="shared" si="18"/>
        <v>191</v>
      </c>
      <c r="AC39" s="955"/>
      <c r="AD39" s="955"/>
      <c r="AE39" s="514"/>
      <c r="AF39" s="514"/>
      <c r="AG39" s="74"/>
      <c r="AH39" s="74"/>
      <c r="AI39" s="74"/>
      <c r="AJ39" s="74"/>
      <c r="AK39" s="74"/>
      <c r="AL39" s="74"/>
      <c r="AM39" s="74"/>
      <c r="AN39" s="74"/>
      <c r="AO39" s="74"/>
      <c r="AP39" s="74"/>
      <c r="AQ39" s="74"/>
      <c r="AR39" s="74"/>
      <c r="AS39" s="74"/>
      <c r="AT39" s="74"/>
    </row>
    <row r="40" spans="1:46" ht="12" customHeight="1" x14ac:dyDescent="0.25">
      <c r="A40" s="965" t="s">
        <v>1440</v>
      </c>
      <c r="B40" s="946"/>
      <c r="C40" s="946" t="str">
        <f t="shared" ref="C40" si="95">CONCATENATE(A40,D40,E40)</f>
        <v>II-4996</v>
      </c>
      <c r="D40" s="949">
        <f>9</f>
        <v>9</v>
      </c>
      <c r="E40" s="949">
        <f>6</f>
        <v>6</v>
      </c>
      <c r="F40" s="950">
        <f t="shared" si="34"/>
        <v>14478.75</v>
      </c>
      <c r="G40" s="950">
        <f t="shared" si="90"/>
        <v>10828.08</v>
      </c>
      <c r="H40" s="949">
        <f t="shared" si="91"/>
        <v>7268.4</v>
      </c>
      <c r="I40" s="949">
        <f t="shared" si="92"/>
        <v>3650.67</v>
      </c>
      <c r="J40" s="949">
        <f t="shared" si="2"/>
        <v>27.900000000000002</v>
      </c>
      <c r="K40" s="949">
        <v>3.1</v>
      </c>
      <c r="L40" s="949">
        <v>123.75</v>
      </c>
      <c r="M40" s="949">
        <v>13</v>
      </c>
      <c r="N40" s="950">
        <f t="shared" si="88"/>
        <v>7630.6500000000005</v>
      </c>
      <c r="O40" s="950">
        <f t="shared" si="89"/>
        <v>5823.39</v>
      </c>
      <c r="P40" s="949">
        <f t="shared" si="93"/>
        <v>786</v>
      </c>
      <c r="Q40" s="949">
        <f>13*D40*E40+2*2*D40</f>
        <v>738</v>
      </c>
      <c r="R40" s="947">
        <f t="shared" si="12"/>
        <v>48</v>
      </c>
      <c r="S40" s="949">
        <f t="shared" si="84"/>
        <v>1795.26</v>
      </c>
      <c r="T40" s="966">
        <f t="shared" ref="T40:T41" si="96">2.27*Q40</f>
        <v>1675.26</v>
      </c>
      <c r="U40" s="949">
        <f t="shared" si="94"/>
        <v>120</v>
      </c>
      <c r="V40" s="950">
        <f t="shared" si="5"/>
        <v>6</v>
      </c>
      <c r="W40" s="949">
        <f t="shared" ref="W40:W41" si="97">V40*2</f>
        <v>12</v>
      </c>
      <c r="X40" s="950">
        <f>X39/4*6</f>
        <v>1614</v>
      </c>
      <c r="Y40" s="967">
        <f>Y39/4*6</f>
        <v>1614</v>
      </c>
      <c r="Z40" s="949">
        <f t="shared" si="16"/>
        <v>2297.75</v>
      </c>
      <c r="AA40" s="959">
        <f t="shared" si="17"/>
        <v>362.70000000000005</v>
      </c>
      <c r="AB40" s="954">
        <f t="shared" si="18"/>
        <v>273.5</v>
      </c>
      <c r="AC40" s="955"/>
      <c r="AD40" s="955"/>
      <c r="AE40" s="514"/>
      <c r="AF40" s="514"/>
      <c r="AG40" s="74"/>
      <c r="AH40" s="74"/>
      <c r="AI40" s="74"/>
      <c r="AJ40" s="74"/>
      <c r="AK40" s="74"/>
      <c r="AL40" s="74"/>
      <c r="AM40" s="74"/>
      <c r="AN40" s="74"/>
      <c r="AO40" s="74"/>
      <c r="AP40" s="74"/>
      <c r="AQ40" s="74"/>
      <c r="AR40" s="74"/>
      <c r="AS40" s="74"/>
      <c r="AT40" s="74"/>
    </row>
    <row r="41" spans="1:46" ht="12" customHeight="1" x14ac:dyDescent="0.25">
      <c r="A41" s="965" t="s">
        <v>1440</v>
      </c>
      <c r="B41" s="946"/>
      <c r="C41" s="946" t="str">
        <f t="shared" ref="C41:C46" si="98">CONCATENATE(A41,D41,E41)</f>
        <v>II-49124</v>
      </c>
      <c r="D41" s="949">
        <v>12</v>
      </c>
      <c r="E41" s="949">
        <f>4</f>
        <v>4</v>
      </c>
      <c r="F41" s="950">
        <f t="shared" si="34"/>
        <v>12870</v>
      </c>
      <c r="G41" s="950">
        <f t="shared" si="90"/>
        <v>9624.9600000000009</v>
      </c>
      <c r="H41" s="949">
        <f t="shared" si="91"/>
        <v>6460.7999999999993</v>
      </c>
      <c r="I41" s="949">
        <f t="shared" si="92"/>
        <v>3245.0399999999991</v>
      </c>
      <c r="J41" s="949">
        <f t="shared" si="2"/>
        <v>37.200000000000003</v>
      </c>
      <c r="K41" s="949">
        <v>3.1</v>
      </c>
      <c r="L41" s="949">
        <v>82.5</v>
      </c>
      <c r="M41" s="949">
        <v>13</v>
      </c>
      <c r="N41" s="950">
        <f t="shared" si="88"/>
        <v>7105.2000000000007</v>
      </c>
      <c r="O41" s="950">
        <f t="shared" si="89"/>
        <v>5461.76</v>
      </c>
      <c r="P41" s="949">
        <f>Q41+R41</f>
        <v>716</v>
      </c>
      <c r="Q41" s="949">
        <f>13*D41*E41+2*2*D41</f>
        <v>672</v>
      </c>
      <c r="R41" s="947">
        <f t="shared" si="12"/>
        <v>44</v>
      </c>
      <c r="S41" s="949">
        <f t="shared" si="84"/>
        <v>1635.44</v>
      </c>
      <c r="T41" s="966">
        <f t="shared" si="96"/>
        <v>1525.44</v>
      </c>
      <c r="U41" s="949">
        <f t="shared" si="94"/>
        <v>110</v>
      </c>
      <c r="V41" s="950">
        <f t="shared" si="5"/>
        <v>4</v>
      </c>
      <c r="W41" s="949">
        <f t="shared" si="97"/>
        <v>8</v>
      </c>
      <c r="X41" s="950">
        <v>1076</v>
      </c>
      <c r="Y41" s="958">
        <v>1076</v>
      </c>
      <c r="Z41" s="949">
        <f t="shared" si="16"/>
        <v>1553.5</v>
      </c>
      <c r="AA41" s="959">
        <f t="shared" si="17"/>
        <v>483.6</v>
      </c>
      <c r="AB41" s="954">
        <f t="shared" si="18"/>
        <v>191</v>
      </c>
      <c r="AC41" s="955"/>
      <c r="AD41" s="955"/>
      <c r="AE41" s="514"/>
      <c r="AF41" s="514"/>
      <c r="AG41" s="74"/>
      <c r="AH41" s="74"/>
      <c r="AI41" s="74"/>
      <c r="AJ41" s="74"/>
      <c r="AK41" s="74"/>
      <c r="AL41" s="74"/>
      <c r="AM41" s="74"/>
      <c r="AN41" s="74"/>
      <c r="AO41" s="74"/>
      <c r="AP41" s="74"/>
      <c r="AQ41" s="74"/>
      <c r="AR41" s="74"/>
      <c r="AS41" s="74"/>
      <c r="AT41" s="74"/>
    </row>
    <row r="42" spans="1:46" ht="12" customHeight="1" x14ac:dyDescent="0.25">
      <c r="A42" s="965" t="s">
        <v>1489</v>
      </c>
      <c r="B42" s="946"/>
      <c r="C42" s="946" t="str">
        <f t="shared" si="98"/>
        <v>II-68 (-01, -02) 1 или 2 секции161</v>
      </c>
      <c r="D42" s="949">
        <v>16</v>
      </c>
      <c r="E42" s="949">
        <v>1</v>
      </c>
      <c r="F42" s="950">
        <f t="shared" si="34"/>
        <v>8960</v>
      </c>
      <c r="G42" s="950">
        <f>IF(E42=1,333*D42,D42*(333+314.1))</f>
        <v>5328</v>
      </c>
      <c r="H42" s="949">
        <f>IF(E42=1,208*D42,(208+176.3)*D42)</f>
        <v>3328</v>
      </c>
      <c r="I42" s="949">
        <f t="shared" si="92"/>
        <v>3632</v>
      </c>
      <c r="J42" s="949">
        <f t="shared" si="2"/>
        <v>49.6</v>
      </c>
      <c r="K42" s="949">
        <v>3.1</v>
      </c>
      <c r="L42" s="949">
        <f>35*E42</f>
        <v>35</v>
      </c>
      <c r="M42" s="949">
        <f>16</f>
        <v>16</v>
      </c>
      <c r="N42" s="950">
        <f t="shared" si="88"/>
        <v>5059.2</v>
      </c>
      <c r="O42" s="950">
        <f t="shared" si="89"/>
        <v>4517.3</v>
      </c>
      <c r="P42" s="949">
        <f t="shared" ref="P42" si="99">Q42+R42</f>
        <v>223</v>
      </c>
      <c r="Q42" s="949">
        <f>IF(E42=1,13*D42,(13+11)*D42)</f>
        <v>208</v>
      </c>
      <c r="R42" s="947">
        <f t="shared" si="12"/>
        <v>15</v>
      </c>
      <c r="S42" s="949">
        <f t="shared" si="84"/>
        <v>536.70000000000005</v>
      </c>
      <c r="T42" s="950">
        <f>2.4*Q42</f>
        <v>499.2</v>
      </c>
      <c r="U42" s="949">
        <f t="shared" si="94"/>
        <v>37.5</v>
      </c>
      <c r="V42" s="950">
        <f t="shared" si="5"/>
        <v>1</v>
      </c>
      <c r="W42" s="949">
        <f>5.2*V42</f>
        <v>5.2</v>
      </c>
      <c r="X42" s="949">
        <f t="shared" ref="X42:X50" si="100">L42*M42</f>
        <v>560</v>
      </c>
      <c r="Y42" s="958">
        <f t="shared" ref="Y42:Y51" si="101">$L42*$M42</f>
        <v>560</v>
      </c>
      <c r="Z42" s="949">
        <f t="shared" si="16"/>
        <v>815</v>
      </c>
      <c r="AA42" s="959">
        <f t="shared" si="17"/>
        <v>793.6</v>
      </c>
      <c r="AB42" s="954">
        <f t="shared" si="18"/>
        <v>102</v>
      </c>
      <c r="AC42" s="955"/>
      <c r="AD42" s="955"/>
      <c r="AE42" s="514"/>
      <c r="AF42" s="514"/>
      <c r="AG42" s="74"/>
      <c r="AH42" s="74"/>
      <c r="AI42" s="74"/>
      <c r="AJ42" s="74"/>
      <c r="AK42" s="74"/>
      <c r="AL42" s="74"/>
      <c r="AM42" s="74"/>
      <c r="AN42" s="74"/>
      <c r="AO42" s="74"/>
      <c r="AP42" s="74"/>
      <c r="AQ42" s="74"/>
      <c r="AR42" s="74"/>
      <c r="AS42" s="74"/>
      <c r="AT42" s="74"/>
    </row>
    <row r="43" spans="1:46" ht="12" customHeight="1" x14ac:dyDescent="0.25">
      <c r="A43" s="965" t="s">
        <v>1489</v>
      </c>
      <c r="B43" s="946"/>
      <c r="C43" s="946" t="str">
        <f t="shared" si="98"/>
        <v>II-68 (-01, -02) 1 или 2 секции162</v>
      </c>
      <c r="D43" s="949">
        <v>16</v>
      </c>
      <c r="E43" s="949">
        <v>2</v>
      </c>
      <c r="F43" s="950">
        <f t="shared" si="34"/>
        <v>17920</v>
      </c>
      <c r="G43" s="950">
        <f>IF(E43=1,333*D43,D43*(333+314.1))</f>
        <v>10353.6</v>
      </c>
      <c r="H43" s="949">
        <f>IF(E43=1,208*D43,(208+176.3)*D43)</f>
        <v>6148.8</v>
      </c>
      <c r="I43" s="949">
        <f t="shared" ref="I43:I44" si="102">F43-G43</f>
        <v>7566.4</v>
      </c>
      <c r="J43" s="949">
        <f t="shared" si="2"/>
        <v>49.6</v>
      </c>
      <c r="K43" s="949">
        <v>3.1</v>
      </c>
      <c r="L43" s="949">
        <f>35*E43</f>
        <v>70</v>
      </c>
      <c r="M43" s="949">
        <f>16</f>
        <v>16</v>
      </c>
      <c r="N43" s="950">
        <f t="shared" ref="N43:N44" si="103">(L43+M43)*2*J43</f>
        <v>8531.2000000000007</v>
      </c>
      <c r="O43" s="950">
        <f t="shared" ref="O43:O44" si="104">N43-S43-W43</f>
        <v>7524.2000000000007</v>
      </c>
      <c r="P43" s="949">
        <f t="shared" ref="P43:P44" si="105">Q43+R43</f>
        <v>414</v>
      </c>
      <c r="Q43" s="949">
        <f>IF(E43=1,13*D43,(13+11)*D43)</f>
        <v>384</v>
      </c>
      <c r="R43" s="947">
        <f t="shared" si="12"/>
        <v>30</v>
      </c>
      <c r="S43" s="949">
        <f t="shared" ref="S43:S44" si="106">T43+U43</f>
        <v>996.59999999999991</v>
      </c>
      <c r="T43" s="950">
        <f>2.4*Q43</f>
        <v>921.59999999999991</v>
      </c>
      <c r="U43" s="949">
        <f t="shared" si="94"/>
        <v>75</v>
      </c>
      <c r="V43" s="950">
        <f t="shared" si="5"/>
        <v>2</v>
      </c>
      <c r="W43" s="949">
        <f>5.2*V43</f>
        <v>10.4</v>
      </c>
      <c r="X43" s="949">
        <f t="shared" ref="X43:X44" si="107">L43*M43</f>
        <v>1120</v>
      </c>
      <c r="Y43" s="958">
        <f t="shared" si="101"/>
        <v>1120</v>
      </c>
      <c r="Z43" s="949">
        <f t="shared" ref="Z43:Z44" si="108">Y43+(L43+M43)*2*2.5</f>
        <v>1550</v>
      </c>
      <c r="AA43" s="959">
        <f t="shared" si="17"/>
        <v>793.6</v>
      </c>
      <c r="AB43" s="954">
        <f t="shared" si="18"/>
        <v>172</v>
      </c>
      <c r="AC43" s="955"/>
      <c r="AD43" s="955"/>
      <c r="AE43" s="514"/>
      <c r="AF43" s="514"/>
      <c r="AG43" s="74"/>
      <c r="AH43" s="74"/>
      <c r="AI43" s="74"/>
      <c r="AJ43" s="74"/>
      <c r="AK43" s="74"/>
      <c r="AL43" s="74"/>
      <c r="AM43" s="74"/>
      <c r="AN43" s="74"/>
      <c r="AO43" s="74"/>
      <c r="AP43" s="74"/>
      <c r="AQ43" s="74"/>
      <c r="AR43" s="74"/>
      <c r="AS43" s="74"/>
      <c r="AT43" s="74"/>
    </row>
    <row r="44" spans="1:46" ht="12" customHeight="1" x14ac:dyDescent="0.25">
      <c r="A44" s="965" t="s">
        <v>1489</v>
      </c>
      <c r="B44" s="946"/>
      <c r="C44" s="946" t="str">
        <f t="shared" si="98"/>
        <v>II-68 (-01, -02) 1 или 2 секции171</v>
      </c>
      <c r="D44" s="949">
        <v>17</v>
      </c>
      <c r="E44" s="949">
        <v>1</v>
      </c>
      <c r="F44" s="950">
        <f t="shared" si="34"/>
        <v>9520</v>
      </c>
      <c r="G44" s="950">
        <f>IF(E44=1,333*D44,D44*(333+314.1))</f>
        <v>5661</v>
      </c>
      <c r="H44" s="949">
        <f>IF(E44=1,208*D44,(208+176.3)*D44)</f>
        <v>3536</v>
      </c>
      <c r="I44" s="949">
        <f t="shared" si="102"/>
        <v>3859</v>
      </c>
      <c r="J44" s="949">
        <f t="shared" si="2"/>
        <v>52.7</v>
      </c>
      <c r="K44" s="949">
        <v>3.1</v>
      </c>
      <c r="L44" s="949">
        <f>35*E44</f>
        <v>35</v>
      </c>
      <c r="M44" s="949">
        <f>16</f>
        <v>16</v>
      </c>
      <c r="N44" s="950">
        <f t="shared" si="103"/>
        <v>5375.4000000000005</v>
      </c>
      <c r="O44" s="950">
        <f t="shared" si="104"/>
        <v>4799.8000000000011</v>
      </c>
      <c r="P44" s="949">
        <f t="shared" si="105"/>
        <v>237</v>
      </c>
      <c r="Q44" s="949">
        <f>IF(E44=1,13*D44,(13+11)*D44)</f>
        <v>221</v>
      </c>
      <c r="R44" s="947">
        <f t="shared" si="12"/>
        <v>16</v>
      </c>
      <c r="S44" s="949">
        <f t="shared" si="106"/>
        <v>570.4</v>
      </c>
      <c r="T44" s="950">
        <f>2.4*Q44</f>
        <v>530.4</v>
      </c>
      <c r="U44" s="949">
        <f t="shared" si="94"/>
        <v>40</v>
      </c>
      <c r="V44" s="950">
        <f t="shared" si="5"/>
        <v>1</v>
      </c>
      <c r="W44" s="949">
        <f>5.2*V44</f>
        <v>5.2</v>
      </c>
      <c r="X44" s="949">
        <f t="shared" si="107"/>
        <v>560</v>
      </c>
      <c r="Y44" s="958">
        <f t="shared" si="101"/>
        <v>560</v>
      </c>
      <c r="Z44" s="949">
        <f t="shared" si="108"/>
        <v>815</v>
      </c>
      <c r="AA44" s="959">
        <f t="shared" si="17"/>
        <v>843.2</v>
      </c>
      <c r="AB44" s="954">
        <f t="shared" si="18"/>
        <v>102</v>
      </c>
      <c r="AC44" s="955"/>
      <c r="AD44" s="955"/>
      <c r="AE44" s="514"/>
      <c r="AF44" s="514"/>
      <c r="AG44" s="74"/>
      <c r="AH44" s="74"/>
      <c r="AI44" s="74"/>
      <c r="AJ44" s="74"/>
      <c r="AK44" s="74"/>
      <c r="AL44" s="74"/>
      <c r="AM44" s="74"/>
      <c r="AN44" s="74"/>
      <c r="AO44" s="74"/>
      <c r="AP44" s="74"/>
      <c r="AQ44" s="74"/>
      <c r="AR44" s="74"/>
      <c r="AS44" s="74"/>
      <c r="AT44" s="74"/>
    </row>
    <row r="45" spans="1:46" ht="12" customHeight="1" x14ac:dyDescent="0.25">
      <c r="A45" s="965" t="s">
        <v>1489</v>
      </c>
      <c r="B45" s="946"/>
      <c r="C45" s="946" t="str">
        <f t="shared" si="98"/>
        <v>II-68 (-01, -02) 1 или 2 секции172</v>
      </c>
      <c r="D45" s="949">
        <v>17</v>
      </c>
      <c r="E45" s="949">
        <v>2</v>
      </c>
      <c r="F45" s="950">
        <f t="shared" si="34"/>
        <v>19040</v>
      </c>
      <c r="G45" s="950">
        <f>IF(E45=1,333*D45,D45*(333+314.1))</f>
        <v>11000.7</v>
      </c>
      <c r="H45" s="949">
        <f>IF(E45=1,208*D45,(208+176.3)*D45)</f>
        <v>6533.1</v>
      </c>
      <c r="I45" s="949">
        <f t="shared" ref="I45" si="109">F45-G45</f>
        <v>8039.2999999999993</v>
      </c>
      <c r="J45" s="949">
        <f t="shared" si="2"/>
        <v>52.7</v>
      </c>
      <c r="K45" s="949">
        <v>3.1</v>
      </c>
      <c r="L45" s="949">
        <f>35*E45</f>
        <v>70</v>
      </c>
      <c r="M45" s="949">
        <f>16</f>
        <v>16</v>
      </c>
      <c r="N45" s="950">
        <f t="shared" ref="N45" si="110">(L45+M45)*2*J45</f>
        <v>9064.4</v>
      </c>
      <c r="O45" s="950">
        <f t="shared" ref="O45" si="111">N45-S45-W45</f>
        <v>7994.8</v>
      </c>
      <c r="P45" s="949">
        <f t="shared" ref="P45" si="112">Q45+R45</f>
        <v>440</v>
      </c>
      <c r="Q45" s="949">
        <f>IF(E45=1,13*D45,(13+11)*D45)</f>
        <v>408</v>
      </c>
      <c r="R45" s="947">
        <f t="shared" si="12"/>
        <v>32</v>
      </c>
      <c r="S45" s="949">
        <f t="shared" ref="S45" si="113">T45+U45</f>
        <v>1059.1999999999998</v>
      </c>
      <c r="T45" s="950">
        <f>2.4*Q45</f>
        <v>979.19999999999993</v>
      </c>
      <c r="U45" s="949">
        <f t="shared" si="94"/>
        <v>80</v>
      </c>
      <c r="V45" s="950">
        <f t="shared" si="5"/>
        <v>2</v>
      </c>
      <c r="W45" s="949">
        <f>5.2*V45</f>
        <v>10.4</v>
      </c>
      <c r="X45" s="949">
        <f t="shared" ref="X45" si="114">L45*M45</f>
        <v>1120</v>
      </c>
      <c r="Y45" s="958">
        <f t="shared" si="101"/>
        <v>1120</v>
      </c>
      <c r="Z45" s="949">
        <f t="shared" ref="Z45" si="115">Y45+(L45+M45)*2*2.5</f>
        <v>1550</v>
      </c>
      <c r="AA45" s="959">
        <f t="shared" si="17"/>
        <v>843.2</v>
      </c>
      <c r="AB45" s="954">
        <f t="shared" si="18"/>
        <v>172</v>
      </c>
      <c r="AC45" s="955"/>
      <c r="AD45" s="955"/>
      <c r="AE45" s="514"/>
      <c r="AF45" s="514"/>
      <c r="AG45" s="74"/>
      <c r="AH45" s="74"/>
      <c r="AI45" s="74"/>
      <c r="AJ45" s="74"/>
      <c r="AK45" s="74"/>
      <c r="AL45" s="74"/>
      <c r="AM45" s="74"/>
      <c r="AN45" s="74"/>
      <c r="AO45" s="74"/>
      <c r="AP45" s="74"/>
      <c r="AQ45" s="74"/>
      <c r="AR45" s="74"/>
      <c r="AS45" s="74"/>
      <c r="AT45" s="74"/>
    </row>
    <row r="46" spans="1:46" ht="13.5" customHeight="1" x14ac:dyDescent="0.25">
      <c r="A46" s="961" t="s">
        <v>609</v>
      </c>
      <c r="B46" s="946"/>
      <c r="C46" s="946" t="str">
        <f t="shared" si="98"/>
        <v>И-209А121</v>
      </c>
      <c r="D46" s="949">
        <f>12</f>
        <v>12</v>
      </c>
      <c r="E46" s="949">
        <f>1</f>
        <v>1</v>
      </c>
      <c r="F46" s="950">
        <f t="shared" si="34"/>
        <v>4804.8</v>
      </c>
      <c r="G46" s="950">
        <f>309.24*D46*E46*1.077</f>
        <v>3996.6177600000001</v>
      </c>
      <c r="H46" s="949">
        <f>182.2*E46*D46</f>
        <v>2186.3999999999996</v>
      </c>
      <c r="I46" s="949">
        <f t="shared" ref="I46" si="116">F46-G46</f>
        <v>808.18224000000009</v>
      </c>
      <c r="J46" s="949">
        <f t="shared" si="2"/>
        <v>26.880000000000003</v>
      </c>
      <c r="K46" s="949">
        <v>2.2400000000000002</v>
      </c>
      <c r="L46" s="949">
        <f>28.6*E46</f>
        <v>28.6</v>
      </c>
      <c r="M46" s="949">
        <v>14</v>
      </c>
      <c r="N46" s="950">
        <f t="shared" si="88"/>
        <v>2290.1760000000004</v>
      </c>
      <c r="O46" s="950">
        <f t="shared" si="89"/>
        <v>1620.1460000000002</v>
      </c>
      <c r="P46" s="949">
        <f t="shared" si="93"/>
        <v>251</v>
      </c>
      <c r="Q46" s="950">
        <f>(8+9)*D46*E46+(1+2)*D46</f>
        <v>240</v>
      </c>
      <c r="R46" s="947">
        <f t="shared" si="12"/>
        <v>11</v>
      </c>
      <c r="S46" s="950">
        <f t="shared" si="84"/>
        <v>664.03000000000009</v>
      </c>
      <c r="T46" s="950">
        <f>2.66*Q46</f>
        <v>638.40000000000009</v>
      </c>
      <c r="U46" s="950">
        <f>2.33*R46</f>
        <v>25.630000000000003</v>
      </c>
      <c r="V46" s="950">
        <f t="shared" si="5"/>
        <v>1</v>
      </c>
      <c r="W46" s="950">
        <f>6*V46</f>
        <v>6</v>
      </c>
      <c r="X46" s="950">
        <f t="shared" si="100"/>
        <v>400.40000000000003</v>
      </c>
      <c r="Y46" s="958">
        <f t="shared" si="101"/>
        <v>400.40000000000003</v>
      </c>
      <c r="Z46" s="949">
        <f t="shared" si="16"/>
        <v>613.40000000000009</v>
      </c>
      <c r="AA46" s="959">
        <f t="shared" si="17"/>
        <v>376.32000000000005</v>
      </c>
      <c r="AB46" s="954">
        <f t="shared" si="18"/>
        <v>85.2</v>
      </c>
      <c r="AC46" s="955"/>
      <c r="AD46" s="955"/>
      <c r="AE46" s="514"/>
      <c r="AF46" s="514"/>
      <c r="AG46" s="74"/>
      <c r="AH46" s="74"/>
      <c r="AI46" s="74"/>
      <c r="AJ46" s="74"/>
      <c r="AK46" s="74"/>
      <c r="AL46" s="74"/>
      <c r="AM46" s="74"/>
      <c r="AN46" s="74"/>
      <c r="AO46" s="74"/>
      <c r="AP46" s="74"/>
      <c r="AQ46" s="74"/>
      <c r="AR46" s="74"/>
      <c r="AS46" s="74"/>
      <c r="AT46" s="74"/>
    </row>
    <row r="47" spans="1:46" ht="12" customHeight="1" x14ac:dyDescent="0.25">
      <c r="A47" s="961" t="s">
        <v>609</v>
      </c>
      <c r="B47" s="946"/>
      <c r="C47" s="946" t="str">
        <f t="shared" ref="C47" si="117">CONCATENATE(A47,D47,E47)</f>
        <v>И-209А141</v>
      </c>
      <c r="D47" s="949">
        <v>14</v>
      </c>
      <c r="E47" s="949">
        <v>1</v>
      </c>
      <c r="F47" s="949">
        <f t="shared" si="34"/>
        <v>5605.6</v>
      </c>
      <c r="G47" s="949">
        <f>309.24*D47*E47*1.077</f>
        <v>4662.7207200000003</v>
      </c>
      <c r="H47" s="949">
        <f>182.2*E47*D47</f>
        <v>2550.7999999999997</v>
      </c>
      <c r="I47" s="949">
        <f t="shared" ref="I47" si="118">F47-G47</f>
        <v>942.87928000000011</v>
      </c>
      <c r="J47" s="949">
        <f t="shared" si="2"/>
        <v>45.36</v>
      </c>
      <c r="K47" s="949">
        <v>3.24</v>
      </c>
      <c r="L47" s="949">
        <f>28.6*E47</f>
        <v>28.6</v>
      </c>
      <c r="M47" s="949">
        <v>14</v>
      </c>
      <c r="N47" s="950">
        <f t="shared" si="88"/>
        <v>3864.672</v>
      </c>
      <c r="O47" s="950">
        <f t="shared" si="89"/>
        <v>3083.5819999999999</v>
      </c>
      <c r="P47" s="949">
        <f t="shared" si="93"/>
        <v>293</v>
      </c>
      <c r="Q47" s="950">
        <f>(8+9)*D47*E47+(1+2)*D47</f>
        <v>280</v>
      </c>
      <c r="R47" s="947">
        <f t="shared" si="12"/>
        <v>13</v>
      </c>
      <c r="S47" s="950">
        <f t="shared" si="84"/>
        <v>775.09</v>
      </c>
      <c r="T47" s="950">
        <f>2.66*Q47</f>
        <v>744.80000000000007</v>
      </c>
      <c r="U47" s="950">
        <f>2.33*R47</f>
        <v>30.29</v>
      </c>
      <c r="V47" s="950">
        <f t="shared" si="5"/>
        <v>1</v>
      </c>
      <c r="W47" s="950">
        <f t="shared" ref="W47:W51" si="119">6*V47</f>
        <v>6</v>
      </c>
      <c r="X47" s="950">
        <f t="shared" si="100"/>
        <v>400.40000000000003</v>
      </c>
      <c r="Y47" s="958">
        <f t="shared" si="101"/>
        <v>400.40000000000003</v>
      </c>
      <c r="Z47" s="949">
        <f t="shared" si="16"/>
        <v>613.40000000000009</v>
      </c>
      <c r="AA47" s="959">
        <f t="shared" si="17"/>
        <v>635.04</v>
      </c>
      <c r="AB47" s="954">
        <f t="shared" si="18"/>
        <v>85.2</v>
      </c>
      <c r="AC47" s="955"/>
      <c r="AD47" s="955"/>
      <c r="AE47" s="514"/>
      <c r="AF47" s="514"/>
      <c r="AG47" s="74"/>
      <c r="AH47" s="74"/>
      <c r="AI47" s="74"/>
      <c r="AJ47" s="74"/>
      <c r="AK47" s="74"/>
      <c r="AL47" s="74"/>
      <c r="AM47" s="74"/>
      <c r="AN47" s="74"/>
      <c r="AO47" s="74"/>
      <c r="AP47" s="74"/>
      <c r="AQ47" s="74"/>
      <c r="AR47" s="74"/>
      <c r="AS47" s="74"/>
      <c r="AT47" s="74"/>
    </row>
    <row r="48" spans="1:46" ht="12" customHeight="1" x14ac:dyDescent="0.25">
      <c r="A48" s="965" t="s">
        <v>445</v>
      </c>
      <c r="B48" s="946"/>
      <c r="C48" s="946" t="str">
        <f t="shared" ref="C48" si="120">CONCATENATE(A48,D48,E48)</f>
        <v>К-754</v>
      </c>
      <c r="D48" s="949">
        <v>5</v>
      </c>
      <c r="E48" s="949">
        <v>4</v>
      </c>
      <c r="F48" s="968">
        <f>L48*M48*$D48*0.98</f>
        <v>3136</v>
      </c>
      <c r="G48" s="968">
        <f>140.2*D48*E48</f>
        <v>2804</v>
      </c>
      <c r="H48" s="968">
        <f>85*D48*E48</f>
        <v>1700</v>
      </c>
      <c r="I48" s="968">
        <f t="shared" ref="I48:I50" si="121">F48-G48</f>
        <v>332</v>
      </c>
      <c r="J48" s="949">
        <f t="shared" si="2"/>
        <v>15.5</v>
      </c>
      <c r="K48" s="949">
        <v>3.1</v>
      </c>
      <c r="L48" s="949">
        <f>16*E48</f>
        <v>64</v>
      </c>
      <c r="M48" s="949">
        <v>10</v>
      </c>
      <c r="N48" s="950">
        <f t="shared" si="88"/>
        <v>2294</v>
      </c>
      <c r="O48" s="950">
        <f t="shared" ref="O48:O51" si="122">N48-S48-W48</f>
        <v>1821.58</v>
      </c>
      <c r="P48" s="949">
        <f t="shared" si="93"/>
        <v>196</v>
      </c>
      <c r="Q48" s="949">
        <f>9*D48*E48</f>
        <v>180</v>
      </c>
      <c r="R48" s="947">
        <f t="shared" si="12"/>
        <v>16</v>
      </c>
      <c r="S48" s="969">
        <f t="shared" si="84"/>
        <v>448.42</v>
      </c>
      <c r="T48" s="969">
        <f>2.269*Q48</f>
        <v>408.42</v>
      </c>
      <c r="U48" s="968">
        <f>2.5*R48</f>
        <v>40</v>
      </c>
      <c r="V48" s="949">
        <f t="shared" si="5"/>
        <v>4</v>
      </c>
      <c r="W48" s="950">
        <f t="shared" si="119"/>
        <v>24</v>
      </c>
      <c r="X48" s="949">
        <f t="shared" si="100"/>
        <v>640</v>
      </c>
      <c r="Y48" s="958">
        <f t="shared" si="101"/>
        <v>640</v>
      </c>
      <c r="Z48" s="949">
        <f t="shared" si="16"/>
        <v>1010</v>
      </c>
      <c r="AA48" s="959">
        <f t="shared" si="17"/>
        <v>155</v>
      </c>
      <c r="AB48" s="954">
        <f t="shared" si="18"/>
        <v>148</v>
      </c>
      <c r="AC48" s="955"/>
      <c r="AD48" s="955"/>
      <c r="AE48" s="514"/>
      <c r="AF48" s="514"/>
      <c r="AG48" s="74"/>
      <c r="AH48" s="74"/>
      <c r="AI48" s="74"/>
      <c r="AJ48" s="74"/>
      <c r="AK48" s="74"/>
      <c r="AL48" s="74"/>
      <c r="AM48" s="74"/>
      <c r="AN48" s="74"/>
      <c r="AO48" s="74"/>
      <c r="AP48" s="74"/>
      <c r="AQ48" s="74"/>
      <c r="AR48" s="74"/>
      <c r="AS48" s="74"/>
      <c r="AT48" s="74"/>
    </row>
    <row r="49" spans="1:46" ht="12" customHeight="1" x14ac:dyDescent="0.25">
      <c r="A49" s="965" t="s">
        <v>445</v>
      </c>
      <c r="B49" s="946"/>
      <c r="C49" s="946" t="str">
        <f t="shared" ref="C49" si="123">CONCATENATE(A49,D49,E49)</f>
        <v>К-744</v>
      </c>
      <c r="D49" s="949">
        <v>4</v>
      </c>
      <c r="E49" s="949">
        <v>4</v>
      </c>
      <c r="F49" s="968">
        <f>L49*M49*$D49*0.98</f>
        <v>2508.8000000000002</v>
      </c>
      <c r="G49" s="968">
        <f>140.2*D49*E49</f>
        <v>2243.1999999999998</v>
      </c>
      <c r="H49" s="968">
        <f>85*D49*E49</f>
        <v>1360</v>
      </c>
      <c r="I49" s="968">
        <f t="shared" ref="I49" si="124">F49-G49</f>
        <v>265.60000000000036</v>
      </c>
      <c r="J49" s="949">
        <f t="shared" si="2"/>
        <v>12.4</v>
      </c>
      <c r="K49" s="949">
        <v>3.1</v>
      </c>
      <c r="L49" s="949">
        <f>16*E49</f>
        <v>64</v>
      </c>
      <c r="M49" s="949">
        <v>10</v>
      </c>
      <c r="N49" s="950">
        <f t="shared" si="88"/>
        <v>1835.2</v>
      </c>
      <c r="O49" s="950">
        <f t="shared" si="122"/>
        <v>1454.4639999999999</v>
      </c>
      <c r="P49" s="949">
        <f t="shared" ref="P49:P50" si="125">Q49+R49</f>
        <v>156</v>
      </c>
      <c r="Q49" s="949">
        <f>9*D49*E49</f>
        <v>144</v>
      </c>
      <c r="R49" s="947">
        <f t="shared" si="12"/>
        <v>12</v>
      </c>
      <c r="S49" s="969">
        <f t="shared" si="84"/>
        <v>356.73599999999999</v>
      </c>
      <c r="T49" s="969">
        <f>2.269*Q49</f>
        <v>326.73599999999999</v>
      </c>
      <c r="U49" s="968">
        <f>2.5*R49</f>
        <v>30</v>
      </c>
      <c r="V49" s="949">
        <f t="shared" si="5"/>
        <v>4</v>
      </c>
      <c r="W49" s="950">
        <f t="shared" si="119"/>
        <v>24</v>
      </c>
      <c r="X49" s="949">
        <f t="shared" si="100"/>
        <v>640</v>
      </c>
      <c r="Y49" s="958">
        <f t="shared" si="101"/>
        <v>640</v>
      </c>
      <c r="Z49" s="949">
        <f t="shared" si="16"/>
        <v>1010</v>
      </c>
      <c r="AA49" s="959">
        <f t="shared" si="17"/>
        <v>124</v>
      </c>
      <c r="AB49" s="954">
        <f t="shared" si="18"/>
        <v>148</v>
      </c>
      <c r="AC49" s="955"/>
      <c r="AD49" s="955"/>
      <c r="AE49" s="514"/>
      <c r="AF49" s="514"/>
      <c r="AG49" s="74"/>
      <c r="AH49" s="74"/>
      <c r="AI49" s="74"/>
      <c r="AJ49" s="74"/>
      <c r="AK49" s="74"/>
      <c r="AL49" s="74"/>
      <c r="AM49" s="74"/>
      <c r="AN49" s="74"/>
      <c r="AO49" s="74"/>
      <c r="AP49" s="74"/>
      <c r="AQ49" s="74"/>
      <c r="AR49" s="74"/>
      <c r="AS49" s="74"/>
      <c r="AT49" s="74"/>
    </row>
    <row r="50" spans="1:46" ht="12" customHeight="1" x14ac:dyDescent="0.25">
      <c r="A50" s="961" t="s">
        <v>1397</v>
      </c>
      <c r="B50" s="946"/>
      <c r="C50" s="946" t="str">
        <f t="shared" ref="C50" si="126">CONCATENATE(A50,D50,E50)</f>
        <v>П-3 (только прямая секция)161</v>
      </c>
      <c r="D50" s="949">
        <v>16</v>
      </c>
      <c r="E50" s="949">
        <v>1</v>
      </c>
      <c r="F50" s="968">
        <f>L50*M50*$D50*0.98-28.5*D50*E50</f>
        <v>5173.7471999999989</v>
      </c>
      <c r="G50" s="969">
        <f>253*$D50*$E50</f>
        <v>4048</v>
      </c>
      <c r="H50" s="968">
        <f>153.4*$D50*$E50</f>
        <v>2454.4</v>
      </c>
      <c r="I50" s="968">
        <f t="shared" si="121"/>
        <v>1125.7471999999989</v>
      </c>
      <c r="J50" s="949">
        <f t="shared" si="2"/>
        <v>51.2</v>
      </c>
      <c r="K50" s="949">
        <v>3.2</v>
      </c>
      <c r="L50" s="949">
        <f>26.4*E50</f>
        <v>26.4</v>
      </c>
      <c r="M50" s="949">
        <v>13.6</v>
      </c>
      <c r="N50" s="950">
        <f t="shared" si="88"/>
        <v>4096</v>
      </c>
      <c r="O50" s="950">
        <f t="shared" si="122"/>
        <v>3421.93</v>
      </c>
      <c r="P50" s="949">
        <f t="shared" si="125"/>
        <v>255</v>
      </c>
      <c r="Q50" s="950">
        <f>14*D50*E50</f>
        <v>224</v>
      </c>
      <c r="R50" s="947">
        <f>2*D50*E50-E50</f>
        <v>31</v>
      </c>
      <c r="S50" s="969">
        <f t="shared" ref="S50" si="127">T50+U50</f>
        <v>668.07</v>
      </c>
      <c r="T50" s="969">
        <f>2.66*Q50</f>
        <v>595.84</v>
      </c>
      <c r="U50" s="969">
        <f>2.33*R50</f>
        <v>72.23</v>
      </c>
      <c r="V50" s="950">
        <f t="shared" si="5"/>
        <v>1</v>
      </c>
      <c r="W50" s="950">
        <f t="shared" si="119"/>
        <v>6</v>
      </c>
      <c r="X50" s="950">
        <f t="shared" si="100"/>
        <v>359.03999999999996</v>
      </c>
      <c r="Y50" s="958">
        <f t="shared" si="101"/>
        <v>359.03999999999996</v>
      </c>
      <c r="Z50" s="949">
        <f t="shared" si="16"/>
        <v>559.04</v>
      </c>
      <c r="AA50" s="959">
        <f t="shared" si="17"/>
        <v>696.32</v>
      </c>
      <c r="AB50" s="954">
        <f t="shared" si="18"/>
        <v>80</v>
      </c>
      <c r="AC50" s="955"/>
      <c r="AD50" s="955"/>
      <c r="AE50" s="514"/>
      <c r="AF50" s="514"/>
      <c r="AG50" s="74"/>
      <c r="AH50" s="74"/>
      <c r="AI50" s="74"/>
      <c r="AJ50" s="74"/>
      <c r="AK50" s="74"/>
      <c r="AL50" s="74"/>
      <c r="AM50" s="74"/>
      <c r="AN50" s="74"/>
      <c r="AO50" s="74"/>
      <c r="AP50" s="74"/>
      <c r="AQ50" s="74"/>
      <c r="AR50" s="74"/>
      <c r="AS50" s="74"/>
      <c r="AT50" s="74"/>
    </row>
    <row r="51" spans="1:46" ht="12" customHeight="1" x14ac:dyDescent="0.25">
      <c r="A51" s="961" t="s">
        <v>1397</v>
      </c>
      <c r="B51" s="946"/>
      <c r="C51" s="946" t="str">
        <f t="shared" ref="C51" si="128">CONCATENATE(A51,D51,E51)</f>
        <v>П-3 (только прямая секция)171</v>
      </c>
      <c r="D51" s="949">
        <v>17</v>
      </c>
      <c r="E51" s="949">
        <v>1</v>
      </c>
      <c r="F51" s="968">
        <f>L51*M51*$D51*0.98-28.5*D51*E51</f>
        <v>5497.1063999999997</v>
      </c>
      <c r="G51" s="969">
        <f>253*$D51*$E51</f>
        <v>4301</v>
      </c>
      <c r="H51" s="968">
        <f>153.4*$D51*$E51</f>
        <v>2607.8000000000002</v>
      </c>
      <c r="I51" s="968">
        <f t="shared" ref="I51" si="129">F51-G51</f>
        <v>1196.1063999999997</v>
      </c>
      <c r="J51" s="949">
        <f t="shared" si="2"/>
        <v>54.400000000000006</v>
      </c>
      <c r="K51" s="949">
        <v>3.2</v>
      </c>
      <c r="L51" s="949">
        <f>26.4*E51</f>
        <v>26.4</v>
      </c>
      <c r="M51" s="949">
        <v>13.6</v>
      </c>
      <c r="N51" s="950">
        <f t="shared" si="88"/>
        <v>4352</v>
      </c>
      <c r="O51" s="950">
        <f t="shared" si="122"/>
        <v>3636.0299999999997</v>
      </c>
      <c r="P51" s="949">
        <f t="shared" ref="P51" si="130">Q51+R51</f>
        <v>271</v>
      </c>
      <c r="Q51" s="950">
        <f>14*D51*E51</f>
        <v>238</v>
      </c>
      <c r="R51" s="947">
        <f>2*D51*E51-E51</f>
        <v>33</v>
      </c>
      <c r="S51" s="969">
        <f t="shared" ref="S51" si="131">T51+U51</f>
        <v>709.97</v>
      </c>
      <c r="T51" s="969">
        <f>2.66*Q51</f>
        <v>633.08000000000004</v>
      </c>
      <c r="U51" s="969">
        <f>2.33*R51</f>
        <v>76.89</v>
      </c>
      <c r="V51" s="950">
        <f t="shared" si="5"/>
        <v>1</v>
      </c>
      <c r="W51" s="950">
        <f t="shared" si="119"/>
        <v>6</v>
      </c>
      <c r="X51" s="950">
        <f t="shared" ref="X51" si="132">L51*M51</f>
        <v>359.03999999999996</v>
      </c>
      <c r="Y51" s="958">
        <f t="shared" si="101"/>
        <v>359.03999999999996</v>
      </c>
      <c r="Z51" s="949">
        <f t="shared" ref="Z51" si="133">Y51+(L51+M51)*2*2.5</f>
        <v>559.04</v>
      </c>
      <c r="AA51" s="959">
        <f>M51*J51</f>
        <v>739.84</v>
      </c>
      <c r="AB51" s="954">
        <f t="shared" si="18"/>
        <v>80</v>
      </c>
      <c r="AC51" s="955"/>
      <c r="AD51" s="955"/>
      <c r="AE51" s="514"/>
      <c r="AF51" s="514"/>
      <c r="AG51" s="74"/>
      <c r="AH51" s="74"/>
      <c r="AI51" s="74"/>
      <c r="AJ51" s="74"/>
      <c r="AK51" s="74"/>
      <c r="AL51" s="74"/>
      <c r="AM51" s="74"/>
      <c r="AN51" s="74"/>
      <c r="AO51" s="74"/>
      <c r="AP51" s="74"/>
      <c r="AQ51" s="74"/>
      <c r="AR51" s="74"/>
      <c r="AS51" s="74"/>
      <c r="AT51" s="74"/>
    </row>
    <row r="52" spans="1:46" ht="12" customHeight="1" x14ac:dyDescent="0.25">
      <c r="A52" s="74"/>
      <c r="B52" s="74"/>
      <c r="C52" s="74"/>
      <c r="D52" s="74"/>
      <c r="E52" s="74"/>
      <c r="F52" s="74"/>
      <c r="G52" s="74"/>
      <c r="H52" s="74"/>
      <c r="I52" s="74"/>
      <c r="J52" s="74"/>
      <c r="K52" s="74"/>
      <c r="L52" s="74"/>
      <c r="M52" s="74"/>
      <c r="N52" s="74"/>
      <c r="O52" s="74"/>
      <c r="P52" s="74"/>
      <c r="Q52" s="74"/>
      <c r="R52" s="74"/>
      <c r="S52" s="74"/>
      <c r="T52" s="74"/>
      <c r="U52" s="74"/>
      <c r="V52" s="74"/>
      <c r="W52" s="74"/>
      <c r="X52" s="74"/>
      <c r="Y52" s="74"/>
      <c r="Z52" s="74"/>
      <c r="AA52" s="74"/>
      <c r="AB52" s="74"/>
      <c r="AC52" s="74"/>
      <c r="AD52" s="74"/>
      <c r="AE52" s="74"/>
      <c r="AF52" s="74"/>
      <c r="AG52" s="74"/>
      <c r="AH52" s="74"/>
      <c r="AI52" s="74"/>
      <c r="AJ52" s="74"/>
      <c r="AK52" s="74"/>
      <c r="AL52" s="74"/>
      <c r="AM52" s="74"/>
      <c r="AN52" s="74"/>
      <c r="AO52" s="74"/>
      <c r="AP52" s="74"/>
      <c r="AQ52" s="74"/>
      <c r="AR52" s="74"/>
      <c r="AS52" s="74"/>
      <c r="AT52" s="74"/>
    </row>
    <row r="53" spans="1:46" ht="12" customHeight="1" x14ac:dyDescent="0.25">
      <c r="A53" s="961"/>
      <c r="B53" s="970" t="s">
        <v>1399</v>
      </c>
      <c r="C53" s="946"/>
      <c r="D53" s="971"/>
      <c r="E53" s="971"/>
      <c r="F53" s="972"/>
      <c r="G53" s="973"/>
      <c r="H53" s="974"/>
      <c r="I53" s="975"/>
      <c r="J53" s="946"/>
      <c r="K53" s="946"/>
      <c r="L53" s="946"/>
      <c r="M53" s="946"/>
      <c r="N53" s="976"/>
      <c r="O53" s="977"/>
      <c r="P53" s="946"/>
      <c r="Q53" s="978"/>
      <c r="R53" s="978"/>
      <c r="S53" s="979"/>
      <c r="T53" s="979"/>
      <c r="U53" s="979"/>
      <c r="V53" s="977"/>
      <c r="W53" s="980"/>
      <c r="X53" s="977"/>
      <c r="Y53" s="981"/>
      <c r="Z53" s="946"/>
      <c r="AA53" s="982"/>
      <c r="AB53" s="982"/>
      <c r="AC53" s="74"/>
      <c r="AD53" s="74"/>
      <c r="AE53" s="74"/>
      <c r="AF53" s="74"/>
      <c r="AG53" s="74"/>
      <c r="AH53" s="74"/>
      <c r="AI53" s="74"/>
      <c r="AJ53" s="74"/>
      <c r="AK53" s="74"/>
      <c r="AL53" s="74"/>
      <c r="AM53" s="74"/>
      <c r="AN53" s="74"/>
      <c r="AO53" s="74"/>
      <c r="AP53" s="74"/>
      <c r="AQ53" s="74"/>
      <c r="AR53" s="74"/>
      <c r="AS53" s="74"/>
      <c r="AT53" s="74"/>
    </row>
    <row r="54" spans="1:46" ht="12" customHeight="1" x14ac:dyDescent="0.25">
      <c r="A54" s="74"/>
      <c r="B54" s="74"/>
      <c r="C54" s="74"/>
      <c r="D54" s="74"/>
      <c r="E54" s="74"/>
      <c r="F54" s="74"/>
      <c r="G54" s="74"/>
      <c r="H54" s="74"/>
      <c r="I54" s="74"/>
      <c r="J54" s="74"/>
      <c r="K54" s="74"/>
      <c r="L54" s="74"/>
      <c r="M54" s="74"/>
      <c r="N54" s="74"/>
      <c r="O54" s="74"/>
      <c r="P54" s="74"/>
      <c r="Q54" s="74"/>
      <c r="R54" s="74"/>
      <c r="S54" s="74"/>
      <c r="T54" s="74"/>
      <c r="U54" s="74"/>
      <c r="V54" s="74"/>
      <c r="W54" s="74"/>
      <c r="X54" s="74"/>
      <c r="Y54" s="74"/>
      <c r="Z54" s="74"/>
      <c r="AA54" s="74"/>
      <c r="AB54" s="74"/>
      <c r="AC54" s="74"/>
      <c r="AD54" s="74"/>
      <c r="AE54" s="74"/>
      <c r="AF54" s="74"/>
      <c r="AG54" s="74"/>
      <c r="AH54" s="74"/>
      <c r="AI54" s="74"/>
      <c r="AJ54" s="74"/>
      <c r="AK54" s="74"/>
      <c r="AL54" s="74"/>
      <c r="AM54" s="74"/>
      <c r="AN54" s="74"/>
      <c r="AO54" s="74"/>
      <c r="AP54" s="74"/>
      <c r="AQ54" s="74"/>
      <c r="AR54" s="74"/>
      <c r="AS54" s="74"/>
      <c r="AT54" s="74"/>
    </row>
    <row r="55" spans="1:46" s="964" customFormat="1" ht="15" customHeight="1" x14ac:dyDescent="0.25">
      <c r="A55" s="983" t="s">
        <v>1432</v>
      </c>
      <c r="B55" s="984"/>
      <c r="C55" s="983" t="s">
        <v>1432</v>
      </c>
      <c r="D55" s="985">
        <f>IF('Ввод исходных данных'!$D$14='Серии планировка'!A55,'Ввод исходных данных'!$D$19,1)</f>
        <v>1</v>
      </c>
      <c r="E55" s="985">
        <f>IF('Ввод исходных данных'!$D$14='Серии планировка'!A55,'Ввод исходных данных'!$D$17,1)</f>
        <v>1</v>
      </c>
      <c r="F55" s="985">
        <f>L55*M55*D55</f>
        <v>194.88</v>
      </c>
      <c r="G55" s="985">
        <f>159*$D55*$E55</f>
        <v>159</v>
      </c>
      <c r="H55" s="985">
        <f>117.25*$D55*$E55</f>
        <v>117.25</v>
      </c>
      <c r="I55" s="985">
        <f>F55-G55</f>
        <v>35.879999999999995</v>
      </c>
      <c r="J55" s="985">
        <f t="shared" ref="J55:J74" si="134">K55*D55</f>
        <v>2.7</v>
      </c>
      <c r="K55" s="985">
        <v>2.7</v>
      </c>
      <c r="L55" s="985">
        <v>16.8</v>
      </c>
      <c r="M55" s="985">
        <v>11.6</v>
      </c>
      <c r="N55" s="985">
        <f>2*(L55+M55)*J55</f>
        <v>153.36000000000001</v>
      </c>
      <c r="O55" s="986">
        <f>N55-S55-W55</f>
        <v>121.45000000000002</v>
      </c>
      <c r="P55" s="985">
        <f>Q55+R55</f>
        <v>11</v>
      </c>
      <c r="Q55" s="985">
        <f>11*D55*E55</f>
        <v>11</v>
      </c>
      <c r="R55" s="985">
        <f>1*D55*E55-E55</f>
        <v>0</v>
      </c>
      <c r="S55" s="985">
        <f>T55+U55</f>
        <v>28.16</v>
      </c>
      <c r="T55" s="985">
        <f>Q55*2.56</f>
        <v>28.16</v>
      </c>
      <c r="U55" s="985">
        <f>2.5*R55</f>
        <v>0</v>
      </c>
      <c r="V55" s="985">
        <f t="shared" ref="V55:V74" si="135">1*E55</f>
        <v>1</v>
      </c>
      <c r="W55" s="987">
        <f>3.75*V55</f>
        <v>3.75</v>
      </c>
      <c r="X55" s="985">
        <v>202.5</v>
      </c>
      <c r="Y55" s="988">
        <v>202.5</v>
      </c>
      <c r="Z55" s="985">
        <f>Y55+(L55+M55)*2*2.5</f>
        <v>344.5</v>
      </c>
      <c r="AA55" s="985">
        <f t="shared" ref="AA55:AA76" si="136">M55*J55</f>
        <v>31.32</v>
      </c>
      <c r="AB55" s="985">
        <f t="shared" ref="AB55:AB74" si="137">(L55+M55)*2</f>
        <v>56.8</v>
      </c>
      <c r="AC55" s="74"/>
      <c r="AD55" s="74"/>
      <c r="AE55" s="74"/>
      <c r="AF55" s="74"/>
      <c r="AG55" s="74"/>
      <c r="AH55" s="74"/>
      <c r="AI55" s="74"/>
      <c r="AJ55" s="74"/>
      <c r="AK55" s="74"/>
      <c r="AL55" s="74"/>
      <c r="AM55" s="74"/>
      <c r="AN55" s="74"/>
      <c r="AO55" s="74"/>
      <c r="AP55" s="74"/>
      <c r="AQ55" s="74"/>
      <c r="AR55" s="74"/>
      <c r="AS55" s="74"/>
      <c r="AT55" s="74"/>
    </row>
    <row r="56" spans="1:46" s="964" customFormat="1" ht="12" customHeight="1" x14ac:dyDescent="0.25">
      <c r="A56" s="989" t="s">
        <v>1631</v>
      </c>
      <c r="B56" s="984"/>
      <c r="C56" s="989" t="s">
        <v>1631</v>
      </c>
      <c r="D56" s="985">
        <f>IF('Ввод исходных данных'!$D$14='Серии планировка'!A56,'Ввод исходных данных'!$D$19,1)</f>
        <v>1</v>
      </c>
      <c r="E56" s="985">
        <f>IF('Ввод исходных данных'!$D$14='Серии планировка'!A56,'Ввод исходных данных'!$D$17,1)</f>
        <v>1</v>
      </c>
      <c r="F56" s="986">
        <f>L56*M56*D56</f>
        <v>204</v>
      </c>
      <c r="G56" s="986">
        <f>161.55*D56*E56</f>
        <v>161.55000000000001</v>
      </c>
      <c r="H56" s="985">
        <f>105.11*D56*E56</f>
        <v>105.11</v>
      </c>
      <c r="I56" s="985">
        <f>F56-G56</f>
        <v>42.449999999999989</v>
      </c>
      <c r="J56" s="985">
        <f t="shared" si="134"/>
        <v>2.8</v>
      </c>
      <c r="K56" s="985">
        <v>2.8</v>
      </c>
      <c r="L56" s="985">
        <f>17*E56</f>
        <v>17</v>
      </c>
      <c r="M56" s="985">
        <v>12</v>
      </c>
      <c r="N56" s="986">
        <f>(L56+M56)*2*J56</f>
        <v>162.39999999999998</v>
      </c>
      <c r="O56" s="986">
        <f t="shared" ref="O56:O74" si="138">N56-S56-W56</f>
        <v>126.09999999999998</v>
      </c>
      <c r="P56" s="985">
        <f>Q56+R56</f>
        <v>15</v>
      </c>
      <c r="Q56" s="986">
        <f>(5+6)*D56*E56+2*2*D56+IF(E56&gt;=3,(E56-2)*D56*2,0)</f>
        <v>15</v>
      </c>
      <c r="R56" s="985">
        <f t="shared" ref="R56:R73" si="139">1*D56*E56-E56</f>
        <v>0</v>
      </c>
      <c r="S56" s="986">
        <f>T56+U56</f>
        <v>31.5</v>
      </c>
      <c r="T56" s="986">
        <f>(1.8*2/3+1.8*3/2*1/3)*Q56</f>
        <v>31.5</v>
      </c>
      <c r="U56" s="986">
        <f>(1.8)*R56</f>
        <v>0</v>
      </c>
      <c r="V56" s="986">
        <f t="shared" si="135"/>
        <v>1</v>
      </c>
      <c r="W56" s="986">
        <f t="shared" ref="W56:W58" si="140">V56*4.8</f>
        <v>4.8</v>
      </c>
      <c r="X56" s="986">
        <f>$L56*$M56</f>
        <v>204</v>
      </c>
      <c r="Y56" s="988">
        <f>$L56*$M56</f>
        <v>204</v>
      </c>
      <c r="Z56" s="985">
        <f>Y56+(L56+M56)*2*2.5</f>
        <v>349</v>
      </c>
      <c r="AA56" s="985">
        <f t="shared" si="136"/>
        <v>33.599999999999994</v>
      </c>
      <c r="AB56" s="985">
        <f t="shared" si="137"/>
        <v>58</v>
      </c>
      <c r="AC56" s="74"/>
      <c r="AD56" s="74"/>
      <c r="AE56" s="74"/>
      <c r="AF56" s="74"/>
      <c r="AG56" s="74"/>
      <c r="AH56" s="74"/>
      <c r="AI56" s="74"/>
      <c r="AJ56" s="74"/>
      <c r="AK56" s="74"/>
      <c r="AL56" s="74"/>
      <c r="AM56" s="74"/>
      <c r="AN56" s="74"/>
      <c r="AO56" s="74"/>
      <c r="AP56" s="74"/>
      <c r="AQ56" s="74"/>
      <c r="AR56" s="74"/>
      <c r="AS56" s="74"/>
      <c r="AT56" s="74"/>
    </row>
    <row r="57" spans="1:46" ht="12" customHeight="1" x14ac:dyDescent="0.25">
      <c r="A57" s="990" t="s">
        <v>1441</v>
      </c>
      <c r="B57" s="984"/>
      <c r="C57" s="990" t="s">
        <v>1441</v>
      </c>
      <c r="D57" s="985">
        <f>IF('Ввод исходных данных'!$D$14='Серии планировка'!A57,'Ввод исходных данных'!$D$19,1)</f>
        <v>1</v>
      </c>
      <c r="E57" s="985">
        <f>IF('Ввод исходных данных'!$D$14='Серии планировка'!A57,'Ввод исходных данных'!$D$17,1)</f>
        <v>1</v>
      </c>
      <c r="F57" s="985">
        <v>2387</v>
      </c>
      <c r="G57" s="986">
        <v>2127</v>
      </c>
      <c r="H57" s="985">
        <f>1421</f>
        <v>1421</v>
      </c>
      <c r="I57" s="985">
        <f t="shared" ref="I57" si="141">F57-G57</f>
        <v>260</v>
      </c>
      <c r="J57" s="985">
        <f t="shared" si="134"/>
        <v>2.8</v>
      </c>
      <c r="K57" s="985">
        <v>2.8</v>
      </c>
      <c r="L57" s="985">
        <v>16.52</v>
      </c>
      <c r="M57" s="985">
        <v>18.100000000000001</v>
      </c>
      <c r="N57" s="986">
        <f t="shared" ref="N57" si="142">(L57+M57)*2*J57</f>
        <v>193.87200000000001</v>
      </c>
      <c r="O57" s="986">
        <f t="shared" si="138"/>
        <v>156.17200000000003</v>
      </c>
      <c r="P57" s="986">
        <f t="shared" ref="P57" si="143">Q57+R57</f>
        <v>17</v>
      </c>
      <c r="Q57" s="986">
        <f>17*D57</f>
        <v>17</v>
      </c>
      <c r="R57" s="985">
        <f t="shared" si="139"/>
        <v>0</v>
      </c>
      <c r="S57" s="986">
        <f t="shared" ref="S57" si="144">T57+U57</f>
        <v>35.700000000000003</v>
      </c>
      <c r="T57" s="986">
        <f>2.1*Q57</f>
        <v>35.700000000000003</v>
      </c>
      <c r="U57" s="986">
        <f t="shared" ref="U57" si="145">(1.8)*R57</f>
        <v>0</v>
      </c>
      <c r="V57" s="986">
        <f t="shared" si="135"/>
        <v>1</v>
      </c>
      <c r="W57" s="985">
        <f t="shared" ref="W57" si="146">V57*2</f>
        <v>2</v>
      </c>
      <c r="X57" s="986">
        <f t="shared" ref="X57:Y57" si="147">$L57*$M57</f>
        <v>299.012</v>
      </c>
      <c r="Y57" s="988">
        <f t="shared" si="147"/>
        <v>299.012</v>
      </c>
      <c r="Z57" s="985">
        <f t="shared" ref="Z57" si="148">Y57+(L57+M57)*2*2.5</f>
        <v>472.11200000000002</v>
      </c>
      <c r="AA57" s="985">
        <f t="shared" si="136"/>
        <v>50.68</v>
      </c>
      <c r="AB57" s="985">
        <f t="shared" si="137"/>
        <v>69.240000000000009</v>
      </c>
      <c r="AC57" s="955"/>
      <c r="AD57" s="955"/>
      <c r="AE57" s="514"/>
      <c r="AF57" s="514"/>
      <c r="AG57" s="74"/>
      <c r="AH57" s="74"/>
      <c r="AI57" s="74"/>
      <c r="AJ57" s="74"/>
      <c r="AK57" s="74"/>
      <c r="AL57" s="74"/>
      <c r="AM57" s="74"/>
      <c r="AN57" s="74"/>
      <c r="AO57" s="74"/>
      <c r="AP57" s="74"/>
      <c r="AQ57" s="74"/>
      <c r="AR57" s="74"/>
      <c r="AS57" s="74"/>
      <c r="AT57" s="74"/>
    </row>
    <row r="58" spans="1:46" s="964" customFormat="1" ht="12" customHeight="1" x14ac:dyDescent="0.25">
      <c r="A58" s="991" t="s">
        <v>1940</v>
      </c>
      <c r="B58" s="984"/>
      <c r="C58" s="991" t="s">
        <v>1940</v>
      </c>
      <c r="D58" s="985">
        <f>IF('Ввод исходных данных'!$D$14='Серии планировка'!A58,'Ввод исходных данных'!$D$19,1)</f>
        <v>1</v>
      </c>
      <c r="E58" s="985">
        <f>IF('Ввод исходных данных'!$D$14='Серии планировка'!A58,'Ввод исходных данных'!$D$17,1)</f>
        <v>1</v>
      </c>
      <c r="F58" s="985">
        <f t="shared" ref="F58:F64" si="149">L58*M58*D58</f>
        <v>193.536</v>
      </c>
      <c r="G58" s="986">
        <f>177.55*$D58*$E58</f>
        <v>177.55</v>
      </c>
      <c r="H58" s="985">
        <f>146.3*$D58*$E58</f>
        <v>146.30000000000001</v>
      </c>
      <c r="I58" s="985">
        <f>F58-G58</f>
        <v>15.98599999999999</v>
      </c>
      <c r="J58" s="985">
        <f t="shared" si="134"/>
        <v>2.7</v>
      </c>
      <c r="K58" s="985">
        <v>2.7</v>
      </c>
      <c r="L58" s="985">
        <f>IF(E58&gt;2,(E58-2)*19.4+2*16.8,E58*16.8)</f>
        <v>16.8</v>
      </c>
      <c r="M58" s="985">
        <v>11.52</v>
      </c>
      <c r="N58" s="986">
        <f t="shared" ref="N58:N60" si="150">(L58+M58)*2*J58</f>
        <v>152.92800000000003</v>
      </c>
      <c r="O58" s="986">
        <f t="shared" si="138"/>
        <v>129.53800000000001</v>
      </c>
      <c r="P58" s="986">
        <f t="shared" ref="P58:P60" si="151">Q58+R58</f>
        <v>11</v>
      </c>
      <c r="Q58" s="986">
        <f>IF(E58&gt;2,(E58-2)*13*D58+2*11*D58,11*D58)</f>
        <v>11</v>
      </c>
      <c r="R58" s="985">
        <f t="shared" si="139"/>
        <v>0</v>
      </c>
      <c r="S58" s="986">
        <f>T58+U58</f>
        <v>18.59</v>
      </c>
      <c r="T58" s="986">
        <f>1.69*Q58</f>
        <v>18.59</v>
      </c>
      <c r="U58" s="986">
        <f t="shared" ref="U58:U60" si="152">(1.8)*R58</f>
        <v>0</v>
      </c>
      <c r="V58" s="986">
        <f t="shared" si="135"/>
        <v>1</v>
      </c>
      <c r="W58" s="986">
        <f t="shared" si="140"/>
        <v>4.8</v>
      </c>
      <c r="X58" s="986">
        <f t="shared" ref="X58:Y60" si="153">$L58*$M58</f>
        <v>193.536</v>
      </c>
      <c r="Y58" s="988">
        <f t="shared" si="153"/>
        <v>193.536</v>
      </c>
      <c r="Z58" s="985">
        <f t="shared" ref="Z58:Z60" si="154">Y58+(L58+M58)*2*2.5</f>
        <v>335.13599999999997</v>
      </c>
      <c r="AA58" s="985">
        <f t="shared" si="136"/>
        <v>31.103999999999999</v>
      </c>
      <c r="AB58" s="985">
        <f t="shared" si="137"/>
        <v>56.64</v>
      </c>
      <c r="AC58" s="74"/>
      <c r="AD58" s="74"/>
      <c r="AE58" s="74"/>
      <c r="AF58" s="74"/>
      <c r="AG58" s="74"/>
      <c r="AH58" s="74"/>
      <c r="AI58" s="74"/>
      <c r="AJ58" s="74"/>
      <c r="AK58" s="74"/>
      <c r="AL58" s="74"/>
      <c r="AM58" s="74"/>
      <c r="AN58" s="74"/>
      <c r="AO58" s="74"/>
      <c r="AP58" s="74"/>
      <c r="AQ58" s="74"/>
      <c r="AR58" s="74"/>
      <c r="AS58" s="74"/>
      <c r="AT58" s="74"/>
    </row>
    <row r="59" spans="1:46" s="964" customFormat="1" ht="12" customHeight="1" x14ac:dyDescent="0.25">
      <c r="A59" s="991" t="s">
        <v>1941</v>
      </c>
      <c r="B59" s="984"/>
      <c r="C59" s="991" t="s">
        <v>1941</v>
      </c>
      <c r="D59" s="985">
        <f>IF('Ввод исходных данных'!$D$14='Серии планировка'!A59,'Ввод исходных данных'!$D$19,1)</f>
        <v>1</v>
      </c>
      <c r="E59" s="985">
        <f>IF('Ввод исходных данных'!$D$14='Серии планировка'!A59,'Ввод исходных данных'!$D$17,1)</f>
        <v>1</v>
      </c>
      <c r="F59" s="985">
        <f t="shared" si="149"/>
        <v>200.44799999999998</v>
      </c>
      <c r="G59" s="986">
        <f>IF(E59&gt;=2,(E59-2)*D59*136+2*D59*170.3,E59*D59*170.3)</f>
        <v>170.3</v>
      </c>
      <c r="H59" s="985">
        <f>IF(E59&gt;=2,(E59-2)*D59*91.9+2*D59*123.1,E59*D59*123.1)</f>
        <v>123.1</v>
      </c>
      <c r="I59" s="985">
        <f>F59-G59</f>
        <v>30.147999999999968</v>
      </c>
      <c r="J59" s="985">
        <f t="shared" si="134"/>
        <v>2.7</v>
      </c>
      <c r="K59" s="985">
        <v>2.7</v>
      </c>
      <c r="L59" s="985">
        <f>IF(E59&gt;2,(E59-2)*14.2+2*17.4,E59*17.4)</f>
        <v>17.399999999999999</v>
      </c>
      <c r="M59" s="985">
        <v>11.52</v>
      </c>
      <c r="N59" s="986">
        <f t="shared" si="150"/>
        <v>156.16800000000001</v>
      </c>
      <c r="O59" s="986">
        <f t="shared" si="138"/>
        <v>125.438</v>
      </c>
      <c r="P59" s="986">
        <f t="shared" si="151"/>
        <v>17</v>
      </c>
      <c r="Q59" s="986">
        <f>9*D59*E59+2*2*D59+2*2*D59</f>
        <v>17</v>
      </c>
      <c r="R59" s="985">
        <f t="shared" si="139"/>
        <v>0</v>
      </c>
      <c r="S59" s="986">
        <f t="shared" ref="S59" si="155">T59+U59</f>
        <v>28.73</v>
      </c>
      <c r="T59" s="986">
        <f>1.69*Q59</f>
        <v>28.73</v>
      </c>
      <c r="U59" s="986">
        <f t="shared" si="152"/>
        <v>0</v>
      </c>
      <c r="V59" s="986">
        <f t="shared" si="135"/>
        <v>1</v>
      </c>
      <c r="W59" s="986">
        <f t="shared" ref="W59" si="156">V59*2</f>
        <v>2</v>
      </c>
      <c r="X59" s="986">
        <f t="shared" si="153"/>
        <v>200.44799999999998</v>
      </c>
      <c r="Y59" s="988">
        <f t="shared" si="153"/>
        <v>200.44799999999998</v>
      </c>
      <c r="Z59" s="985">
        <f t="shared" si="154"/>
        <v>345.048</v>
      </c>
      <c r="AA59" s="985">
        <f t="shared" si="136"/>
        <v>31.103999999999999</v>
      </c>
      <c r="AB59" s="985">
        <f t="shared" si="137"/>
        <v>57.839999999999996</v>
      </c>
      <c r="AC59" s="74"/>
      <c r="AD59" s="74"/>
      <c r="AE59" s="74"/>
      <c r="AF59" s="74"/>
      <c r="AG59" s="74"/>
      <c r="AH59" s="74"/>
      <c r="AI59" s="74"/>
      <c r="AJ59" s="74"/>
      <c r="AK59" s="74"/>
      <c r="AL59" s="74"/>
      <c r="AM59" s="74"/>
      <c r="AN59" s="74"/>
      <c r="AO59" s="74"/>
      <c r="AP59" s="74"/>
      <c r="AQ59" s="74"/>
      <c r="AR59" s="74"/>
      <c r="AS59" s="74"/>
      <c r="AT59" s="74"/>
    </row>
    <row r="60" spans="1:46" s="964" customFormat="1" ht="12" customHeight="1" x14ac:dyDescent="0.25">
      <c r="A60" s="991" t="s">
        <v>1490</v>
      </c>
      <c r="B60" s="984"/>
      <c r="C60" s="991" t="s">
        <v>1490</v>
      </c>
      <c r="D60" s="985">
        <f>IF('Ввод исходных данных'!$D$14='Серии планировка'!A60,'Ввод исходных данных'!$D$19,1)</f>
        <v>1</v>
      </c>
      <c r="E60" s="985">
        <f>IF('Ввод исходных данных'!$D$14='Серии планировка'!A60,'Ввод исходных данных'!$D$17,1)</f>
        <v>1</v>
      </c>
      <c r="F60" s="985">
        <f t="shared" si="149"/>
        <v>303.60000000000002</v>
      </c>
      <c r="G60" s="992">
        <f>225*D60*E60</f>
        <v>225</v>
      </c>
      <c r="H60" s="992">
        <f>144.8*D60*E60</f>
        <v>144.80000000000001</v>
      </c>
      <c r="I60" s="985">
        <f>F60-G60</f>
        <v>78.600000000000023</v>
      </c>
      <c r="J60" s="985">
        <f t="shared" si="134"/>
        <v>2.85</v>
      </c>
      <c r="K60" s="985">
        <v>2.85</v>
      </c>
      <c r="L60" s="985">
        <f>22*E60</f>
        <v>22</v>
      </c>
      <c r="M60" s="985">
        <v>13.8</v>
      </c>
      <c r="N60" s="986">
        <f t="shared" si="150"/>
        <v>204.06</v>
      </c>
      <c r="O60" s="986">
        <f t="shared" si="138"/>
        <v>172.22</v>
      </c>
      <c r="P60" s="986">
        <f t="shared" si="151"/>
        <v>16</v>
      </c>
      <c r="Q60" s="986">
        <f>16*D60*E60</f>
        <v>16</v>
      </c>
      <c r="R60" s="985">
        <f t="shared" si="139"/>
        <v>0</v>
      </c>
      <c r="S60" s="986">
        <f>T60+U60</f>
        <v>27.04</v>
      </c>
      <c r="T60" s="986">
        <f>1.69*Q60</f>
        <v>27.04</v>
      </c>
      <c r="U60" s="986">
        <f t="shared" si="152"/>
        <v>0</v>
      </c>
      <c r="V60" s="986">
        <f t="shared" si="135"/>
        <v>1</v>
      </c>
      <c r="W60" s="986">
        <f>V60*4.8</f>
        <v>4.8</v>
      </c>
      <c r="X60" s="986">
        <f t="shared" si="153"/>
        <v>303.60000000000002</v>
      </c>
      <c r="Y60" s="988">
        <f t="shared" si="153"/>
        <v>303.60000000000002</v>
      </c>
      <c r="Z60" s="985">
        <f t="shared" si="154"/>
        <v>482.6</v>
      </c>
      <c r="AA60" s="985">
        <f t="shared" si="136"/>
        <v>39.330000000000005</v>
      </c>
      <c r="AB60" s="985">
        <f t="shared" si="137"/>
        <v>71.599999999999994</v>
      </c>
      <c r="AC60" s="74"/>
      <c r="AD60" s="74"/>
      <c r="AE60" s="74"/>
      <c r="AF60" s="74"/>
      <c r="AG60" s="74"/>
      <c r="AH60" s="74"/>
      <c r="AI60" s="74"/>
      <c r="AJ60" s="74"/>
      <c r="AK60" s="74"/>
      <c r="AL60" s="74"/>
      <c r="AM60" s="74"/>
      <c r="AN60" s="74"/>
      <c r="AO60" s="74"/>
      <c r="AP60" s="74"/>
      <c r="AQ60" s="74"/>
      <c r="AR60" s="74"/>
      <c r="AS60" s="74"/>
      <c r="AT60" s="74"/>
    </row>
    <row r="61" spans="1:46" s="964" customFormat="1" ht="12" customHeight="1" x14ac:dyDescent="0.25">
      <c r="A61" s="989" t="s">
        <v>1433</v>
      </c>
      <c r="B61" s="984"/>
      <c r="C61" s="989" t="s">
        <v>1433</v>
      </c>
      <c r="D61" s="985">
        <f>IF('Ввод исходных данных'!$D$14='Серии планировка'!A61,'Ввод исходных данных'!$D$19,1)</f>
        <v>1</v>
      </c>
      <c r="E61" s="985">
        <f>IF('Ввод исходных данных'!$D$14='Серии планировка'!A61,'Ввод исходных данных'!$D$17,1)</f>
        <v>1</v>
      </c>
      <c r="F61" s="986">
        <f t="shared" si="149"/>
        <v>196.79999999999998</v>
      </c>
      <c r="G61" s="986">
        <f>IF(E61&gt;2,2*163.2+(E61-2)*189.7,E61*163.2)*D61</f>
        <v>163.19999999999999</v>
      </c>
      <c r="H61" s="985">
        <f>IF(E61&gt;2,2*113.3+(E61-2)*139.2,E61*113.3)*D61</f>
        <v>113.3</v>
      </c>
      <c r="I61" s="985">
        <f>F61-G61</f>
        <v>33.599999999999994</v>
      </c>
      <c r="J61" s="985">
        <f t="shared" si="134"/>
        <v>2.95</v>
      </c>
      <c r="K61" s="985">
        <v>2.95</v>
      </c>
      <c r="L61" s="985">
        <f>IF(E61&gt;2,2*16.4+(E61-2)*19.16,E61*16.4)</f>
        <v>16.399999999999999</v>
      </c>
      <c r="M61" s="985">
        <v>12</v>
      </c>
      <c r="N61" s="986">
        <f>(L61+M61)*2*J61</f>
        <v>167.56</v>
      </c>
      <c r="O61" s="986">
        <f t="shared" si="138"/>
        <v>135.45999999999998</v>
      </c>
      <c r="P61" s="985">
        <f>Q61+R61</f>
        <v>13</v>
      </c>
      <c r="Q61" s="986">
        <f>13*D61*E61</f>
        <v>13</v>
      </c>
      <c r="R61" s="985">
        <f t="shared" si="139"/>
        <v>0</v>
      </c>
      <c r="S61" s="986">
        <f t="shared" ref="S61" si="157">T61+U61</f>
        <v>27.3</v>
      </c>
      <c r="T61" s="986">
        <f>Q61*(1.8*2/3+2.7*1/3)</f>
        <v>27.3</v>
      </c>
      <c r="U61" s="986">
        <f>1.8*R61</f>
        <v>0</v>
      </c>
      <c r="V61" s="986">
        <f t="shared" si="135"/>
        <v>1</v>
      </c>
      <c r="W61" s="986">
        <f t="shared" ref="W61:W64" si="158">V61*4.8</f>
        <v>4.8</v>
      </c>
      <c r="X61" s="986">
        <f t="shared" ref="X61:Y64" si="159">$L61*$M61</f>
        <v>196.79999999999998</v>
      </c>
      <c r="Y61" s="988">
        <f t="shared" si="159"/>
        <v>196.79999999999998</v>
      </c>
      <c r="Z61" s="985">
        <f>Y61+(L61+M61)*2*2.5</f>
        <v>338.79999999999995</v>
      </c>
      <c r="AA61" s="985">
        <f t="shared" si="136"/>
        <v>35.400000000000006</v>
      </c>
      <c r="AB61" s="985">
        <f t="shared" si="137"/>
        <v>56.8</v>
      </c>
      <c r="AC61" s="74"/>
      <c r="AD61" s="74"/>
      <c r="AE61" s="74"/>
      <c r="AF61" s="74"/>
      <c r="AG61" s="74"/>
      <c r="AH61" s="74"/>
      <c r="AI61" s="74"/>
      <c r="AJ61" s="74"/>
      <c r="AK61" s="74"/>
      <c r="AL61" s="74"/>
      <c r="AM61" s="74"/>
      <c r="AN61" s="74"/>
      <c r="AO61" s="74"/>
      <c r="AP61" s="74"/>
      <c r="AQ61" s="74"/>
      <c r="AR61" s="74"/>
      <c r="AS61" s="74"/>
      <c r="AT61" s="74"/>
    </row>
    <row r="62" spans="1:46" s="964" customFormat="1" ht="12" customHeight="1" x14ac:dyDescent="0.25">
      <c r="A62" s="993" t="s">
        <v>1434</v>
      </c>
      <c r="B62" s="994"/>
      <c r="C62" s="993" t="s">
        <v>1434</v>
      </c>
      <c r="D62" s="985">
        <f>IF('Ввод исходных данных'!$D$14='Серии планировка'!A62,'Ввод исходных данных'!$D$19,1)</f>
        <v>1</v>
      </c>
      <c r="E62" s="985">
        <f>IF('Ввод исходных данных'!$D$14='Серии планировка'!A62,'Ввод исходных данных'!$D$17,1)</f>
        <v>1</v>
      </c>
      <c r="F62" s="985">
        <f t="shared" si="149"/>
        <v>196.79999999999998</v>
      </c>
      <c r="G62" s="985">
        <f>IF(E62&gt;2,2*155.1+(E62-2)*185.1,E62*155.1)*D62</f>
        <v>155.1</v>
      </c>
      <c r="H62" s="985">
        <f>IF(E62&gt;2,2*103.6+(E62-2)*133.6,E62*103.6)*D62</f>
        <v>103.6</v>
      </c>
      <c r="I62" s="985">
        <f>2.3*6*D62*E62</f>
        <v>13.799999999999999</v>
      </c>
      <c r="J62" s="985">
        <f t="shared" si="134"/>
        <v>2.95</v>
      </c>
      <c r="K62" s="985">
        <v>2.95</v>
      </c>
      <c r="L62" s="985">
        <f>IF(E62&gt;2,2*16.4+(E62-2)*19.16,E62*16.4)</f>
        <v>16.399999999999999</v>
      </c>
      <c r="M62" s="985">
        <v>12</v>
      </c>
      <c r="N62" s="986">
        <f>(L62+M62)*2*J62</f>
        <v>167.56</v>
      </c>
      <c r="O62" s="986">
        <f t="shared" si="138"/>
        <v>131.26</v>
      </c>
      <c r="P62" s="985">
        <f>Q62+R62</f>
        <v>15</v>
      </c>
      <c r="Q62" s="986">
        <f>(5+6)*D62*E62+2*2*D62+IF(E62&gt;=3,(E62-2)*D62*2,0)</f>
        <v>15</v>
      </c>
      <c r="R62" s="985">
        <f t="shared" si="139"/>
        <v>0</v>
      </c>
      <c r="S62" s="985">
        <f>T62+U62</f>
        <v>31.5</v>
      </c>
      <c r="T62" s="986">
        <f>Q62*(1.8*2/3+2.7*1/3)</f>
        <v>31.5</v>
      </c>
      <c r="U62" s="986">
        <f>1.8*R62</f>
        <v>0</v>
      </c>
      <c r="V62" s="986">
        <f t="shared" si="135"/>
        <v>1</v>
      </c>
      <c r="W62" s="986">
        <f t="shared" si="158"/>
        <v>4.8</v>
      </c>
      <c r="X62" s="986">
        <f t="shared" si="159"/>
        <v>196.79999999999998</v>
      </c>
      <c r="Y62" s="988">
        <f t="shared" si="159"/>
        <v>196.79999999999998</v>
      </c>
      <c r="Z62" s="985">
        <f>Y62+(L62+M62)*2*2.5</f>
        <v>338.79999999999995</v>
      </c>
      <c r="AA62" s="985">
        <f t="shared" si="136"/>
        <v>35.400000000000006</v>
      </c>
      <c r="AB62" s="985">
        <f t="shared" si="137"/>
        <v>56.8</v>
      </c>
      <c r="AC62" s="74"/>
      <c r="AD62" s="74"/>
      <c r="AE62" s="74"/>
      <c r="AF62" s="74"/>
      <c r="AG62" s="74"/>
      <c r="AH62" s="74"/>
      <c r="AI62" s="74"/>
      <c r="AJ62" s="74"/>
      <c r="AK62" s="74"/>
      <c r="AL62" s="74"/>
      <c r="AM62" s="74"/>
      <c r="AN62" s="74"/>
      <c r="AO62" s="74"/>
      <c r="AP62" s="74"/>
      <c r="AQ62" s="74"/>
      <c r="AR62" s="74"/>
      <c r="AS62" s="74"/>
      <c r="AT62" s="74"/>
    </row>
    <row r="63" spans="1:46" s="964" customFormat="1" ht="12" customHeight="1" x14ac:dyDescent="0.25">
      <c r="A63" s="991" t="s">
        <v>1435</v>
      </c>
      <c r="B63" s="984"/>
      <c r="C63" s="991" t="s">
        <v>1435</v>
      </c>
      <c r="D63" s="985">
        <f>IF('Ввод исходных данных'!$D$14='Серии планировка'!A63,'Ввод исходных данных'!$D$19,1)</f>
        <v>1</v>
      </c>
      <c r="E63" s="985">
        <f>IF('Ввод исходных данных'!$D$14='Серии планировка'!A63,'Ввод исходных данных'!$D$17,1)</f>
        <v>1</v>
      </c>
      <c r="F63" s="985">
        <f t="shared" si="149"/>
        <v>180.39999999999998</v>
      </c>
      <c r="G63" s="985">
        <f>IF(E63&gt;2,2*163.33+(E63-2)*188.95,E63*163.3)*D63</f>
        <v>163.30000000000001</v>
      </c>
      <c r="H63" s="985">
        <f>IF(E63&gt;2,2*93+(E63-2)*102.3,E63*93)*D63</f>
        <v>93</v>
      </c>
      <c r="I63" s="985">
        <f>F63-G63</f>
        <v>17.099999999999966</v>
      </c>
      <c r="J63" s="985">
        <f t="shared" si="134"/>
        <v>2.78</v>
      </c>
      <c r="K63" s="985">
        <v>2.78</v>
      </c>
      <c r="L63" s="985">
        <f>IF(E63&gt;2,2*16.4+(E63-2)*19.16,E63*16.4)</f>
        <v>16.399999999999999</v>
      </c>
      <c r="M63" s="985">
        <v>11</v>
      </c>
      <c r="N63" s="986">
        <f>(L63+M63)*2*J63</f>
        <v>152.34399999999999</v>
      </c>
      <c r="O63" s="986">
        <f t="shared" si="138"/>
        <v>117.64399999999999</v>
      </c>
      <c r="P63" s="985">
        <f>Q63+R63</f>
        <v>13</v>
      </c>
      <c r="Q63" s="985">
        <f>13*D63*E63</f>
        <v>13</v>
      </c>
      <c r="R63" s="985">
        <f t="shared" si="139"/>
        <v>0</v>
      </c>
      <c r="S63" s="985">
        <f>T63+U63</f>
        <v>29.9</v>
      </c>
      <c r="T63" s="986">
        <f>(29.9)*D63*E63</f>
        <v>29.9</v>
      </c>
      <c r="U63" s="986">
        <f>1.8*R63</f>
        <v>0</v>
      </c>
      <c r="V63" s="986">
        <f t="shared" si="135"/>
        <v>1</v>
      </c>
      <c r="W63" s="986">
        <f t="shared" si="158"/>
        <v>4.8</v>
      </c>
      <c r="X63" s="986">
        <f t="shared" si="159"/>
        <v>180.39999999999998</v>
      </c>
      <c r="Y63" s="988">
        <f t="shared" si="159"/>
        <v>180.39999999999998</v>
      </c>
      <c r="Z63" s="985">
        <f>Y63+(L63+M63)*2*2.5</f>
        <v>317.39999999999998</v>
      </c>
      <c r="AA63" s="985">
        <f t="shared" si="136"/>
        <v>30.58</v>
      </c>
      <c r="AB63" s="985">
        <f t="shared" si="137"/>
        <v>54.8</v>
      </c>
      <c r="AC63" s="74"/>
      <c r="AD63" s="74"/>
      <c r="AE63" s="74"/>
      <c r="AF63" s="74"/>
      <c r="AG63" s="74"/>
      <c r="AH63" s="74"/>
      <c r="AI63" s="74"/>
      <c r="AJ63" s="74"/>
      <c r="AK63" s="74"/>
      <c r="AL63" s="74"/>
      <c r="AM63" s="74"/>
      <c r="AN63" s="74"/>
      <c r="AO63" s="74"/>
      <c r="AP63" s="74"/>
      <c r="AQ63" s="74"/>
      <c r="AR63" s="74"/>
      <c r="AS63" s="74"/>
      <c r="AT63" s="74"/>
    </row>
    <row r="64" spans="1:46" s="964" customFormat="1" ht="12" customHeight="1" x14ac:dyDescent="0.25">
      <c r="A64" s="991" t="s">
        <v>1436</v>
      </c>
      <c r="B64" s="984"/>
      <c r="C64" s="991" t="s">
        <v>1436</v>
      </c>
      <c r="D64" s="985">
        <f>IF('Ввод исходных данных'!$D$14='Серии планировка'!A64,'Ввод исходных данных'!$D$19,1)</f>
        <v>1</v>
      </c>
      <c r="E64" s="985">
        <f>IF('Ввод исходных данных'!$D$14='Серии планировка'!A64,'Ввод исходных данных'!$D$17,1)</f>
        <v>1</v>
      </c>
      <c r="F64" s="985">
        <f t="shared" si="149"/>
        <v>234</v>
      </c>
      <c r="G64" s="986">
        <f>193.4*$D64*$E64</f>
        <v>193.4</v>
      </c>
      <c r="H64" s="985">
        <f>127.69*$D64*$E64</f>
        <v>127.69</v>
      </c>
      <c r="I64" s="985">
        <f>F64-G64</f>
        <v>40.599999999999994</v>
      </c>
      <c r="J64" s="985">
        <f t="shared" si="134"/>
        <v>2.78</v>
      </c>
      <c r="K64" s="985">
        <v>2.78</v>
      </c>
      <c r="L64" s="985">
        <f>18*E64</f>
        <v>18</v>
      </c>
      <c r="M64" s="985">
        <v>13</v>
      </c>
      <c r="N64" s="986">
        <f>(L64+M64)*2*J64</f>
        <v>172.35999999999999</v>
      </c>
      <c r="O64" s="986">
        <f t="shared" si="138"/>
        <v>134.35999999999996</v>
      </c>
      <c r="P64" s="985">
        <f>Q64+R64</f>
        <v>15</v>
      </c>
      <c r="Q64" s="985">
        <f>(5+6)*D64*E64+2*2*D64+IF(E64&gt;=3,(E64-2)*D64*2,0)</f>
        <v>15</v>
      </c>
      <c r="R64" s="985">
        <f t="shared" si="139"/>
        <v>0</v>
      </c>
      <c r="S64" s="985">
        <f t="shared" ref="S64:S67" si="160">T64+U64</f>
        <v>33.200000000000003</v>
      </c>
      <c r="T64" s="986">
        <f>IF(E64&gt;=2,(E64-2)*D64*28.44+2*D64*33.2,D64*33.2)</f>
        <v>33.200000000000003</v>
      </c>
      <c r="U64" s="986">
        <f t="shared" ref="U64" si="161">1.8*R64</f>
        <v>0</v>
      </c>
      <c r="V64" s="986">
        <f t="shared" si="135"/>
        <v>1</v>
      </c>
      <c r="W64" s="986">
        <f t="shared" si="158"/>
        <v>4.8</v>
      </c>
      <c r="X64" s="986">
        <f t="shared" si="159"/>
        <v>234</v>
      </c>
      <c r="Y64" s="988">
        <f t="shared" si="159"/>
        <v>234</v>
      </c>
      <c r="Z64" s="985">
        <f>Y64+(L64+M64)*2*2.5</f>
        <v>389</v>
      </c>
      <c r="AA64" s="985">
        <f t="shared" si="136"/>
        <v>36.14</v>
      </c>
      <c r="AB64" s="985">
        <f t="shared" si="137"/>
        <v>62</v>
      </c>
      <c r="AC64" s="74"/>
      <c r="AD64" s="74"/>
      <c r="AE64" s="74"/>
      <c r="AF64" s="74"/>
      <c r="AG64" s="74"/>
      <c r="AH64" s="74"/>
      <c r="AI64" s="74"/>
      <c r="AJ64" s="74"/>
      <c r="AK64" s="74"/>
      <c r="AL64" s="74"/>
      <c r="AM64" s="74"/>
      <c r="AN64" s="74"/>
      <c r="AO64" s="74"/>
      <c r="AP64" s="74"/>
      <c r="AQ64" s="74"/>
      <c r="AR64" s="74"/>
      <c r="AS64" s="74"/>
      <c r="AT64" s="74"/>
    </row>
    <row r="65" spans="1:46" s="964" customFormat="1" ht="12" customHeight="1" x14ac:dyDescent="0.25">
      <c r="A65" s="995" t="s">
        <v>445</v>
      </c>
      <c r="B65" s="984"/>
      <c r="C65" s="995" t="s">
        <v>445</v>
      </c>
      <c r="D65" s="985">
        <f>IF('Ввод исходных данных'!$D$14='Серии планировка'!A65,'Ввод исходных данных'!$D$19,1)</f>
        <v>1</v>
      </c>
      <c r="E65" s="985">
        <f>IF('Ввод исходных данных'!$D$14='Серии планировка'!A65,'Ввод исходных данных'!$D$17,1)</f>
        <v>1</v>
      </c>
      <c r="F65" s="996">
        <f>L65*M65*$D65*0.98</f>
        <v>156.80000000000001</v>
      </c>
      <c r="G65" s="996">
        <f>140.2*D65*E65</f>
        <v>140.19999999999999</v>
      </c>
      <c r="H65" s="996">
        <f>85*D65*E65</f>
        <v>85</v>
      </c>
      <c r="I65" s="996">
        <f t="shared" ref="I65:I67" si="162">F65-G65</f>
        <v>16.600000000000023</v>
      </c>
      <c r="J65" s="985">
        <f t="shared" si="134"/>
        <v>3.1</v>
      </c>
      <c r="K65" s="985">
        <v>3.1</v>
      </c>
      <c r="L65" s="985">
        <f>16*E65</f>
        <v>16</v>
      </c>
      <c r="M65" s="985">
        <v>10</v>
      </c>
      <c r="N65" s="986">
        <f>2*(L65+M65)*J65</f>
        <v>161.20000000000002</v>
      </c>
      <c r="O65" s="986">
        <f t="shared" si="138"/>
        <v>134.77900000000002</v>
      </c>
      <c r="P65" s="985">
        <f t="shared" ref="P65:P68" si="163">Q65+R65</f>
        <v>9</v>
      </c>
      <c r="Q65" s="985">
        <f>9*D65*E65</f>
        <v>9</v>
      </c>
      <c r="R65" s="985">
        <f t="shared" si="139"/>
        <v>0</v>
      </c>
      <c r="S65" s="997">
        <f t="shared" si="160"/>
        <v>20.420999999999999</v>
      </c>
      <c r="T65" s="997">
        <f>2.269*Q65</f>
        <v>20.420999999999999</v>
      </c>
      <c r="U65" s="996">
        <f>2.5*R65</f>
        <v>0</v>
      </c>
      <c r="V65" s="985">
        <f t="shared" si="135"/>
        <v>1</v>
      </c>
      <c r="W65" s="986">
        <f t="shared" ref="W65" si="164">6*V65</f>
        <v>6</v>
      </c>
      <c r="X65" s="985">
        <f t="shared" ref="X65" si="165">L65*M65</f>
        <v>160</v>
      </c>
      <c r="Y65" s="988">
        <f t="shared" ref="Y65" si="166">$L65*$M65</f>
        <v>160</v>
      </c>
      <c r="Z65" s="985">
        <f t="shared" ref="Z65:Z68" si="167">Y65+(L65+M65)*2*2.5</f>
        <v>290</v>
      </c>
      <c r="AA65" s="985">
        <f t="shared" si="136"/>
        <v>31</v>
      </c>
      <c r="AB65" s="985">
        <f t="shared" si="137"/>
        <v>52</v>
      </c>
      <c r="AC65" s="74"/>
      <c r="AD65" s="74"/>
      <c r="AE65" s="74"/>
      <c r="AF65" s="74"/>
      <c r="AG65" s="74"/>
      <c r="AH65" s="74"/>
      <c r="AI65" s="74"/>
      <c r="AJ65" s="74"/>
      <c r="AK65" s="74"/>
      <c r="AL65" s="74"/>
      <c r="AM65" s="74"/>
      <c r="AN65" s="74"/>
      <c r="AO65" s="74"/>
      <c r="AP65" s="74"/>
      <c r="AQ65" s="74"/>
      <c r="AR65" s="74"/>
      <c r="AS65" s="74"/>
      <c r="AT65" s="74"/>
    </row>
    <row r="66" spans="1:46" ht="15" customHeight="1" x14ac:dyDescent="0.25">
      <c r="A66" s="983" t="s">
        <v>1629</v>
      </c>
      <c r="B66" s="984"/>
      <c r="C66" s="983" t="s">
        <v>1629</v>
      </c>
      <c r="D66" s="985">
        <f>IF('Ввод исходных данных'!$D$14='Серии планировка'!A66,'Ввод исходных данных'!$D$19,1)</f>
        <v>1</v>
      </c>
      <c r="E66" s="985">
        <f>IF('Ввод исходных данных'!$D$14='Серии планировка'!A66,'Ввод исходных данных'!$D$17,1)</f>
        <v>1</v>
      </c>
      <c r="F66" s="985">
        <f t="shared" ref="F66:F67" si="168">L66*M66*D66</f>
        <v>268.79999999999995</v>
      </c>
      <c r="G66" s="985">
        <f>215*D66*E66</f>
        <v>215</v>
      </c>
      <c r="H66" s="985">
        <f>121.2*D66*E66</f>
        <v>121.2</v>
      </c>
      <c r="I66" s="985">
        <f t="shared" si="162"/>
        <v>53.799999999999955</v>
      </c>
      <c r="J66" s="985">
        <f t="shared" si="134"/>
        <v>2.78</v>
      </c>
      <c r="K66" s="985">
        <v>2.78</v>
      </c>
      <c r="L66" s="985">
        <f>22.4*E66</f>
        <v>22.4</v>
      </c>
      <c r="M66" s="985">
        <v>12</v>
      </c>
      <c r="N66" s="985">
        <f t="shared" ref="N66:N67" si="169">2*(L66+M66)*J66</f>
        <v>191.26399999999998</v>
      </c>
      <c r="O66" s="986">
        <f t="shared" si="138"/>
        <v>154.31199999999998</v>
      </c>
      <c r="P66" s="985">
        <f t="shared" si="163"/>
        <v>17</v>
      </c>
      <c r="Q66" s="985">
        <f>13*D66*E66+4*D66</f>
        <v>17</v>
      </c>
      <c r="R66" s="985">
        <f t="shared" si="139"/>
        <v>0</v>
      </c>
      <c r="S66" s="985">
        <f t="shared" si="160"/>
        <v>34.951999999999998</v>
      </c>
      <c r="T66" s="985">
        <f>Q66*2.056</f>
        <v>34.951999999999998</v>
      </c>
      <c r="U66" s="985">
        <f>R66*2.5</f>
        <v>0</v>
      </c>
      <c r="V66" s="985">
        <f t="shared" si="135"/>
        <v>1</v>
      </c>
      <c r="W66" s="985">
        <f t="shared" ref="W66:W67" si="170">V66*2</f>
        <v>2</v>
      </c>
      <c r="X66" s="985">
        <v>845</v>
      </c>
      <c r="Y66" s="988">
        <v>845</v>
      </c>
      <c r="Z66" s="985">
        <f t="shared" si="167"/>
        <v>1017</v>
      </c>
      <c r="AA66" s="998">
        <f t="shared" si="136"/>
        <v>33.36</v>
      </c>
      <c r="AB66" s="999">
        <f t="shared" si="137"/>
        <v>68.8</v>
      </c>
      <c r="AC66" s="955"/>
      <c r="AD66" s="955"/>
      <c r="AE66" s="514"/>
      <c r="AF66" s="514"/>
      <c r="AG66" s="74"/>
      <c r="AH66" s="74"/>
      <c r="AI66" s="74"/>
      <c r="AJ66" s="74"/>
      <c r="AK66" s="74"/>
      <c r="AL66" s="74"/>
      <c r="AM66" s="74"/>
      <c r="AN66" s="74"/>
      <c r="AO66" s="74"/>
      <c r="AP66" s="74"/>
      <c r="AQ66" s="74"/>
      <c r="AR66" s="74"/>
      <c r="AS66" s="74"/>
      <c r="AT66" s="74"/>
    </row>
    <row r="67" spans="1:46" ht="15" customHeight="1" x14ac:dyDescent="0.25">
      <c r="A67" s="983" t="s">
        <v>1630</v>
      </c>
      <c r="B67" s="984"/>
      <c r="C67" s="983" t="s">
        <v>1630</v>
      </c>
      <c r="D67" s="985">
        <f>IF('Ввод исходных данных'!$D$14='Серии планировка'!A67,'Ввод исходных данных'!$D$19,1)</f>
        <v>1</v>
      </c>
      <c r="E67" s="985">
        <f>IF('Ввод исходных данных'!$D$14='Серии планировка'!A67,'Ввод исходных данных'!$D$17,1)</f>
        <v>1</v>
      </c>
      <c r="F67" s="985">
        <f t="shared" si="168"/>
        <v>291.64799999999997</v>
      </c>
      <c r="G67" s="985">
        <f>215*D67*E67</f>
        <v>215</v>
      </c>
      <c r="H67" s="985">
        <f>132*D67*E67</f>
        <v>132</v>
      </c>
      <c r="I67" s="985">
        <f t="shared" si="162"/>
        <v>76.647999999999968</v>
      </c>
      <c r="J67" s="985">
        <f t="shared" si="134"/>
        <v>2.78</v>
      </c>
      <c r="K67" s="985">
        <v>2.78</v>
      </c>
      <c r="L67" s="985">
        <f>22.4*E67</f>
        <v>22.4</v>
      </c>
      <c r="M67" s="985">
        <v>13.02</v>
      </c>
      <c r="N67" s="985">
        <f t="shared" si="169"/>
        <v>196.93520000000001</v>
      </c>
      <c r="O67" s="986">
        <f t="shared" si="138"/>
        <v>168.2072</v>
      </c>
      <c r="P67" s="985">
        <f t="shared" si="163"/>
        <v>13</v>
      </c>
      <c r="Q67" s="985">
        <f>13*D67*E67</f>
        <v>13</v>
      </c>
      <c r="R67" s="985">
        <f t="shared" si="139"/>
        <v>0</v>
      </c>
      <c r="S67" s="985">
        <f t="shared" si="160"/>
        <v>26.728000000000002</v>
      </c>
      <c r="T67" s="985">
        <f>Q67*2.056</f>
        <v>26.728000000000002</v>
      </c>
      <c r="U67" s="985">
        <f>R67*2.5</f>
        <v>0</v>
      </c>
      <c r="V67" s="985">
        <f t="shared" si="135"/>
        <v>1</v>
      </c>
      <c r="W67" s="985">
        <f t="shared" si="170"/>
        <v>2</v>
      </c>
      <c r="X67" s="985">
        <v>845</v>
      </c>
      <c r="Y67" s="988">
        <v>845</v>
      </c>
      <c r="Z67" s="985">
        <f t="shared" si="167"/>
        <v>1022.1</v>
      </c>
      <c r="AA67" s="998">
        <f t="shared" si="136"/>
        <v>36.195599999999999</v>
      </c>
      <c r="AB67" s="999">
        <f t="shared" si="137"/>
        <v>70.84</v>
      </c>
      <c r="AC67" s="955"/>
      <c r="AD67" s="955"/>
      <c r="AE67" s="514"/>
      <c r="AF67" s="514"/>
      <c r="AG67" s="74"/>
      <c r="AH67" s="74"/>
      <c r="AI67" s="74"/>
      <c r="AJ67" s="74"/>
      <c r="AK67" s="74"/>
      <c r="AL67" s="74"/>
      <c r="AM67" s="74"/>
      <c r="AN67" s="74"/>
      <c r="AO67" s="74"/>
      <c r="AP67" s="74"/>
      <c r="AQ67" s="74"/>
      <c r="AR67" s="74"/>
      <c r="AS67" s="74"/>
      <c r="AT67" s="74"/>
    </row>
    <row r="68" spans="1:46" s="964" customFormat="1" ht="15" customHeight="1" x14ac:dyDescent="0.25">
      <c r="A68" s="983" t="s">
        <v>1437</v>
      </c>
      <c r="B68" s="984"/>
      <c r="C68" s="983" t="s">
        <v>1437</v>
      </c>
      <c r="D68" s="985">
        <f>IF('Ввод исходных данных'!$D$14='Серии планировка'!A68,'Ввод исходных данных'!$D$19,1)</f>
        <v>1</v>
      </c>
      <c r="E68" s="985">
        <f>IF('Ввод исходных данных'!$D$14='Серии планировка'!A68,'Ввод исходных данных'!$D$17,1)</f>
        <v>1</v>
      </c>
      <c r="F68" s="985">
        <f t="shared" ref="F68:F73" si="171">L68*M68*D68</f>
        <v>268.79999999999995</v>
      </c>
      <c r="G68" s="985">
        <f>242.2*D68*E68-IF(E68&gt;2,3.2*12*2*D68,0)</f>
        <v>242.2</v>
      </c>
      <c r="H68" s="985">
        <f>140*D68*E68-IF(E68&gt;2,3.2*12*2*D68,0)*3/4</f>
        <v>140</v>
      </c>
      <c r="I68" s="985">
        <f>F68-G68</f>
        <v>26.599999999999966</v>
      </c>
      <c r="J68" s="985">
        <f t="shared" si="134"/>
        <v>2.78</v>
      </c>
      <c r="K68" s="985">
        <v>2.78</v>
      </c>
      <c r="L68" s="985">
        <f>IF(E68&gt;2,(E68-2)*25.6+2*22.4,E68*22.4)</f>
        <v>22.4</v>
      </c>
      <c r="M68" s="985">
        <v>12</v>
      </c>
      <c r="N68" s="986">
        <f t="shared" ref="N68" si="172">2*(L68+M68)*J68</f>
        <v>191.26399999999998</v>
      </c>
      <c r="O68" s="986">
        <f t="shared" si="138"/>
        <v>143.02399999999997</v>
      </c>
      <c r="P68" s="985">
        <f t="shared" si="163"/>
        <v>12</v>
      </c>
      <c r="Q68" s="986">
        <f>IF(E68&gt;2,(E68-2)*14*D68+2*12*D68,12*D68)</f>
        <v>12</v>
      </c>
      <c r="R68" s="985">
        <f t="shared" si="139"/>
        <v>0</v>
      </c>
      <c r="S68" s="985">
        <f>T68+U68</f>
        <v>42.24</v>
      </c>
      <c r="T68" s="985">
        <f>Q68*3.52</f>
        <v>42.24</v>
      </c>
      <c r="U68" s="985">
        <f>R68*1.23</f>
        <v>0</v>
      </c>
      <c r="V68" s="985">
        <f t="shared" si="135"/>
        <v>1</v>
      </c>
      <c r="W68" s="985">
        <f>V68*6</f>
        <v>6</v>
      </c>
      <c r="X68" s="992">
        <v>1221.3</v>
      </c>
      <c r="Y68" s="992">
        <v>1221.3</v>
      </c>
      <c r="Z68" s="985">
        <f t="shared" si="167"/>
        <v>1393.3</v>
      </c>
      <c r="AA68" s="985">
        <f t="shared" si="136"/>
        <v>33.36</v>
      </c>
      <c r="AB68" s="985">
        <f t="shared" si="137"/>
        <v>68.8</v>
      </c>
      <c r="AC68" s="74"/>
      <c r="AD68" s="74"/>
      <c r="AE68" s="74"/>
      <c r="AF68" s="74"/>
      <c r="AG68" s="74"/>
      <c r="AH68" s="74"/>
      <c r="AI68" s="74"/>
      <c r="AJ68" s="74"/>
      <c r="AK68" s="74"/>
      <c r="AL68" s="74"/>
      <c r="AM68" s="74"/>
      <c r="AN68" s="74"/>
      <c r="AO68" s="74"/>
      <c r="AP68" s="74"/>
      <c r="AQ68" s="74"/>
      <c r="AR68" s="74"/>
      <c r="AS68" s="74"/>
      <c r="AT68" s="74"/>
    </row>
    <row r="69" spans="1:46" s="964" customFormat="1" ht="12" customHeight="1" x14ac:dyDescent="0.25">
      <c r="A69" s="1000" t="s">
        <v>1438</v>
      </c>
      <c r="B69" s="984"/>
      <c r="C69" s="1000" t="s">
        <v>1438</v>
      </c>
      <c r="D69" s="985">
        <f>IF('Ввод исходных данных'!$D$14='Серии планировка'!A69,'Ввод исходных данных'!$D$19,1)</f>
        <v>1</v>
      </c>
      <c r="E69" s="985">
        <f>IF('Ввод исходных данных'!$D$14='Серии планировка'!A69,'Ввод исходных данных'!$D$17,1)</f>
        <v>1</v>
      </c>
      <c r="F69" s="985">
        <f t="shared" si="171"/>
        <v>391.5</v>
      </c>
      <c r="G69" s="985">
        <f>303.4*$D69*$E69</f>
        <v>303.39999999999998</v>
      </c>
      <c r="H69" s="985">
        <f>191*$D69*$E69</f>
        <v>191</v>
      </c>
      <c r="I69" s="985">
        <f t="shared" ref="I69" si="173">F69-G69</f>
        <v>88.100000000000023</v>
      </c>
      <c r="J69" s="985">
        <f t="shared" si="134"/>
        <v>3.13</v>
      </c>
      <c r="K69" s="985">
        <v>3.13</v>
      </c>
      <c r="L69" s="985">
        <f>29*E69</f>
        <v>29</v>
      </c>
      <c r="M69" s="985">
        <v>13.5</v>
      </c>
      <c r="N69" s="985">
        <f>(M69+L69)*2*J69</f>
        <v>266.05</v>
      </c>
      <c r="O69" s="986">
        <f t="shared" si="138"/>
        <v>204.19</v>
      </c>
      <c r="P69" s="985">
        <f t="shared" ref="P69" si="174">Q69+R69</f>
        <v>21</v>
      </c>
      <c r="Q69" s="985">
        <f>9*D69*E69+8*D69*E69+4*D69</f>
        <v>21</v>
      </c>
      <c r="R69" s="985">
        <f t="shared" si="139"/>
        <v>0</v>
      </c>
      <c r="S69" s="985">
        <f t="shared" ref="S69" si="175">T69+U69</f>
        <v>55.86</v>
      </c>
      <c r="T69" s="986">
        <f>2.66*Q69</f>
        <v>55.86</v>
      </c>
      <c r="U69" s="986">
        <f>28/12*R69</f>
        <v>0</v>
      </c>
      <c r="V69" s="986">
        <f t="shared" si="135"/>
        <v>1</v>
      </c>
      <c r="W69" s="986">
        <f>6*E69</f>
        <v>6</v>
      </c>
      <c r="X69" s="986">
        <f>392*E69</f>
        <v>392</v>
      </c>
      <c r="Y69" s="988">
        <f>392*E69</f>
        <v>392</v>
      </c>
      <c r="Z69" s="985">
        <f>Y69+(L69+M69)*2*2.5</f>
        <v>604.5</v>
      </c>
      <c r="AA69" s="985">
        <f t="shared" si="136"/>
        <v>42.254999999999995</v>
      </c>
      <c r="AB69" s="985">
        <f t="shared" si="137"/>
        <v>85</v>
      </c>
      <c r="AC69" s="74"/>
      <c r="AD69" s="74"/>
      <c r="AE69" s="74"/>
      <c r="AF69" s="74"/>
      <c r="AG69" s="74"/>
      <c r="AH69" s="74"/>
      <c r="AI69" s="74"/>
      <c r="AJ69" s="74"/>
      <c r="AK69" s="74"/>
      <c r="AL69" s="74"/>
      <c r="AM69" s="74"/>
      <c r="AN69" s="74"/>
      <c r="AO69" s="74"/>
      <c r="AP69" s="74"/>
      <c r="AQ69" s="74"/>
      <c r="AR69" s="74"/>
      <c r="AS69" s="74"/>
      <c r="AT69" s="74"/>
    </row>
    <row r="70" spans="1:46" s="964" customFormat="1" ht="12" customHeight="1" x14ac:dyDescent="0.25">
      <c r="A70" s="995" t="s">
        <v>1439</v>
      </c>
      <c r="B70" s="984"/>
      <c r="C70" s="995" t="s">
        <v>1439</v>
      </c>
      <c r="D70" s="985">
        <f>IF('Ввод исходных данных'!$D$14='Серии планировка'!A70,'Ввод исходных данных'!$D$19,1)</f>
        <v>1</v>
      </c>
      <c r="E70" s="985">
        <f>IF('Ввод исходных данных'!$D$14='Серии планировка'!A70,'Ввод исходных данных'!$D$17,1)</f>
        <v>1</v>
      </c>
      <c r="F70" s="986">
        <f t="shared" si="171"/>
        <v>234.375</v>
      </c>
      <c r="G70" s="986">
        <f>IF(E70&gt;2,2*157.7+(E70-2)*183.4,E70*157.7)*D70</f>
        <v>157.69999999999999</v>
      </c>
      <c r="H70" s="985">
        <f>IF(E70&gt;2,2*109.3+(E70-2)*129.2,E70*109.3)*D70</f>
        <v>109.3</v>
      </c>
      <c r="I70" s="985">
        <f>F70-G70</f>
        <v>76.675000000000011</v>
      </c>
      <c r="J70" s="985">
        <f t="shared" si="134"/>
        <v>3.22</v>
      </c>
      <c r="K70" s="985">
        <v>3.22</v>
      </c>
      <c r="L70" s="985">
        <f>L38/4</f>
        <v>18.75</v>
      </c>
      <c r="M70" s="985">
        <v>12.5</v>
      </c>
      <c r="N70" s="985">
        <f>(M70+L70)*2*J70</f>
        <v>201.25</v>
      </c>
      <c r="O70" s="986">
        <f t="shared" si="138"/>
        <v>162.94999999999999</v>
      </c>
      <c r="P70" s="985">
        <f>Q70+R70</f>
        <v>17</v>
      </c>
      <c r="Q70" s="986">
        <f>(6+7)*D70*E70+2*2*D70</f>
        <v>17</v>
      </c>
      <c r="R70" s="985">
        <f t="shared" si="139"/>
        <v>0</v>
      </c>
      <c r="S70" s="986">
        <f>T70+U70</f>
        <v>32.299999999999997</v>
      </c>
      <c r="T70" s="986">
        <f>1.9*Q70</f>
        <v>32.299999999999997</v>
      </c>
      <c r="U70" s="986">
        <f>2.2*R70</f>
        <v>0</v>
      </c>
      <c r="V70" s="986">
        <f t="shared" si="135"/>
        <v>1</v>
      </c>
      <c r="W70" s="986">
        <f>6*E70</f>
        <v>6</v>
      </c>
      <c r="X70" s="986">
        <f>220.5*E70</f>
        <v>220.5</v>
      </c>
      <c r="Y70" s="988">
        <f>220.5*E70</f>
        <v>220.5</v>
      </c>
      <c r="Z70" s="985">
        <f>Y70+(L70+M70)*2*2.5</f>
        <v>376.75</v>
      </c>
      <c r="AA70" s="985">
        <f t="shared" si="136"/>
        <v>40.25</v>
      </c>
      <c r="AB70" s="985">
        <f t="shared" si="137"/>
        <v>62.5</v>
      </c>
      <c r="AC70" s="74"/>
      <c r="AD70" s="74"/>
      <c r="AE70" s="74"/>
      <c r="AF70" s="74"/>
      <c r="AG70" s="74"/>
      <c r="AH70" s="74"/>
      <c r="AI70" s="74"/>
      <c r="AJ70" s="74"/>
      <c r="AK70" s="74"/>
      <c r="AL70" s="74"/>
      <c r="AM70" s="74"/>
      <c r="AN70" s="74"/>
      <c r="AO70" s="74"/>
      <c r="AP70" s="74"/>
      <c r="AQ70" s="74"/>
      <c r="AR70" s="74"/>
      <c r="AS70" s="74"/>
      <c r="AT70" s="74"/>
    </row>
    <row r="71" spans="1:46" s="964" customFormat="1" ht="12" customHeight="1" x14ac:dyDescent="0.25">
      <c r="A71" s="1001" t="s">
        <v>1440</v>
      </c>
      <c r="B71" s="984"/>
      <c r="C71" s="1001" t="s">
        <v>1440</v>
      </c>
      <c r="D71" s="985">
        <f>IF('Ввод исходных данных'!$D$14='Серии планировка'!A71,'Ввод исходных данных'!$D$19,1)</f>
        <v>1</v>
      </c>
      <c r="E71" s="985">
        <f>IF('Ввод исходных данных'!$D$14='Серии планировка'!A71,'Ввод исходных данных'!$D$17,1)</f>
        <v>1</v>
      </c>
      <c r="F71" s="986">
        <f t="shared" si="171"/>
        <v>252.51900000000003</v>
      </c>
      <c r="G71" s="986">
        <f>200.52*$D71*$E71</f>
        <v>200.52</v>
      </c>
      <c r="H71" s="985">
        <f>134.6*$D71*$E71</f>
        <v>134.6</v>
      </c>
      <c r="I71" s="985">
        <f>F71-G71</f>
        <v>51.999000000000024</v>
      </c>
      <c r="J71" s="985">
        <f t="shared" si="134"/>
        <v>3.1</v>
      </c>
      <c r="K71" s="985">
        <v>3.1</v>
      </c>
      <c r="L71" s="985">
        <f>20.53*E71</f>
        <v>20.53</v>
      </c>
      <c r="M71" s="985">
        <v>12.3</v>
      </c>
      <c r="N71" s="985">
        <f>(M71+L71)*2*J71</f>
        <v>203.54599999999999</v>
      </c>
      <c r="O71" s="986">
        <f t="shared" si="138"/>
        <v>158.95599999999999</v>
      </c>
      <c r="P71" s="985">
        <f>Q71+R71</f>
        <v>17</v>
      </c>
      <c r="Q71" s="985">
        <f>13*D71*E71+2*2*D71</f>
        <v>17</v>
      </c>
      <c r="R71" s="985">
        <f t="shared" si="139"/>
        <v>0</v>
      </c>
      <c r="S71" s="986">
        <f>T71+U71</f>
        <v>38.590000000000003</v>
      </c>
      <c r="T71" s="1002">
        <f>2.27*Q71</f>
        <v>38.590000000000003</v>
      </c>
      <c r="U71" s="986">
        <f>2.2*R71</f>
        <v>0</v>
      </c>
      <c r="V71" s="986">
        <f t="shared" si="135"/>
        <v>1</v>
      </c>
      <c r="W71" s="986">
        <f>6*E71</f>
        <v>6</v>
      </c>
      <c r="X71" s="986">
        <f>269*E71</f>
        <v>269</v>
      </c>
      <c r="Y71" s="988">
        <f>269*E71</f>
        <v>269</v>
      </c>
      <c r="Z71" s="985">
        <f>Y71+(L71+M71)*2*2.5</f>
        <v>433.15</v>
      </c>
      <c r="AA71" s="985">
        <f t="shared" si="136"/>
        <v>38.130000000000003</v>
      </c>
      <c r="AB71" s="985">
        <f t="shared" si="137"/>
        <v>65.66</v>
      </c>
      <c r="AC71" s="74"/>
      <c r="AD71" s="74"/>
      <c r="AE71" s="74"/>
      <c r="AF71" s="74"/>
      <c r="AG71" s="74"/>
      <c r="AH71" s="74"/>
      <c r="AI71" s="74"/>
      <c r="AJ71" s="74"/>
      <c r="AK71" s="74"/>
      <c r="AL71" s="74"/>
      <c r="AM71" s="74"/>
      <c r="AN71" s="74"/>
      <c r="AO71" s="74"/>
      <c r="AP71" s="74"/>
      <c r="AQ71" s="74"/>
      <c r="AR71" s="74"/>
      <c r="AS71" s="74"/>
      <c r="AT71" s="74"/>
    </row>
    <row r="72" spans="1:46" s="964" customFormat="1" ht="12" customHeight="1" x14ac:dyDescent="0.25">
      <c r="A72" s="1001" t="s">
        <v>1489</v>
      </c>
      <c r="B72" s="984"/>
      <c r="C72" s="1001" t="s">
        <v>1489</v>
      </c>
      <c r="D72" s="985">
        <v>1</v>
      </c>
      <c r="E72" s="985">
        <v>1</v>
      </c>
      <c r="F72" s="986">
        <f t="shared" si="171"/>
        <v>560</v>
      </c>
      <c r="G72" s="986">
        <f>IF(E72=1,333*D72,D72*(333+314.1))</f>
        <v>333</v>
      </c>
      <c r="H72" s="985">
        <f>IF(E72=1,208*D72,(208+176.3)*D72)</f>
        <v>208</v>
      </c>
      <c r="I72" s="985">
        <f t="shared" ref="I72" si="176">F72-G72</f>
        <v>227</v>
      </c>
      <c r="J72" s="985">
        <f t="shared" si="134"/>
        <v>3.1</v>
      </c>
      <c r="K72" s="985">
        <v>3.1</v>
      </c>
      <c r="L72" s="985">
        <f>35*E72</f>
        <v>35</v>
      </c>
      <c r="M72" s="985">
        <f>16</f>
        <v>16</v>
      </c>
      <c r="N72" s="985">
        <f>(M72+L72)*2*J72</f>
        <v>316.2</v>
      </c>
      <c r="O72" s="986">
        <f t="shared" si="138"/>
        <v>279</v>
      </c>
      <c r="P72" s="985">
        <f>Q72+R72</f>
        <v>13</v>
      </c>
      <c r="Q72" s="986">
        <f>IF(E72=1,13*D72,(13+11)*D72)</f>
        <v>13</v>
      </c>
      <c r="R72" s="985">
        <f t="shared" si="139"/>
        <v>0</v>
      </c>
      <c r="S72" s="986">
        <f t="shared" ref="S72" si="177">T72+U72</f>
        <v>31.2</v>
      </c>
      <c r="T72" s="986">
        <f>2.4*Q72</f>
        <v>31.2</v>
      </c>
      <c r="U72" s="986">
        <f t="shared" ref="U72" si="178">2.5*R72</f>
        <v>0</v>
      </c>
      <c r="V72" s="986">
        <f t="shared" si="135"/>
        <v>1</v>
      </c>
      <c r="W72" s="986">
        <f>6*E72</f>
        <v>6</v>
      </c>
      <c r="X72" s="986">
        <f t="shared" ref="X72" si="179">L72*M72</f>
        <v>560</v>
      </c>
      <c r="Y72" s="988">
        <f t="shared" ref="Y72" si="180">$L72*$M72</f>
        <v>560</v>
      </c>
      <c r="Z72" s="985">
        <f t="shared" ref="Z72" si="181">Y72+(L72+M72)*2*2.5</f>
        <v>815</v>
      </c>
      <c r="AA72" s="985">
        <f t="shared" si="136"/>
        <v>49.6</v>
      </c>
      <c r="AB72" s="985">
        <f t="shared" si="137"/>
        <v>102</v>
      </c>
      <c r="AC72" s="74"/>
      <c r="AD72" s="74"/>
      <c r="AE72" s="74"/>
      <c r="AF72" s="74"/>
      <c r="AG72" s="74"/>
      <c r="AH72" s="74"/>
      <c r="AI72" s="74"/>
      <c r="AJ72" s="74"/>
      <c r="AK72" s="74"/>
      <c r="AL72" s="74"/>
      <c r="AM72" s="74"/>
      <c r="AN72" s="74"/>
      <c r="AO72" s="74"/>
      <c r="AP72" s="74"/>
      <c r="AQ72" s="74"/>
      <c r="AR72" s="74"/>
      <c r="AS72" s="74"/>
      <c r="AT72" s="74"/>
    </row>
    <row r="73" spans="1:46" s="964" customFormat="1" ht="13.5" customHeight="1" x14ac:dyDescent="0.25">
      <c r="A73" s="991" t="s">
        <v>609</v>
      </c>
      <c r="B73" s="984"/>
      <c r="C73" s="991" t="s">
        <v>609</v>
      </c>
      <c r="D73" s="985">
        <f>IF('Ввод исходных данных'!$D$14='Серии планировка'!A73,'Ввод исходных данных'!$D$19,1)</f>
        <v>1</v>
      </c>
      <c r="E73" s="985">
        <f>IF('Ввод исходных данных'!$D$14='Серии планировка'!A73,'Ввод исходных данных'!$D$17,1)</f>
        <v>1</v>
      </c>
      <c r="F73" s="986">
        <f t="shared" si="171"/>
        <v>400.40000000000003</v>
      </c>
      <c r="G73" s="986">
        <f>309.24*D73*E73*1.077</f>
        <v>333.05147999999997</v>
      </c>
      <c r="H73" s="985">
        <f>182.2*E73*D73</f>
        <v>182.2</v>
      </c>
      <c r="I73" s="985">
        <f>F73-G73</f>
        <v>67.348520000000065</v>
      </c>
      <c r="J73" s="985">
        <f t="shared" si="134"/>
        <v>3.2</v>
      </c>
      <c r="K73" s="985">
        <v>3.2</v>
      </c>
      <c r="L73" s="985">
        <f>28.6*E73</f>
        <v>28.6</v>
      </c>
      <c r="M73" s="985">
        <v>14</v>
      </c>
      <c r="N73" s="986">
        <f>2*(L73+M73)*J73</f>
        <v>272.64000000000004</v>
      </c>
      <c r="O73" s="986">
        <f t="shared" si="138"/>
        <v>213.44000000000005</v>
      </c>
      <c r="P73" s="985">
        <f t="shared" ref="P73:P74" si="182">Q73+R73</f>
        <v>20</v>
      </c>
      <c r="Q73" s="986">
        <f>(8+9)*D73*E73+(1+2)*D73</f>
        <v>20</v>
      </c>
      <c r="R73" s="985">
        <f t="shared" si="139"/>
        <v>0</v>
      </c>
      <c r="S73" s="986">
        <f t="shared" ref="S73:S74" si="183">T73+U73</f>
        <v>53.2</v>
      </c>
      <c r="T73" s="986">
        <f>2.66*Q73</f>
        <v>53.2</v>
      </c>
      <c r="U73" s="986">
        <f>2.33*R73</f>
        <v>0</v>
      </c>
      <c r="V73" s="986">
        <f t="shared" si="135"/>
        <v>1</v>
      </c>
      <c r="W73" s="986">
        <f>6*V73</f>
        <v>6</v>
      </c>
      <c r="X73" s="986">
        <f>$L73*$M73</f>
        <v>400.40000000000003</v>
      </c>
      <c r="Y73" s="988">
        <f>$L73*$M73</f>
        <v>400.40000000000003</v>
      </c>
      <c r="Z73" s="985">
        <f>Y73+(L73+M73)*2*2.5</f>
        <v>613.40000000000009</v>
      </c>
      <c r="AA73" s="985">
        <f t="shared" si="136"/>
        <v>44.800000000000004</v>
      </c>
      <c r="AB73" s="985">
        <f t="shared" si="137"/>
        <v>85.2</v>
      </c>
      <c r="AC73" s="74"/>
      <c r="AD73" s="74"/>
      <c r="AE73" s="74"/>
      <c r="AF73" s="74"/>
      <c r="AG73" s="74"/>
      <c r="AH73" s="74"/>
      <c r="AI73" s="74"/>
      <c r="AJ73" s="74"/>
      <c r="AK73" s="74"/>
      <c r="AL73" s="74"/>
      <c r="AM73" s="74"/>
      <c r="AN73" s="74"/>
      <c r="AO73" s="74"/>
      <c r="AP73" s="74"/>
      <c r="AQ73" s="74"/>
      <c r="AR73" s="74"/>
      <c r="AS73" s="74"/>
      <c r="AT73" s="74"/>
    </row>
    <row r="74" spans="1:46" s="964" customFormat="1" ht="12" customHeight="1" x14ac:dyDescent="0.25">
      <c r="A74" s="991" t="s">
        <v>1397</v>
      </c>
      <c r="B74" s="984"/>
      <c r="C74" s="991" t="s">
        <v>1397</v>
      </c>
      <c r="D74" s="985">
        <f>IF('Ввод исходных данных'!$D$14='Серии планировка'!A74,'Ввод исходных данных'!$D$19,1)</f>
        <v>1</v>
      </c>
      <c r="E74" s="985">
        <f>IF('Ввод исходных данных'!$D$14='Серии планировка'!A74,'Ввод исходных данных'!$D$17,1)</f>
        <v>1</v>
      </c>
      <c r="F74" s="996">
        <f>L74*M74*$D74*0.98-28.5*D74*E74</f>
        <v>323.35919999999993</v>
      </c>
      <c r="G74" s="997">
        <f>253*$D74*$E74</f>
        <v>253</v>
      </c>
      <c r="H74" s="996">
        <f>153.4*$D74*$E74</f>
        <v>153.4</v>
      </c>
      <c r="I74" s="996">
        <f t="shared" ref="I74" si="184">F74-G74</f>
        <v>70.35919999999993</v>
      </c>
      <c r="J74" s="985">
        <f t="shared" si="134"/>
        <v>3.2</v>
      </c>
      <c r="K74" s="985">
        <v>3.2</v>
      </c>
      <c r="L74" s="985">
        <f>26.4*E74</f>
        <v>26.4</v>
      </c>
      <c r="M74" s="985">
        <v>13.6</v>
      </c>
      <c r="N74" s="986">
        <f>2*(L74+M74)*J74</f>
        <v>256</v>
      </c>
      <c r="O74" s="986">
        <f t="shared" si="138"/>
        <v>210.43</v>
      </c>
      <c r="P74" s="985">
        <f t="shared" si="182"/>
        <v>15</v>
      </c>
      <c r="Q74" s="986">
        <f>14*D74*E74</f>
        <v>14</v>
      </c>
      <c r="R74" s="986">
        <f>2*D74*E74-E74</f>
        <v>1</v>
      </c>
      <c r="S74" s="997">
        <f t="shared" si="183"/>
        <v>39.57</v>
      </c>
      <c r="T74" s="997">
        <f>2.66*Q74</f>
        <v>37.24</v>
      </c>
      <c r="U74" s="997">
        <f>2.33*R74</f>
        <v>2.33</v>
      </c>
      <c r="V74" s="986">
        <f t="shared" si="135"/>
        <v>1</v>
      </c>
      <c r="W74" s="986">
        <f t="shared" ref="W74" si="185">6*V74</f>
        <v>6</v>
      </c>
      <c r="X74" s="986">
        <f t="shared" ref="X74" si="186">L74*M74</f>
        <v>359.03999999999996</v>
      </c>
      <c r="Y74" s="988">
        <f t="shared" ref="Y74" si="187">$L74*$M74</f>
        <v>359.03999999999996</v>
      </c>
      <c r="Z74" s="985">
        <f t="shared" ref="Z74:Z76" si="188">Y74+(L74+M74)*2*2.5</f>
        <v>559.04</v>
      </c>
      <c r="AA74" s="985">
        <f t="shared" si="136"/>
        <v>43.52</v>
      </c>
      <c r="AB74" s="985">
        <f t="shared" si="137"/>
        <v>80</v>
      </c>
      <c r="AC74" s="74"/>
      <c r="AD74" s="74"/>
      <c r="AE74" s="74"/>
      <c r="AF74" s="74"/>
      <c r="AG74" s="74"/>
      <c r="AH74" s="74"/>
      <c r="AI74" s="74"/>
      <c r="AJ74" s="74"/>
      <c r="AK74" s="74"/>
      <c r="AL74" s="74"/>
      <c r="AM74" s="74"/>
      <c r="AN74" s="74"/>
      <c r="AO74" s="74"/>
      <c r="AP74" s="74"/>
      <c r="AQ74" s="74"/>
      <c r="AR74" s="74"/>
      <c r="AS74" s="74"/>
      <c r="AT74" s="74"/>
    </row>
    <row r="75" spans="1:46" x14ac:dyDescent="0.25">
      <c r="A75" s="74"/>
      <c r="B75" s="74" t="s">
        <v>1554</v>
      </c>
      <c r="C75" s="74"/>
      <c r="D75" s="74"/>
      <c r="E75" s="74"/>
      <c r="F75" s="74"/>
      <c r="G75" s="74"/>
      <c r="H75" s="74"/>
      <c r="I75" s="74"/>
      <c r="J75" s="74"/>
      <c r="K75" s="74"/>
      <c r="L75" s="74"/>
      <c r="M75" s="74"/>
      <c r="N75" s="74"/>
      <c r="O75" s="74"/>
      <c r="P75" s="74"/>
      <c r="Q75" s="74"/>
      <c r="R75" s="74"/>
      <c r="S75" s="74"/>
      <c r="T75" s="74"/>
      <c r="U75" s="74"/>
      <c r="V75" s="74"/>
      <c r="W75" s="74"/>
      <c r="X75" s="74"/>
      <c r="Y75" s="74"/>
      <c r="Z75" s="74"/>
      <c r="AA75" s="74"/>
      <c r="AB75" s="74"/>
      <c r="AC75" s="74"/>
      <c r="AD75" s="74"/>
      <c r="AE75" s="74"/>
      <c r="AF75" s="74"/>
      <c r="AG75" s="74"/>
      <c r="AH75" s="74"/>
      <c r="AI75" s="74"/>
      <c r="AJ75" s="74"/>
      <c r="AK75" s="74"/>
      <c r="AL75" s="74"/>
      <c r="AM75" s="74"/>
      <c r="AN75" s="74"/>
      <c r="AO75" s="74"/>
      <c r="AP75" s="74"/>
      <c r="AQ75" s="74"/>
      <c r="AR75" s="74"/>
      <c r="AS75" s="74"/>
      <c r="AT75" s="74"/>
    </row>
    <row r="76" spans="1:46" x14ac:dyDescent="0.25">
      <c r="A76" s="1003"/>
      <c r="B76" s="1003"/>
      <c r="C76" s="1003" t="str">
        <f>B2</f>
        <v>Нет в списке</v>
      </c>
      <c r="D76" s="1003">
        <f>'Ввод исходных данных'!D19</f>
        <v>0</v>
      </c>
      <c r="E76" s="1003">
        <f>'Ввод исходных данных'!D17</f>
        <v>0</v>
      </c>
      <c r="F76" s="1003" t="e">
        <f>IFERROR(VLOOKUP($B$2,$C$7:$AB$51,F2,0),VLOOKUP('Ввод исходных данных'!$D$14,'Серии планировка'!$C$55:$AB$74,'Серии планировка'!F2,0))</f>
        <v>#N/A</v>
      </c>
      <c r="G76" s="1003" t="e">
        <f>IFERROR(VLOOKUP($B$2,$C$7:$AB$51,G2,0),VLOOKUP('Ввод исходных данных'!$D$14,'Серии планировка'!$C$55:$AB$74,'Серии планировка'!G2,0))</f>
        <v>#N/A</v>
      </c>
      <c r="H76" s="1003" t="e">
        <f>IFERROR(VLOOKUP($B$2,$C$7:$AB$51,H2,0),VLOOKUP('Ввод исходных данных'!$D$14,'Серии планировка'!$C$55:$AB$74,'Серии планировка'!H2,0))</f>
        <v>#N/A</v>
      </c>
      <c r="I76" s="1003" t="e">
        <f>F76-G76</f>
        <v>#N/A</v>
      </c>
      <c r="J76" s="1003">
        <f>IFERROR(IFERROR(VLOOKUP($B$2,$C$7:$AB$51,J2,0),VLOOKUP('Ввод исходных данных'!$D$14,'Серии планировка'!$C$55:$AB$74,'Серии планировка'!J2,0)),'Ввод исходных данных'!G49)</f>
        <v>0</v>
      </c>
      <c r="K76" s="1003" t="e">
        <f>IFERROR(VLOOKUP($B$2,$C$7:$AB$51,K2,0),VLOOKUP('Ввод исходных данных'!$D$14,'Серии планировка'!$C$55:$AB$74,'Серии планировка'!K2,0))</f>
        <v>#N/A</v>
      </c>
      <c r="L76" s="1003" t="e">
        <f>IFERROR(VLOOKUP($B$2,$C$7:$AB$51,L2,0),VLOOKUP('Ввод исходных данных'!$D$14,'Серии планировка'!$C$55:$AB$74,'Серии планировка'!L2,0))</f>
        <v>#N/A</v>
      </c>
      <c r="M76" s="1003" t="e">
        <f>IFERROR(VLOOKUP($B$2,$C$7:$AB$51,M2,0),VLOOKUP('Ввод исходных данных'!$D$14,'Серии планировка'!$C$55:$AB$74,'Серии планировка'!M2,0))</f>
        <v>#N/A</v>
      </c>
      <c r="N76" s="1003" t="e">
        <f>IFERROR(VLOOKUP($B$2,$C$7:$AB$51,N2,0),VLOOKUP('Ввод исходных данных'!$D$14,'Серии планировка'!$C$55:$AB$74,'Серии планировка'!N2,0))</f>
        <v>#N/A</v>
      </c>
      <c r="O76" s="1003" t="e">
        <f>IFERROR(VLOOKUP($B$2,$C$7:$AB$51,O2,0),VLOOKUP('Ввод исходных данных'!$D$14,'Серии планировка'!$C$55:$AB$74,'Серии планировка'!O2,0))</f>
        <v>#N/A</v>
      </c>
      <c r="P76" s="1003" t="e">
        <f>Q76+R76</f>
        <v>#N/A</v>
      </c>
      <c r="Q76" s="1003" t="e">
        <f>IFERROR(VLOOKUP($B$2,$C$7:$AB$51,Q2,0),VLOOKUP('Ввод исходных данных'!$D$14,'Серии планировка'!$C$55:$AB$74,'Серии планировка'!Q2,0))</f>
        <v>#N/A</v>
      </c>
      <c r="R76" s="1003" t="e">
        <f>IFERROR(VLOOKUP($B$2,$C$7:$AB$51,R2,0),VLOOKUP('Ввод исходных данных'!$D$14,'Серии планировка'!$C$55:$AB$74,'Серии планировка'!R2,0))</f>
        <v>#N/A</v>
      </c>
      <c r="S76" s="1003" t="e">
        <f>T76+U76</f>
        <v>#N/A</v>
      </c>
      <c r="T76" s="1003" t="e">
        <f>IFERROR(VLOOKUP($B$2,$C$7:$AB$51,T2,0),VLOOKUP('Ввод исходных данных'!$D$14,'Серии планировка'!$C$55:$AB$74,'Серии планировка'!T2,0))</f>
        <v>#N/A</v>
      </c>
      <c r="U76" s="1003" t="e">
        <f>IFERROR(VLOOKUP($B$2,$C$7:$AB$51,U2,0),VLOOKUP('Ввод исходных данных'!$D$14,'Серии планировка'!$C$55:$AB$74,'Серии планировка'!U2,0))</f>
        <v>#N/A</v>
      </c>
      <c r="V76" s="1003" t="e">
        <f>IFERROR(VLOOKUP($B$2,$C$7:$AB$51,V2,0),VLOOKUP('Ввод исходных данных'!$D$14,'Серии планировка'!$C$55:$AB$74,'Серии планировка'!V2,0))</f>
        <v>#N/A</v>
      </c>
      <c r="W76" s="1003" t="e">
        <f>IFERROR(VLOOKUP($B$2,$C$7:$AB$51,W2,0),VLOOKUP('Ввод исходных данных'!$D$14,'Серии планировка'!$C$55:$AB$74,'Серии планировка'!W2,0))</f>
        <v>#N/A</v>
      </c>
      <c r="X76" s="1003" t="e">
        <f>IFERROR(VLOOKUP($B$2,$C$7:$AB$51,X2,0),VLOOKUP('Ввод исходных данных'!$D$14,'Серии планировка'!$C$55:$AB$74,'Серии планировка'!X2,0))</f>
        <v>#N/A</v>
      </c>
      <c r="Y76" s="1003" t="e">
        <f>X76</f>
        <v>#N/A</v>
      </c>
      <c r="Z76" s="1004" t="e">
        <f t="shared" si="188"/>
        <v>#N/A</v>
      </c>
      <c r="AA76" s="1004" t="e">
        <f t="shared" si="136"/>
        <v>#N/A</v>
      </c>
      <c r="AB76" s="1004">
        <f>('Ввод исходных данных'!G47+'Ввод исходных данных'!G48)*2</f>
        <v>0</v>
      </c>
      <c r="AC76" s="74"/>
      <c r="AD76" s="74"/>
      <c r="AE76" s="74"/>
      <c r="AF76" s="74"/>
      <c r="AG76" s="74"/>
      <c r="AH76" s="74"/>
      <c r="AI76" s="74"/>
      <c r="AJ76" s="74"/>
      <c r="AK76" s="74"/>
      <c r="AL76" s="74"/>
      <c r="AM76" s="74"/>
      <c r="AN76" s="74"/>
      <c r="AO76" s="74"/>
      <c r="AP76" s="74"/>
      <c r="AQ76" s="74"/>
      <c r="AR76" s="74"/>
      <c r="AS76" s="74"/>
      <c r="AT76" s="74"/>
    </row>
    <row r="77" spans="1:46" x14ac:dyDescent="0.25">
      <c r="A77" s="74"/>
      <c r="B77" s="74"/>
      <c r="C77" s="74"/>
      <c r="D77" s="74"/>
      <c r="E77" s="74"/>
      <c r="F77" s="74"/>
      <c r="G77" s="74"/>
      <c r="H77" s="74"/>
      <c r="I77" s="74"/>
      <c r="J77" s="74"/>
      <c r="K77" s="74"/>
      <c r="L77" s="74"/>
      <c r="M77" s="74"/>
      <c r="N77" s="74"/>
      <c r="O77" s="74"/>
      <c r="P77" s="74"/>
      <c r="Q77" s="74"/>
      <c r="R77" s="74"/>
      <c r="S77" s="74"/>
      <c r="T77" s="74"/>
      <c r="U77" s="74"/>
      <c r="V77" s="74"/>
      <c r="W77" s="74"/>
      <c r="X77" s="74"/>
      <c r="Y77" s="74"/>
      <c r="Z77" s="74"/>
      <c r="AA77" s="74"/>
      <c r="AB77" s="74"/>
      <c r="AC77" s="74"/>
      <c r="AD77" s="74"/>
      <c r="AE77" s="74"/>
      <c r="AF77" s="74"/>
      <c r="AG77" s="74"/>
      <c r="AH77" s="74"/>
      <c r="AI77" s="74"/>
      <c r="AJ77" s="74"/>
      <c r="AK77" s="74"/>
      <c r="AL77" s="74"/>
      <c r="AM77" s="74"/>
      <c r="AN77" s="74"/>
      <c r="AO77" s="74"/>
      <c r="AP77" s="74"/>
      <c r="AQ77" s="74"/>
      <c r="AR77" s="74"/>
      <c r="AS77" s="74"/>
      <c r="AT77" s="74"/>
    </row>
    <row r="78" spans="1:46" x14ac:dyDescent="0.25">
      <c r="A78" s="74"/>
      <c r="B78" s="74"/>
      <c r="C78" s="74"/>
      <c r="D78" s="74"/>
      <c r="E78" s="74"/>
      <c r="F78" s="74"/>
      <c r="G78" s="74"/>
      <c r="H78" s="74"/>
      <c r="I78" s="74"/>
      <c r="J78" s="74"/>
      <c r="K78" s="74"/>
      <c r="L78" s="74"/>
      <c r="M78" s="74"/>
      <c r="N78" s="74"/>
      <c r="O78" s="74"/>
      <c r="P78" s="74"/>
      <c r="Q78" s="74"/>
      <c r="R78" s="74"/>
      <c r="S78" s="74"/>
      <c r="T78" s="74"/>
      <c r="U78" s="74"/>
      <c r="V78" s="74"/>
      <c r="W78" s="74"/>
      <c r="X78" s="74"/>
      <c r="Y78" s="74"/>
      <c r="Z78" s="74"/>
      <c r="AA78" s="74"/>
      <c r="AB78" s="74"/>
      <c r="AC78" s="74"/>
      <c r="AD78" s="74"/>
      <c r="AE78" s="74"/>
      <c r="AF78" s="74"/>
      <c r="AG78" s="74"/>
      <c r="AH78" s="74"/>
      <c r="AI78" s="74"/>
      <c r="AJ78" s="74"/>
      <c r="AK78" s="74"/>
      <c r="AL78" s="74"/>
      <c r="AM78" s="74"/>
      <c r="AN78" s="74"/>
      <c r="AO78" s="74"/>
      <c r="AP78" s="74"/>
      <c r="AQ78" s="74"/>
      <c r="AR78" s="74"/>
      <c r="AS78" s="74"/>
      <c r="AT78" s="74"/>
    </row>
    <row r="79" spans="1:46" x14ac:dyDescent="0.25">
      <c r="A79" s="74"/>
      <c r="B79" s="74"/>
      <c r="C79" s="74"/>
      <c r="D79" s="74"/>
      <c r="E79" s="74"/>
      <c r="F79" s="74"/>
      <c r="G79" s="74"/>
      <c r="H79" s="74"/>
      <c r="I79" s="74"/>
      <c r="J79" s="74"/>
      <c r="K79" s="74"/>
      <c r="L79" s="74"/>
      <c r="M79" s="74"/>
      <c r="N79" s="74"/>
      <c r="O79" s="74"/>
      <c r="P79" s="74"/>
      <c r="Q79" s="74"/>
      <c r="R79" s="74"/>
      <c r="S79" s="74"/>
      <c r="T79" s="74"/>
      <c r="U79" s="74"/>
      <c r="V79" s="74"/>
      <c r="W79" s="74"/>
      <c r="X79" s="74"/>
      <c r="Y79" s="74"/>
      <c r="Z79" s="74"/>
      <c r="AA79" s="74"/>
      <c r="AB79" s="74"/>
      <c r="AC79" s="74"/>
      <c r="AD79" s="74"/>
      <c r="AE79" s="74"/>
      <c r="AF79" s="74"/>
      <c r="AG79" s="74"/>
      <c r="AH79" s="74"/>
      <c r="AI79" s="74"/>
      <c r="AJ79" s="74"/>
      <c r="AK79" s="74"/>
      <c r="AL79" s="74"/>
      <c r="AM79" s="74"/>
      <c r="AN79" s="74"/>
      <c r="AO79" s="74"/>
      <c r="AP79" s="74"/>
      <c r="AQ79" s="74"/>
      <c r="AR79" s="74"/>
      <c r="AS79" s="74"/>
      <c r="AT79" s="74"/>
    </row>
    <row r="80" spans="1:46" x14ac:dyDescent="0.25">
      <c r="A80" s="74"/>
      <c r="B80" s="74"/>
      <c r="C80" s="74"/>
      <c r="D80" s="74"/>
      <c r="E80" s="74"/>
      <c r="F80" s="74"/>
      <c r="G80" s="74"/>
      <c r="H80" s="74"/>
      <c r="I80" s="74"/>
      <c r="J80" s="74"/>
      <c r="K80" s="74"/>
      <c r="L80" s="74"/>
      <c r="M80" s="74"/>
      <c r="N80" s="74"/>
      <c r="O80" s="74"/>
      <c r="P80" s="74"/>
      <c r="Q80" s="74"/>
      <c r="R80" s="74"/>
      <c r="S80" s="74"/>
      <c r="T80" s="74"/>
      <c r="U80" s="74"/>
      <c r="V80" s="74"/>
      <c r="W80" s="74"/>
      <c r="X80" s="74"/>
      <c r="Y80" s="74"/>
      <c r="Z80" s="74"/>
      <c r="AA80" s="74"/>
      <c r="AB80" s="74"/>
      <c r="AC80" s="74"/>
      <c r="AD80" s="74"/>
      <c r="AE80" s="74"/>
      <c r="AF80" s="74"/>
      <c r="AG80" s="74"/>
      <c r="AH80" s="74"/>
      <c r="AI80" s="74"/>
      <c r="AJ80" s="74"/>
      <c r="AK80" s="74"/>
      <c r="AL80" s="74"/>
      <c r="AM80" s="74"/>
      <c r="AN80" s="74"/>
      <c r="AO80" s="74"/>
      <c r="AP80" s="74"/>
      <c r="AQ80" s="74"/>
      <c r="AR80" s="74"/>
      <c r="AS80" s="74"/>
      <c r="AT80" s="74"/>
    </row>
    <row r="81" spans="1:46" x14ac:dyDescent="0.25">
      <c r="A81" s="74"/>
      <c r="B81" s="74"/>
      <c r="C81" s="74"/>
      <c r="D81" s="74"/>
      <c r="E81" s="74"/>
      <c r="F81" s="74"/>
      <c r="G81" s="74"/>
      <c r="H81" s="74"/>
      <c r="I81" s="74"/>
      <c r="J81" s="74"/>
      <c r="K81" s="74"/>
      <c r="L81" s="74"/>
      <c r="M81" s="74"/>
      <c r="N81" s="74"/>
      <c r="O81" s="74"/>
      <c r="P81" s="74"/>
      <c r="Q81" s="74"/>
      <c r="R81" s="74"/>
      <c r="S81" s="74"/>
      <c r="T81" s="74"/>
      <c r="U81" s="74"/>
      <c r="V81" s="74"/>
      <c r="W81" s="74"/>
      <c r="X81" s="74"/>
      <c r="Y81" s="74"/>
      <c r="Z81" s="74"/>
      <c r="AA81" s="74"/>
      <c r="AB81" s="74"/>
      <c r="AC81" s="74"/>
      <c r="AD81" s="74"/>
      <c r="AE81" s="74"/>
      <c r="AF81" s="74"/>
      <c r="AG81" s="74"/>
      <c r="AH81" s="74"/>
      <c r="AI81" s="74"/>
      <c r="AJ81" s="74"/>
      <c r="AK81" s="74"/>
      <c r="AL81" s="74"/>
      <c r="AM81" s="74"/>
      <c r="AN81" s="74"/>
      <c r="AO81" s="74"/>
      <c r="AP81" s="74"/>
      <c r="AQ81" s="74"/>
      <c r="AR81" s="74"/>
      <c r="AS81" s="74"/>
      <c r="AT81" s="74"/>
    </row>
    <row r="82" spans="1:46" x14ac:dyDescent="0.25">
      <c r="A82" s="74"/>
      <c r="B82" s="74"/>
      <c r="C82" s="74"/>
      <c r="D82" s="74"/>
      <c r="E82" s="74"/>
      <c r="F82" s="74"/>
      <c r="G82" s="74"/>
      <c r="H82" s="74"/>
      <c r="I82" s="74"/>
      <c r="J82" s="74"/>
      <c r="K82" s="74"/>
      <c r="L82" s="74"/>
      <c r="M82" s="74"/>
      <c r="N82" s="74"/>
      <c r="O82" s="74"/>
      <c r="P82" s="74"/>
      <c r="Q82" s="74"/>
      <c r="R82" s="74"/>
      <c r="S82" s="74"/>
      <c r="T82" s="74"/>
      <c r="U82" s="74"/>
      <c r="V82" s="74"/>
      <c r="W82" s="74"/>
      <c r="X82" s="74"/>
      <c r="Y82" s="74"/>
      <c r="Z82" s="74"/>
      <c r="AA82" s="74"/>
      <c r="AB82" s="74"/>
      <c r="AC82" s="74"/>
      <c r="AD82" s="74"/>
      <c r="AE82" s="74"/>
      <c r="AF82" s="74"/>
      <c r="AG82" s="74"/>
      <c r="AH82" s="74"/>
      <c r="AI82" s="74"/>
      <c r="AJ82" s="74"/>
      <c r="AK82" s="74"/>
      <c r="AL82" s="74"/>
      <c r="AM82" s="74"/>
      <c r="AN82" s="74"/>
      <c r="AO82" s="74"/>
      <c r="AP82" s="74"/>
      <c r="AQ82" s="74"/>
      <c r="AR82" s="74"/>
      <c r="AS82" s="74"/>
      <c r="AT82" s="74"/>
    </row>
    <row r="83" spans="1:46" x14ac:dyDescent="0.25">
      <c r="A83" s="74"/>
      <c r="B83" s="74"/>
      <c r="C83" s="74"/>
      <c r="D83" s="74"/>
      <c r="E83" s="74"/>
      <c r="F83" s="74"/>
      <c r="G83" s="74"/>
      <c r="H83" s="74"/>
      <c r="I83" s="74"/>
      <c r="J83" s="74"/>
      <c r="K83" s="74"/>
      <c r="L83" s="74"/>
      <c r="M83" s="74"/>
      <c r="N83" s="74"/>
      <c r="O83" s="74"/>
      <c r="P83" s="74"/>
      <c r="Q83" s="74"/>
      <c r="R83" s="74"/>
      <c r="S83" s="74"/>
      <c r="T83" s="74"/>
      <c r="U83" s="74"/>
      <c r="V83" s="74"/>
      <c r="W83" s="74"/>
      <c r="X83" s="74"/>
      <c r="Y83" s="74"/>
      <c r="Z83" s="74"/>
      <c r="AA83" s="74"/>
      <c r="AB83" s="74"/>
      <c r="AC83" s="74"/>
      <c r="AD83" s="74"/>
      <c r="AE83" s="74"/>
      <c r="AF83" s="74"/>
      <c r="AG83" s="74"/>
      <c r="AH83" s="74"/>
      <c r="AI83" s="74"/>
      <c r="AJ83" s="74"/>
      <c r="AK83" s="74"/>
      <c r="AL83" s="74"/>
      <c r="AM83" s="74"/>
      <c r="AN83" s="74"/>
      <c r="AO83" s="74"/>
      <c r="AP83" s="74"/>
      <c r="AQ83" s="74"/>
      <c r="AR83" s="74"/>
      <c r="AS83" s="74"/>
      <c r="AT83" s="74"/>
    </row>
    <row r="84" spans="1:46" x14ac:dyDescent="0.25">
      <c r="A84" s="74"/>
      <c r="B84" s="74"/>
      <c r="C84" s="74"/>
      <c r="D84" s="74"/>
      <c r="E84" s="74"/>
      <c r="F84" s="74"/>
      <c r="G84" s="74"/>
      <c r="H84" s="74"/>
      <c r="I84" s="74"/>
      <c r="J84" s="74"/>
      <c r="K84" s="74"/>
      <c r="L84" s="74"/>
      <c r="M84" s="74"/>
      <c r="N84" s="74"/>
      <c r="O84" s="74"/>
      <c r="P84" s="74"/>
      <c r="Q84" s="74"/>
      <c r="R84" s="74"/>
      <c r="S84" s="74"/>
      <c r="T84" s="74"/>
      <c r="U84" s="74"/>
      <c r="V84" s="74"/>
      <c r="W84" s="74"/>
      <c r="X84" s="74"/>
      <c r="Y84" s="74"/>
      <c r="Z84" s="74"/>
      <c r="AA84" s="74"/>
      <c r="AB84" s="74"/>
      <c r="AC84" s="74"/>
      <c r="AD84" s="74"/>
      <c r="AE84" s="74"/>
      <c r="AF84" s="74"/>
      <c r="AG84" s="74"/>
      <c r="AH84" s="74"/>
      <c r="AI84" s="74"/>
      <c r="AJ84" s="74"/>
      <c r="AK84" s="74"/>
      <c r="AL84" s="74"/>
      <c r="AM84" s="74"/>
      <c r="AN84" s="74"/>
      <c r="AO84" s="74"/>
      <c r="AP84" s="74"/>
      <c r="AQ84" s="74"/>
      <c r="AR84" s="74"/>
      <c r="AS84" s="74"/>
      <c r="AT84" s="74"/>
    </row>
    <row r="85" spans="1:46" x14ac:dyDescent="0.25">
      <c r="A85" s="74"/>
      <c r="B85" s="74"/>
      <c r="C85" s="74"/>
      <c r="D85" s="74"/>
      <c r="E85" s="74"/>
      <c r="F85" s="74"/>
      <c r="G85" s="74"/>
      <c r="H85" s="74"/>
      <c r="I85" s="74"/>
      <c r="J85" s="74"/>
      <c r="K85" s="74"/>
      <c r="L85" s="74"/>
      <c r="M85" s="74"/>
      <c r="N85" s="74"/>
      <c r="O85" s="74"/>
      <c r="P85" s="74"/>
      <c r="Q85" s="74"/>
      <c r="R85" s="74"/>
      <c r="S85" s="74"/>
      <c r="T85" s="74"/>
      <c r="U85" s="74"/>
      <c r="V85" s="74"/>
      <c r="W85" s="74"/>
      <c r="X85" s="74"/>
      <c r="Y85" s="74"/>
      <c r="Z85" s="74"/>
      <c r="AA85" s="74"/>
      <c r="AB85" s="74"/>
      <c r="AC85" s="74"/>
      <c r="AD85" s="74"/>
      <c r="AE85" s="74"/>
      <c r="AF85" s="74"/>
      <c r="AG85" s="74"/>
      <c r="AH85" s="74"/>
      <c r="AI85" s="74"/>
      <c r="AJ85" s="74"/>
      <c r="AK85" s="74"/>
      <c r="AL85" s="74"/>
      <c r="AM85" s="74"/>
      <c r="AN85" s="74"/>
      <c r="AO85" s="74"/>
      <c r="AP85" s="74"/>
      <c r="AQ85" s="74"/>
      <c r="AR85" s="74"/>
      <c r="AS85" s="74"/>
      <c r="AT85" s="74"/>
    </row>
    <row r="86" spans="1:46" x14ac:dyDescent="0.25">
      <c r="A86" s="74"/>
      <c r="B86" s="74"/>
      <c r="C86" s="74"/>
      <c r="D86" s="74"/>
      <c r="E86" s="74"/>
      <c r="F86" s="74"/>
      <c r="G86" s="74"/>
      <c r="H86" s="74"/>
      <c r="I86" s="74"/>
      <c r="J86" s="74"/>
      <c r="K86" s="74"/>
      <c r="L86" s="74"/>
      <c r="M86" s="74"/>
      <c r="N86" s="74"/>
      <c r="O86" s="74"/>
      <c r="P86" s="74"/>
      <c r="Q86" s="74"/>
      <c r="R86" s="74"/>
      <c r="S86" s="74"/>
      <c r="T86" s="74"/>
      <c r="U86" s="74"/>
      <c r="V86" s="74"/>
      <c r="W86" s="74"/>
      <c r="X86" s="74"/>
      <c r="Y86" s="74"/>
      <c r="Z86" s="74"/>
      <c r="AA86" s="74"/>
      <c r="AB86" s="74"/>
      <c r="AC86" s="74"/>
      <c r="AD86" s="74"/>
      <c r="AE86" s="74"/>
      <c r="AF86" s="74"/>
      <c r="AG86" s="74"/>
      <c r="AH86" s="74"/>
      <c r="AI86" s="74"/>
      <c r="AJ86" s="74"/>
      <c r="AK86" s="74"/>
      <c r="AL86" s="74"/>
      <c r="AM86" s="74"/>
      <c r="AN86" s="74"/>
      <c r="AO86" s="74"/>
      <c r="AP86" s="74"/>
      <c r="AQ86" s="74"/>
      <c r="AR86" s="74"/>
      <c r="AS86" s="74"/>
      <c r="AT86" s="74"/>
    </row>
    <row r="87" spans="1:46" x14ac:dyDescent="0.25">
      <c r="A87" s="74"/>
      <c r="B87" s="74"/>
      <c r="C87" s="74"/>
      <c r="D87" s="74"/>
      <c r="E87" s="74"/>
      <c r="F87" s="74"/>
      <c r="G87" s="74"/>
      <c r="H87" s="74"/>
      <c r="I87" s="74"/>
      <c r="J87" s="74"/>
      <c r="K87" s="74"/>
      <c r="L87" s="74"/>
      <c r="M87" s="74"/>
      <c r="N87" s="74"/>
      <c r="O87" s="74"/>
      <c r="P87" s="74"/>
      <c r="Q87" s="74"/>
      <c r="R87" s="74"/>
      <c r="S87" s="74"/>
      <c r="T87" s="74"/>
      <c r="U87" s="74"/>
      <c r="V87" s="74"/>
      <c r="W87" s="74"/>
      <c r="X87" s="74"/>
      <c r="Y87" s="74"/>
      <c r="Z87" s="74"/>
      <c r="AA87" s="74"/>
      <c r="AB87" s="74"/>
      <c r="AC87" s="74"/>
      <c r="AD87" s="74"/>
      <c r="AE87" s="74"/>
      <c r="AF87" s="74"/>
      <c r="AG87" s="74"/>
      <c r="AH87" s="74"/>
      <c r="AI87" s="74"/>
      <c r="AJ87" s="74"/>
      <c r="AK87" s="74"/>
      <c r="AL87" s="74"/>
      <c r="AM87" s="74"/>
      <c r="AN87" s="74"/>
      <c r="AO87" s="74"/>
      <c r="AP87" s="74"/>
      <c r="AQ87" s="74"/>
      <c r="AR87" s="74"/>
      <c r="AS87" s="74"/>
      <c r="AT87" s="74"/>
    </row>
  </sheetData>
  <sheetProtection algorithmName="SHA-512" hashValue="qpOeyOk+WVoamWQF1JIaZVYJsK9IWJ4OXuDTG/a1f9P/ay1RYWFC8wYCtDv8HxR3Sm/SrinnG5917MGs0LGahA==" saltValue="v39DqcQUbwvGMroH/szc2w==" spinCount="100000" sheet="1" objects="1" scenarios="1"/>
  <sortState ref="A163:BN204">
    <sortCondition ref="C163:C204"/>
  </sortState>
  <mergeCells count="2">
    <mergeCell ref="B6:F6"/>
    <mergeCell ref="A1:M1"/>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Лист5"/>
  <dimension ref="A1:BO195"/>
  <sheetViews>
    <sheetView topLeftCell="A139" zoomScale="75" zoomScaleNormal="75" workbookViewId="0">
      <selection activeCell="D158" sqref="D158"/>
    </sheetView>
  </sheetViews>
  <sheetFormatPr defaultColWidth="9.140625" defaultRowHeight="15" x14ac:dyDescent="0.25"/>
  <cols>
    <col min="1" max="1" width="38.28515625" style="75" customWidth="1"/>
    <col min="2" max="2" width="11.5703125" style="75" customWidth="1"/>
    <col min="3" max="3" width="15.5703125" style="75" customWidth="1"/>
    <col min="4" max="4" width="13.140625" style="75" customWidth="1"/>
    <col min="5" max="5" width="15.140625" style="75" customWidth="1"/>
    <col min="6" max="6" width="13.7109375" style="75" customWidth="1"/>
    <col min="7" max="7" width="37.42578125" style="75" customWidth="1"/>
    <col min="8" max="8" width="10" style="75" customWidth="1"/>
    <col min="9" max="9" width="12.85546875" style="75" customWidth="1"/>
    <col min="10" max="10" width="13.42578125" style="75" customWidth="1"/>
    <col min="11" max="11" width="14.28515625" style="75" customWidth="1"/>
    <col min="12" max="12" width="12.28515625" style="75" customWidth="1"/>
    <col min="13" max="13" width="13.140625" style="75" customWidth="1"/>
    <col min="14" max="14" width="15.28515625" style="75" customWidth="1"/>
    <col min="15" max="15" width="12.7109375" style="75" customWidth="1"/>
    <col min="16" max="16" width="11.28515625" style="75" customWidth="1"/>
    <col min="17" max="17" width="15.5703125" style="75" customWidth="1"/>
    <col min="18" max="18" width="15.7109375" style="75" customWidth="1"/>
    <col min="19" max="19" width="11.7109375" style="75" customWidth="1"/>
    <col min="20" max="20" width="13.140625" style="75" customWidth="1"/>
    <col min="21" max="21" width="11.42578125" style="75" customWidth="1"/>
    <col min="22" max="22" width="12.42578125" style="75" customWidth="1"/>
    <col min="23" max="23" width="14.140625" style="75" customWidth="1"/>
    <col min="24" max="24" width="12.42578125" style="75" customWidth="1"/>
    <col min="25" max="25" width="12.5703125" style="75" customWidth="1"/>
    <col min="26" max="26" width="16" style="75" customWidth="1"/>
    <col min="27" max="27" width="11.5703125" style="75" customWidth="1"/>
    <col min="28" max="28" width="13.42578125" style="75" customWidth="1"/>
    <col min="29" max="29" width="15.28515625" style="75" customWidth="1"/>
    <col min="30" max="30" width="12.42578125" style="75" customWidth="1"/>
    <col min="31" max="31" width="14.140625" style="75" customWidth="1"/>
    <col min="32" max="32" width="14.85546875" style="75" customWidth="1"/>
    <col min="33" max="33" width="12" style="75" customWidth="1"/>
    <col min="34" max="34" width="13.42578125" style="75" customWidth="1"/>
    <col min="35" max="35" width="14.85546875" style="75" customWidth="1"/>
    <col min="36" max="36" width="11.7109375" style="75" customWidth="1"/>
    <col min="37" max="37" width="12.5703125" style="75" customWidth="1"/>
    <col min="38" max="38" width="16" style="75" customWidth="1"/>
    <col min="39" max="39" width="12.7109375" style="75" customWidth="1"/>
    <col min="40" max="40" width="12.42578125" style="75" customWidth="1"/>
    <col min="41" max="41" width="13.85546875" style="75" customWidth="1"/>
    <col min="42" max="42" width="12.5703125" style="75" customWidth="1"/>
    <col min="43" max="44" width="13.28515625" style="75" customWidth="1"/>
    <col min="45" max="45" width="9.140625" style="75"/>
    <col min="46" max="46" width="12.140625" style="75" customWidth="1"/>
    <col min="47" max="16384" width="9.140625" style="75"/>
  </cols>
  <sheetData>
    <row r="1" spans="1:67" x14ac:dyDescent="0.25">
      <c r="A1" s="74"/>
      <c r="B1" s="74"/>
      <c r="C1" s="74"/>
      <c r="D1" s="74"/>
      <c r="E1" s="74"/>
      <c r="F1" s="74"/>
      <c r="G1" s="74"/>
      <c r="H1" s="74"/>
      <c r="I1" s="74"/>
      <c r="J1" s="74"/>
      <c r="K1" s="74"/>
      <c r="L1" s="74"/>
      <c r="M1" s="74"/>
      <c r="N1" s="74"/>
      <c r="O1" s="74"/>
      <c r="P1" s="74"/>
      <c r="Q1" s="74"/>
      <c r="R1" s="74"/>
      <c r="S1" s="74"/>
      <c r="T1" s="74"/>
      <c r="U1" s="74"/>
      <c r="V1" s="74"/>
      <c r="W1" s="74"/>
      <c r="X1" s="74"/>
      <c r="Y1" s="74"/>
      <c r="Z1" s="74"/>
      <c r="AA1" s="74"/>
      <c r="AB1" s="74"/>
      <c r="AC1" s="74"/>
      <c r="AD1" s="74"/>
      <c r="AE1" s="74"/>
      <c r="AF1" s="74"/>
      <c r="AG1" s="74"/>
      <c r="AH1" s="74"/>
      <c r="AI1" s="74"/>
      <c r="AJ1" s="74"/>
      <c r="AK1" s="74"/>
      <c r="AL1" s="74"/>
      <c r="AM1" s="74"/>
      <c r="AN1" s="74"/>
      <c r="AO1" s="74"/>
      <c r="AP1" s="74"/>
      <c r="AQ1" s="74"/>
      <c r="AR1" s="74"/>
      <c r="AS1" s="74"/>
      <c r="AT1" s="74"/>
      <c r="AU1" s="74"/>
      <c r="AV1" s="74"/>
      <c r="AW1" s="74"/>
      <c r="AX1" s="74"/>
      <c r="AY1" s="74"/>
      <c r="AZ1" s="74"/>
      <c r="BA1" s="74"/>
      <c r="BB1" s="74"/>
      <c r="BC1" s="74"/>
      <c r="BD1" s="74"/>
      <c r="BE1" s="74"/>
      <c r="BF1" s="74"/>
      <c r="BG1" s="74"/>
      <c r="BH1" s="74"/>
      <c r="BI1" s="74"/>
      <c r="BJ1" s="74"/>
      <c r="BK1" s="74"/>
      <c r="BL1" s="74"/>
      <c r="BM1" s="74"/>
      <c r="BN1" s="74"/>
      <c r="BO1" s="74"/>
    </row>
    <row r="2" spans="1:67" x14ac:dyDescent="0.25">
      <c r="A2" s="74"/>
      <c r="B2" s="74"/>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row>
    <row r="3" spans="1:67" ht="34.5" customHeight="1" thickBot="1" x14ac:dyDescent="0.3">
      <c r="A3" s="1786" t="s">
        <v>1172</v>
      </c>
      <c r="B3" s="1786"/>
      <c r="C3" s="1786"/>
      <c r="D3" s="1786"/>
      <c r="E3" s="1786"/>
      <c r="F3" s="297"/>
      <c r="G3" s="299" t="s">
        <v>1173</v>
      </c>
      <c r="H3" s="299"/>
      <c r="I3" s="299"/>
      <c r="J3" s="299"/>
      <c r="K3" s="300"/>
      <c r="L3" s="300"/>
      <c r="M3" s="300"/>
      <c r="N3" s="300"/>
      <c r="O3" s="300"/>
      <c r="P3" s="300"/>
      <c r="Q3" s="300"/>
      <c r="R3" s="300"/>
      <c r="S3" s="300"/>
      <c r="T3" s="300"/>
      <c r="U3" s="297"/>
      <c r="V3" s="297"/>
      <c r="W3" s="297"/>
      <c r="X3" s="297"/>
      <c r="Y3" s="297"/>
      <c r="Z3" s="297"/>
      <c r="AA3" s="297"/>
      <c r="AB3" s="297"/>
      <c r="AC3" s="297"/>
      <c r="AD3" s="297"/>
      <c r="AE3" s="297"/>
      <c r="AF3" s="297"/>
      <c r="AG3" s="297"/>
      <c r="AH3" s="297"/>
      <c r="AI3" s="297"/>
      <c r="AJ3" s="297"/>
      <c r="AK3" s="297"/>
      <c r="AL3" s="297"/>
      <c r="AM3" s="297"/>
      <c r="AN3" s="297"/>
      <c r="AO3" s="297"/>
      <c r="AP3" s="297"/>
      <c r="AQ3" s="297"/>
      <c r="AR3" s="297"/>
      <c r="AS3" s="74"/>
      <c r="AT3" s="74"/>
      <c r="AU3" s="74"/>
      <c r="AV3" s="74"/>
      <c r="AW3" s="74"/>
      <c r="AX3" s="74"/>
      <c r="AY3" s="74"/>
      <c r="AZ3" s="74"/>
      <c r="BA3" s="74"/>
      <c r="BB3" s="74"/>
      <c r="BC3" s="74"/>
      <c r="BD3" s="74"/>
      <c r="BE3" s="74"/>
      <c r="BF3" s="74"/>
      <c r="BG3" s="74"/>
      <c r="BH3" s="74"/>
      <c r="BI3" s="74"/>
      <c r="BJ3" s="74"/>
      <c r="BK3" s="74"/>
      <c r="BL3" s="74"/>
      <c r="BM3" s="74"/>
      <c r="BN3" s="74"/>
      <c r="BO3" s="74"/>
    </row>
    <row r="4" spans="1:67" ht="69" customHeight="1" x14ac:dyDescent="0.25">
      <c r="A4" s="1772" t="s">
        <v>834</v>
      </c>
      <c r="B4" s="1791" t="s">
        <v>1174</v>
      </c>
      <c r="C4" s="1793" t="s">
        <v>1175</v>
      </c>
      <c r="D4" s="1795" t="s">
        <v>1176</v>
      </c>
      <c r="E4" s="1770" t="s">
        <v>1177</v>
      </c>
      <c r="F4" s="74"/>
      <c r="G4" s="1787" t="s">
        <v>834</v>
      </c>
      <c r="H4" s="1789" t="s">
        <v>1174</v>
      </c>
      <c r="I4" s="1780" t="s">
        <v>488</v>
      </c>
      <c r="J4" s="1781"/>
      <c r="K4" s="1782"/>
      <c r="L4" s="1780" t="s">
        <v>489</v>
      </c>
      <c r="M4" s="1781"/>
      <c r="N4" s="1782"/>
      <c r="O4" s="1780" t="s">
        <v>490</v>
      </c>
      <c r="P4" s="1781"/>
      <c r="Q4" s="1782"/>
      <c r="R4" s="1780" t="s">
        <v>491</v>
      </c>
      <c r="S4" s="1781"/>
      <c r="T4" s="1782"/>
      <c r="U4" s="1780" t="s">
        <v>805</v>
      </c>
      <c r="V4" s="1781"/>
      <c r="W4" s="1782"/>
      <c r="X4" s="1780" t="s">
        <v>806</v>
      </c>
      <c r="Y4" s="1781"/>
      <c r="Z4" s="1782"/>
      <c r="AA4" s="1780" t="s">
        <v>807</v>
      </c>
      <c r="AB4" s="1781"/>
      <c r="AC4" s="1782"/>
      <c r="AD4" s="1780" t="s">
        <v>808</v>
      </c>
      <c r="AE4" s="1781"/>
      <c r="AF4" s="1782"/>
      <c r="AG4" s="1780" t="s">
        <v>809</v>
      </c>
      <c r="AH4" s="1781"/>
      <c r="AI4" s="1782"/>
      <c r="AJ4" s="1780" t="s">
        <v>482</v>
      </c>
      <c r="AK4" s="1781"/>
      <c r="AL4" s="1782"/>
      <c r="AM4" s="1780" t="s">
        <v>486</v>
      </c>
      <c r="AN4" s="1781"/>
      <c r="AO4" s="1782"/>
      <c r="AP4" s="1783" t="s">
        <v>487</v>
      </c>
      <c r="AQ4" s="1784"/>
      <c r="AR4" s="1784"/>
      <c r="AS4" s="74"/>
      <c r="AT4" s="74"/>
      <c r="AU4" s="74"/>
      <c r="AV4" s="74"/>
      <c r="AW4" s="74"/>
      <c r="AX4" s="74"/>
      <c r="AY4" s="74"/>
      <c r="AZ4" s="74"/>
      <c r="BA4" s="74"/>
      <c r="BB4" s="74"/>
      <c r="BC4" s="74"/>
      <c r="BD4" s="74"/>
      <c r="BE4" s="74"/>
      <c r="BF4" s="74"/>
      <c r="BG4" s="74"/>
      <c r="BH4" s="74"/>
      <c r="BI4" s="74"/>
      <c r="BJ4" s="74"/>
      <c r="BK4" s="74"/>
      <c r="BL4" s="74"/>
      <c r="BM4" s="74"/>
      <c r="BN4" s="74"/>
      <c r="BO4" s="74"/>
    </row>
    <row r="5" spans="1:67" ht="72.95" customHeight="1" thickBot="1" x14ac:dyDescent="0.3">
      <c r="A5" s="1773"/>
      <c r="B5" s="1792"/>
      <c r="C5" s="1794"/>
      <c r="D5" s="1796"/>
      <c r="E5" s="1771"/>
      <c r="F5" s="74"/>
      <c r="G5" s="1788"/>
      <c r="H5" s="1790"/>
      <c r="I5" s="518" t="s">
        <v>1175</v>
      </c>
      <c r="J5" s="519" t="s">
        <v>1176</v>
      </c>
      <c r="K5" s="520" t="s">
        <v>1179</v>
      </c>
      <c r="L5" s="518" t="s">
        <v>1175</v>
      </c>
      <c r="M5" s="519" t="s">
        <v>1176</v>
      </c>
      <c r="N5" s="520" t="s">
        <v>1179</v>
      </c>
      <c r="O5" s="518" t="s">
        <v>1175</v>
      </c>
      <c r="P5" s="519" t="s">
        <v>1176</v>
      </c>
      <c r="Q5" s="520" t="s">
        <v>1179</v>
      </c>
      <c r="R5" s="518" t="s">
        <v>1175</v>
      </c>
      <c r="S5" s="519" t="s">
        <v>1176</v>
      </c>
      <c r="T5" s="520" t="s">
        <v>1179</v>
      </c>
      <c r="U5" s="518" t="s">
        <v>1175</v>
      </c>
      <c r="V5" s="519" t="s">
        <v>1176</v>
      </c>
      <c r="W5" s="520" t="s">
        <v>1179</v>
      </c>
      <c r="X5" s="518" t="s">
        <v>1175</v>
      </c>
      <c r="Y5" s="519" t="s">
        <v>1176</v>
      </c>
      <c r="Z5" s="520" t="s">
        <v>1179</v>
      </c>
      <c r="AA5" s="518" t="s">
        <v>1175</v>
      </c>
      <c r="AB5" s="519" t="s">
        <v>1176</v>
      </c>
      <c r="AC5" s="520" t="s">
        <v>1179</v>
      </c>
      <c r="AD5" s="518" t="s">
        <v>1175</v>
      </c>
      <c r="AE5" s="519" t="s">
        <v>1176</v>
      </c>
      <c r="AF5" s="520" t="s">
        <v>1179</v>
      </c>
      <c r="AG5" s="518" t="s">
        <v>1175</v>
      </c>
      <c r="AH5" s="519" t="s">
        <v>1176</v>
      </c>
      <c r="AI5" s="520" t="s">
        <v>1179</v>
      </c>
      <c r="AJ5" s="518" t="s">
        <v>1175</v>
      </c>
      <c r="AK5" s="519" t="s">
        <v>1176</v>
      </c>
      <c r="AL5" s="520" t="s">
        <v>1179</v>
      </c>
      <c r="AM5" s="518" t="s">
        <v>1175</v>
      </c>
      <c r="AN5" s="519" t="s">
        <v>1176</v>
      </c>
      <c r="AO5" s="520" t="s">
        <v>1179</v>
      </c>
      <c r="AP5" s="521" t="s">
        <v>1175</v>
      </c>
      <c r="AQ5" s="319" t="s">
        <v>1176</v>
      </c>
      <c r="AR5" s="320" t="s">
        <v>1179</v>
      </c>
      <c r="AS5" s="74"/>
      <c r="AT5" s="74"/>
      <c r="AU5" s="74"/>
      <c r="AV5" s="74"/>
      <c r="AW5" s="74"/>
      <c r="AX5" s="74"/>
      <c r="AY5" s="74"/>
      <c r="AZ5" s="74"/>
      <c r="BA5" s="74"/>
      <c r="BB5" s="74"/>
      <c r="BC5" s="74"/>
      <c r="BD5" s="74"/>
      <c r="BE5" s="74"/>
      <c r="BF5" s="74"/>
      <c r="BG5" s="74"/>
      <c r="BH5" s="74"/>
      <c r="BI5" s="74"/>
      <c r="BJ5" s="74"/>
      <c r="BK5" s="74"/>
      <c r="BL5" s="74"/>
      <c r="BM5" s="74"/>
      <c r="BN5" s="74"/>
      <c r="BO5" s="74"/>
    </row>
    <row r="6" spans="1:67" ht="30" customHeight="1" x14ac:dyDescent="0.25">
      <c r="A6" s="522" t="s">
        <v>1178</v>
      </c>
      <c r="B6" s="523" t="s">
        <v>842</v>
      </c>
      <c r="C6" s="524" t="e">
        <f>C12+C15+C18</f>
        <v>#N/A</v>
      </c>
      <c r="D6" s="525">
        <f>D12+D15+D18</f>
        <v>0</v>
      </c>
      <c r="E6" s="526" t="e">
        <f>E12+E15+E18</f>
        <v>#VALUE!</v>
      </c>
      <c r="F6" s="74"/>
      <c r="G6" s="527" t="s">
        <v>1178</v>
      </c>
      <c r="H6" s="528" t="s">
        <v>842</v>
      </c>
      <c r="I6" s="327" t="e">
        <f>I12+I15+I18</f>
        <v>#N/A</v>
      </c>
      <c r="J6" s="529" t="e">
        <f t="shared" ref="J6" si="0">J12+J15+J18</f>
        <v>#N/A</v>
      </c>
      <c r="K6" s="530" t="e">
        <f t="shared" ref="K6" si="1">K12+K15+K18</f>
        <v>#N/A</v>
      </c>
      <c r="L6" s="327" t="e">
        <f>L12+L15+L18</f>
        <v>#N/A</v>
      </c>
      <c r="M6" s="529" t="e">
        <f t="shared" ref="M6:N6" si="2">M12+M15+M18</f>
        <v>#N/A</v>
      </c>
      <c r="N6" s="530" t="e">
        <f t="shared" si="2"/>
        <v>#N/A</v>
      </c>
      <c r="O6" s="531" t="e">
        <f>O12+O15+O18</f>
        <v>#N/A</v>
      </c>
      <c r="P6" s="532" t="e">
        <f t="shared" ref="P6:Q6" si="3">P12+P15+P18</f>
        <v>#N/A</v>
      </c>
      <c r="Q6" s="533" t="e">
        <f t="shared" si="3"/>
        <v>#N/A</v>
      </c>
      <c r="R6" s="327" t="e">
        <f>R12+R15+R18</f>
        <v>#N/A</v>
      </c>
      <c r="S6" s="529" t="e">
        <f t="shared" ref="S6:T6" si="4">S12+S15+S18</f>
        <v>#N/A</v>
      </c>
      <c r="T6" s="530" t="e">
        <f t="shared" si="4"/>
        <v>#N/A</v>
      </c>
      <c r="U6" s="531" t="e">
        <f>U12+U15+U18</f>
        <v>#N/A</v>
      </c>
      <c r="V6" s="532" t="e">
        <f t="shared" ref="V6:W6" si="5">V12+V15+V18</f>
        <v>#N/A</v>
      </c>
      <c r="W6" s="533" t="e">
        <f t="shared" si="5"/>
        <v>#N/A</v>
      </c>
      <c r="X6" s="327" t="e">
        <f>X12+X15+X18</f>
        <v>#N/A</v>
      </c>
      <c r="Y6" s="529" t="e">
        <f t="shared" ref="Y6:Z6" si="6">Y12+Y15+Y18</f>
        <v>#N/A</v>
      </c>
      <c r="Z6" s="530" t="e">
        <f t="shared" si="6"/>
        <v>#N/A</v>
      </c>
      <c r="AA6" s="531" t="e">
        <f>AA12+AA15+AA18</f>
        <v>#N/A</v>
      </c>
      <c r="AB6" s="532" t="e">
        <f t="shared" ref="AB6:AC6" si="7">AB12+AB15+AB18</f>
        <v>#N/A</v>
      </c>
      <c r="AC6" s="533" t="e">
        <f t="shared" si="7"/>
        <v>#N/A</v>
      </c>
      <c r="AD6" s="327" t="e">
        <f>AD12+AD15+AD18</f>
        <v>#N/A</v>
      </c>
      <c r="AE6" s="529" t="e">
        <f t="shared" ref="AE6:AF6" si="8">AE12+AE15+AE18</f>
        <v>#N/A</v>
      </c>
      <c r="AF6" s="530" t="e">
        <f t="shared" si="8"/>
        <v>#N/A</v>
      </c>
      <c r="AG6" s="327" t="e">
        <f>AG12+AG15+AG18</f>
        <v>#N/A</v>
      </c>
      <c r="AH6" s="529" t="e">
        <f t="shared" ref="AH6:AI6" si="9">AH12+AH15+AH18</f>
        <v>#N/A</v>
      </c>
      <c r="AI6" s="530" t="e">
        <f t="shared" si="9"/>
        <v>#N/A</v>
      </c>
      <c r="AJ6" s="327" t="e">
        <f>AJ12+AJ15+AJ18</f>
        <v>#N/A</v>
      </c>
      <c r="AK6" s="529" t="e">
        <f t="shared" ref="AK6:AL6" si="10">AK12+AK15+AK18</f>
        <v>#N/A</v>
      </c>
      <c r="AL6" s="530" t="e">
        <f t="shared" si="10"/>
        <v>#N/A</v>
      </c>
      <c r="AM6" s="327" t="e">
        <f>AM12+AM15+AM18</f>
        <v>#N/A</v>
      </c>
      <c r="AN6" s="529" t="e">
        <f t="shared" ref="AN6:AO6" si="11">AN12+AN15+AN18</f>
        <v>#N/A</v>
      </c>
      <c r="AO6" s="530" t="e">
        <f t="shared" si="11"/>
        <v>#N/A</v>
      </c>
      <c r="AP6" s="534" t="e">
        <f>AP12+AP15+AP18</f>
        <v>#N/A</v>
      </c>
      <c r="AQ6" s="535" t="e">
        <f t="shared" ref="AQ6:AR6" si="12">AQ12+AQ15+AQ18</f>
        <v>#N/A</v>
      </c>
      <c r="AR6" s="535" t="e">
        <f t="shared" si="12"/>
        <v>#N/A</v>
      </c>
      <c r="AS6" s="74"/>
      <c r="AT6" s="74"/>
      <c r="AU6" s="74"/>
      <c r="AV6" s="74"/>
      <c r="AW6" s="74"/>
      <c r="AX6" s="74"/>
      <c r="AY6" s="74"/>
      <c r="AZ6" s="74"/>
      <c r="BA6" s="74"/>
      <c r="BB6" s="74"/>
      <c r="BC6" s="74"/>
      <c r="BD6" s="74"/>
      <c r="BE6" s="74"/>
      <c r="BF6" s="74"/>
      <c r="BG6" s="74"/>
      <c r="BH6" s="74"/>
      <c r="BI6" s="74"/>
      <c r="BJ6" s="74"/>
      <c r="BK6" s="74"/>
      <c r="BL6" s="74"/>
      <c r="BM6" s="74"/>
      <c r="BN6" s="74"/>
      <c r="BO6" s="74"/>
    </row>
    <row r="7" spans="1:67" ht="19.5" customHeight="1" x14ac:dyDescent="0.25">
      <c r="A7" s="358" t="s">
        <v>874</v>
      </c>
      <c r="B7" s="359" t="s">
        <v>1180</v>
      </c>
      <c r="C7" s="536" t="e">
        <f>C6*0.123/1000</f>
        <v>#N/A</v>
      </c>
      <c r="D7" s="537">
        <f>D6*0.123/1000</f>
        <v>0</v>
      </c>
      <c r="E7" s="538" t="e">
        <f>E6*0.123/1000</f>
        <v>#VALUE!</v>
      </c>
      <c r="F7" s="74"/>
      <c r="G7" s="539" t="s">
        <v>874</v>
      </c>
      <c r="H7" s="540" t="s">
        <v>1180</v>
      </c>
      <c r="I7" s="536" t="e">
        <f t="shared" ref="I7:AR7" si="13">I6*0.123/1000</f>
        <v>#N/A</v>
      </c>
      <c r="J7" s="537" t="e">
        <f t="shared" si="13"/>
        <v>#N/A</v>
      </c>
      <c r="K7" s="538" t="e">
        <f t="shared" si="13"/>
        <v>#N/A</v>
      </c>
      <c r="L7" s="536" t="e">
        <f t="shared" si="13"/>
        <v>#N/A</v>
      </c>
      <c r="M7" s="537" t="e">
        <f t="shared" si="13"/>
        <v>#N/A</v>
      </c>
      <c r="N7" s="538" t="e">
        <f t="shared" si="13"/>
        <v>#N/A</v>
      </c>
      <c r="O7" s="536" t="e">
        <f t="shared" si="13"/>
        <v>#N/A</v>
      </c>
      <c r="P7" s="537" t="e">
        <f t="shared" si="13"/>
        <v>#N/A</v>
      </c>
      <c r="Q7" s="538" t="e">
        <f t="shared" si="13"/>
        <v>#N/A</v>
      </c>
      <c r="R7" s="536" t="e">
        <f t="shared" si="13"/>
        <v>#N/A</v>
      </c>
      <c r="S7" s="537" t="e">
        <f t="shared" si="13"/>
        <v>#N/A</v>
      </c>
      <c r="T7" s="538" t="e">
        <f t="shared" si="13"/>
        <v>#N/A</v>
      </c>
      <c r="U7" s="536" t="e">
        <f t="shared" si="13"/>
        <v>#N/A</v>
      </c>
      <c r="V7" s="537" t="e">
        <f t="shared" si="13"/>
        <v>#N/A</v>
      </c>
      <c r="W7" s="538" t="e">
        <f t="shared" si="13"/>
        <v>#N/A</v>
      </c>
      <c r="X7" s="536" t="e">
        <f t="shared" si="13"/>
        <v>#N/A</v>
      </c>
      <c r="Y7" s="537" t="e">
        <f t="shared" si="13"/>
        <v>#N/A</v>
      </c>
      <c r="Z7" s="538" t="e">
        <f t="shared" si="13"/>
        <v>#N/A</v>
      </c>
      <c r="AA7" s="536" t="e">
        <f t="shared" si="13"/>
        <v>#N/A</v>
      </c>
      <c r="AB7" s="537" t="e">
        <f t="shared" si="13"/>
        <v>#N/A</v>
      </c>
      <c r="AC7" s="541" t="e">
        <f t="shared" si="13"/>
        <v>#N/A</v>
      </c>
      <c r="AD7" s="536" t="e">
        <f t="shared" si="13"/>
        <v>#N/A</v>
      </c>
      <c r="AE7" s="537" t="e">
        <f t="shared" si="13"/>
        <v>#N/A</v>
      </c>
      <c r="AF7" s="538" t="e">
        <f t="shared" si="13"/>
        <v>#N/A</v>
      </c>
      <c r="AG7" s="536" t="e">
        <f t="shared" si="13"/>
        <v>#N/A</v>
      </c>
      <c r="AH7" s="537" t="e">
        <f t="shared" si="13"/>
        <v>#N/A</v>
      </c>
      <c r="AI7" s="538" t="e">
        <f t="shared" si="13"/>
        <v>#N/A</v>
      </c>
      <c r="AJ7" s="536" t="e">
        <f t="shared" si="13"/>
        <v>#N/A</v>
      </c>
      <c r="AK7" s="537" t="e">
        <f t="shared" si="13"/>
        <v>#N/A</v>
      </c>
      <c r="AL7" s="538" t="e">
        <f t="shared" si="13"/>
        <v>#N/A</v>
      </c>
      <c r="AM7" s="536" t="e">
        <f t="shared" si="13"/>
        <v>#N/A</v>
      </c>
      <c r="AN7" s="537" t="e">
        <f t="shared" si="13"/>
        <v>#N/A</v>
      </c>
      <c r="AO7" s="538" t="e">
        <f t="shared" si="13"/>
        <v>#N/A</v>
      </c>
      <c r="AP7" s="542" t="e">
        <f t="shared" si="13"/>
        <v>#N/A</v>
      </c>
      <c r="AQ7" s="537" t="e">
        <f t="shared" si="13"/>
        <v>#N/A</v>
      </c>
      <c r="AR7" s="538" t="e">
        <f t="shared" si="13"/>
        <v>#N/A</v>
      </c>
      <c r="AS7" s="74"/>
      <c r="AT7" s="74"/>
      <c r="AU7" s="74"/>
      <c r="AV7" s="74"/>
      <c r="AW7" s="74"/>
      <c r="AX7" s="74"/>
      <c r="AY7" s="74"/>
      <c r="AZ7" s="74"/>
      <c r="BA7" s="74"/>
      <c r="BB7" s="74"/>
      <c r="BC7" s="74"/>
      <c r="BD7" s="74"/>
      <c r="BE7" s="74"/>
      <c r="BF7" s="74"/>
      <c r="BG7" s="74"/>
      <c r="BH7" s="74"/>
      <c r="BI7" s="74"/>
      <c r="BJ7" s="74"/>
      <c r="BK7" s="74"/>
      <c r="BL7" s="74"/>
      <c r="BM7" s="74"/>
      <c r="BN7" s="74"/>
      <c r="BO7" s="74"/>
    </row>
    <row r="8" spans="1:67" ht="14.25" customHeight="1" thickBot="1" x14ac:dyDescent="0.3">
      <c r="A8" s="385" t="s">
        <v>874</v>
      </c>
      <c r="B8" s="386" t="s">
        <v>1181</v>
      </c>
      <c r="C8" s="543" t="e">
        <f>C14+C17+C19</f>
        <v>#N/A</v>
      </c>
      <c r="D8" s="543" t="e">
        <f t="shared" ref="D8" si="14">D14+D17+D19</f>
        <v>#DIV/0!</v>
      </c>
      <c r="E8" s="543"/>
      <c r="F8" s="74"/>
      <c r="G8" s="544" t="s">
        <v>874</v>
      </c>
      <c r="H8" s="545" t="s">
        <v>1181</v>
      </c>
      <c r="I8" s="546" t="e">
        <f t="shared" ref="I8:AR8" si="15">I6/I$6</f>
        <v>#N/A</v>
      </c>
      <c r="J8" s="547" t="e">
        <f t="shared" si="15"/>
        <v>#N/A</v>
      </c>
      <c r="K8" s="548" t="e">
        <f t="shared" si="15"/>
        <v>#N/A</v>
      </c>
      <c r="L8" s="546" t="e">
        <f t="shared" si="15"/>
        <v>#N/A</v>
      </c>
      <c r="M8" s="547" t="e">
        <f t="shared" si="15"/>
        <v>#N/A</v>
      </c>
      <c r="N8" s="548" t="e">
        <f t="shared" si="15"/>
        <v>#N/A</v>
      </c>
      <c r="O8" s="549" t="e">
        <f t="shared" si="15"/>
        <v>#N/A</v>
      </c>
      <c r="P8" s="550" t="e">
        <f t="shared" si="15"/>
        <v>#N/A</v>
      </c>
      <c r="Q8" s="551" t="e">
        <f t="shared" si="15"/>
        <v>#N/A</v>
      </c>
      <c r="R8" s="546" t="e">
        <f t="shared" si="15"/>
        <v>#N/A</v>
      </c>
      <c r="S8" s="547" t="e">
        <f t="shared" si="15"/>
        <v>#N/A</v>
      </c>
      <c r="T8" s="548" t="e">
        <f t="shared" si="15"/>
        <v>#N/A</v>
      </c>
      <c r="U8" s="549" t="e">
        <f t="shared" si="15"/>
        <v>#N/A</v>
      </c>
      <c r="V8" s="550" t="e">
        <f t="shared" si="15"/>
        <v>#N/A</v>
      </c>
      <c r="W8" s="551" t="e">
        <f t="shared" si="15"/>
        <v>#N/A</v>
      </c>
      <c r="X8" s="546" t="e">
        <f t="shared" si="15"/>
        <v>#N/A</v>
      </c>
      <c r="Y8" s="547" t="e">
        <f t="shared" si="15"/>
        <v>#N/A</v>
      </c>
      <c r="Z8" s="548" t="e">
        <f t="shared" si="15"/>
        <v>#N/A</v>
      </c>
      <c r="AA8" s="549" t="e">
        <f t="shared" si="15"/>
        <v>#N/A</v>
      </c>
      <c r="AB8" s="550" t="e">
        <f t="shared" si="15"/>
        <v>#N/A</v>
      </c>
      <c r="AC8" s="551" t="e">
        <f t="shared" si="15"/>
        <v>#N/A</v>
      </c>
      <c r="AD8" s="546" t="e">
        <f t="shared" si="15"/>
        <v>#N/A</v>
      </c>
      <c r="AE8" s="547" t="e">
        <f t="shared" si="15"/>
        <v>#N/A</v>
      </c>
      <c r="AF8" s="548" t="e">
        <f t="shared" si="15"/>
        <v>#N/A</v>
      </c>
      <c r="AG8" s="546" t="e">
        <f t="shared" si="15"/>
        <v>#N/A</v>
      </c>
      <c r="AH8" s="547" t="e">
        <f t="shared" si="15"/>
        <v>#N/A</v>
      </c>
      <c r="AI8" s="548" t="e">
        <f t="shared" si="15"/>
        <v>#N/A</v>
      </c>
      <c r="AJ8" s="546" t="e">
        <f t="shared" si="15"/>
        <v>#N/A</v>
      </c>
      <c r="AK8" s="547" t="e">
        <f t="shared" si="15"/>
        <v>#N/A</v>
      </c>
      <c r="AL8" s="548" t="e">
        <f t="shared" si="15"/>
        <v>#N/A</v>
      </c>
      <c r="AM8" s="546" t="e">
        <f t="shared" si="15"/>
        <v>#N/A</v>
      </c>
      <c r="AN8" s="547" t="e">
        <f t="shared" si="15"/>
        <v>#N/A</v>
      </c>
      <c r="AO8" s="548" t="e">
        <f t="shared" si="15"/>
        <v>#N/A</v>
      </c>
      <c r="AP8" s="552" t="e">
        <f t="shared" si="15"/>
        <v>#N/A</v>
      </c>
      <c r="AQ8" s="553" t="e">
        <f t="shared" si="15"/>
        <v>#N/A</v>
      </c>
      <c r="AR8" s="553" t="e">
        <f t="shared" si="15"/>
        <v>#N/A</v>
      </c>
      <c r="AS8" s="74"/>
      <c r="AT8" s="74"/>
      <c r="AU8" s="74"/>
      <c r="AV8" s="74"/>
      <c r="AW8" s="74"/>
      <c r="AX8" s="74"/>
      <c r="AY8" s="74"/>
      <c r="AZ8" s="74"/>
      <c r="BA8" s="74"/>
      <c r="BB8" s="74"/>
      <c r="BC8" s="74"/>
      <c r="BD8" s="74"/>
      <c r="BE8" s="74"/>
      <c r="BF8" s="74"/>
      <c r="BG8" s="74"/>
      <c r="BH8" s="74"/>
      <c r="BI8" s="74"/>
      <c r="BJ8" s="74"/>
      <c r="BK8" s="74"/>
      <c r="BL8" s="74"/>
      <c r="BM8" s="74"/>
      <c r="BN8" s="74"/>
      <c r="BO8" s="74"/>
    </row>
    <row r="9" spans="1:67" ht="30" customHeight="1" x14ac:dyDescent="0.25">
      <c r="A9" s="554" t="s">
        <v>1347</v>
      </c>
      <c r="B9" s="523" t="s">
        <v>842</v>
      </c>
      <c r="C9" s="555" t="e">
        <f>C12+C15</f>
        <v>#N/A</v>
      </c>
      <c r="D9" s="525">
        <f>D12+D15</f>
        <v>0</v>
      </c>
      <c r="E9" s="556" t="e">
        <f>E12+E15</f>
        <v>#VALUE!</v>
      </c>
      <c r="F9" s="456"/>
      <c r="G9" s="557" t="s">
        <v>1183</v>
      </c>
      <c r="H9" s="528" t="s">
        <v>842</v>
      </c>
      <c r="I9" s="327" t="e">
        <f t="shared" ref="I9:AR9" si="16">I12+I15</f>
        <v>#N/A</v>
      </c>
      <c r="J9" s="529" t="e">
        <f t="shared" si="16"/>
        <v>#N/A</v>
      </c>
      <c r="K9" s="530" t="e">
        <f t="shared" si="16"/>
        <v>#N/A</v>
      </c>
      <c r="L9" s="327" t="e">
        <f t="shared" si="16"/>
        <v>#N/A</v>
      </c>
      <c r="M9" s="529" t="e">
        <f t="shared" si="16"/>
        <v>#N/A</v>
      </c>
      <c r="N9" s="530" t="e">
        <f t="shared" si="16"/>
        <v>#N/A</v>
      </c>
      <c r="O9" s="327" t="e">
        <f t="shared" si="16"/>
        <v>#N/A</v>
      </c>
      <c r="P9" s="529" t="e">
        <f t="shared" si="16"/>
        <v>#N/A</v>
      </c>
      <c r="Q9" s="530" t="e">
        <f t="shared" si="16"/>
        <v>#N/A</v>
      </c>
      <c r="R9" s="327" t="e">
        <f t="shared" si="16"/>
        <v>#N/A</v>
      </c>
      <c r="S9" s="529" t="e">
        <f t="shared" si="16"/>
        <v>#N/A</v>
      </c>
      <c r="T9" s="530" t="e">
        <f t="shared" si="16"/>
        <v>#N/A</v>
      </c>
      <c r="U9" s="327" t="e">
        <f t="shared" si="16"/>
        <v>#N/A</v>
      </c>
      <c r="V9" s="529" t="e">
        <f t="shared" si="16"/>
        <v>#N/A</v>
      </c>
      <c r="W9" s="530" t="e">
        <f t="shared" si="16"/>
        <v>#N/A</v>
      </c>
      <c r="X9" s="327" t="e">
        <f t="shared" si="16"/>
        <v>#N/A</v>
      </c>
      <c r="Y9" s="529" t="e">
        <f t="shared" si="16"/>
        <v>#N/A</v>
      </c>
      <c r="Z9" s="530" t="e">
        <f t="shared" si="16"/>
        <v>#N/A</v>
      </c>
      <c r="AA9" s="327" t="e">
        <f t="shared" si="16"/>
        <v>#N/A</v>
      </c>
      <c r="AB9" s="529" t="e">
        <f t="shared" si="16"/>
        <v>#N/A</v>
      </c>
      <c r="AC9" s="530" t="e">
        <f t="shared" si="16"/>
        <v>#N/A</v>
      </c>
      <c r="AD9" s="327" t="e">
        <f t="shared" si="16"/>
        <v>#N/A</v>
      </c>
      <c r="AE9" s="529" t="e">
        <f t="shared" si="16"/>
        <v>#N/A</v>
      </c>
      <c r="AF9" s="530" t="e">
        <f t="shared" si="16"/>
        <v>#N/A</v>
      </c>
      <c r="AG9" s="327" t="e">
        <f t="shared" si="16"/>
        <v>#N/A</v>
      </c>
      <c r="AH9" s="529" t="e">
        <f t="shared" si="16"/>
        <v>#N/A</v>
      </c>
      <c r="AI9" s="530" t="e">
        <f t="shared" si="16"/>
        <v>#N/A</v>
      </c>
      <c r="AJ9" s="327" t="e">
        <f t="shared" si="16"/>
        <v>#N/A</v>
      </c>
      <c r="AK9" s="529" t="e">
        <f t="shared" si="16"/>
        <v>#N/A</v>
      </c>
      <c r="AL9" s="530" t="e">
        <f t="shared" si="16"/>
        <v>#N/A</v>
      </c>
      <c r="AM9" s="327" t="e">
        <f t="shared" si="16"/>
        <v>#N/A</v>
      </c>
      <c r="AN9" s="529" t="e">
        <f t="shared" si="16"/>
        <v>#N/A</v>
      </c>
      <c r="AO9" s="530" t="e">
        <f t="shared" si="16"/>
        <v>#N/A</v>
      </c>
      <c r="AP9" s="534" t="e">
        <f t="shared" si="16"/>
        <v>#N/A</v>
      </c>
      <c r="AQ9" s="535" t="e">
        <f t="shared" si="16"/>
        <v>#N/A</v>
      </c>
      <c r="AR9" s="535" t="e">
        <f t="shared" si="16"/>
        <v>#N/A</v>
      </c>
      <c r="AS9" s="74"/>
      <c r="AT9" s="74"/>
      <c r="AU9" s="74"/>
      <c r="AV9" s="74"/>
      <c r="AW9" s="74"/>
      <c r="AX9" s="74"/>
      <c r="AY9" s="74"/>
      <c r="AZ9" s="74"/>
      <c r="BA9" s="74"/>
      <c r="BB9" s="74"/>
      <c r="BC9" s="74"/>
      <c r="BD9" s="74"/>
      <c r="BE9" s="74"/>
      <c r="BF9" s="74"/>
      <c r="BG9" s="74"/>
      <c r="BH9" s="74"/>
      <c r="BI9" s="74"/>
      <c r="BJ9" s="74"/>
      <c r="BK9" s="74"/>
      <c r="BL9" s="74"/>
      <c r="BM9" s="74"/>
      <c r="BN9" s="74"/>
      <c r="BO9" s="74"/>
    </row>
    <row r="10" spans="1:67" ht="16.5" customHeight="1" x14ac:dyDescent="0.25">
      <c r="A10" s="358" t="s">
        <v>874</v>
      </c>
      <c r="B10" s="359" t="s">
        <v>1184</v>
      </c>
      <c r="C10" s="558" t="e">
        <f>C9*0.86/1000</f>
        <v>#N/A</v>
      </c>
      <c r="D10" s="559">
        <f>D9*0.86/1000</f>
        <v>0</v>
      </c>
      <c r="E10" s="560" t="e">
        <f>E9*0.86/1000</f>
        <v>#VALUE!</v>
      </c>
      <c r="F10" s="74" t="e">
        <f>C10/'Ввод исходных данных'!$G$45</f>
        <v>#N/A</v>
      </c>
      <c r="G10" s="539" t="s">
        <v>874</v>
      </c>
      <c r="H10" s="540" t="s">
        <v>1184</v>
      </c>
      <c r="I10" s="561" t="e">
        <f t="shared" ref="I10:AR10" si="17">I9*0.86/1000</f>
        <v>#N/A</v>
      </c>
      <c r="J10" s="286" t="e">
        <f t="shared" si="17"/>
        <v>#N/A</v>
      </c>
      <c r="K10" s="562" t="e">
        <f t="shared" si="17"/>
        <v>#N/A</v>
      </c>
      <c r="L10" s="561" t="e">
        <f t="shared" si="17"/>
        <v>#N/A</v>
      </c>
      <c r="M10" s="286" t="e">
        <f t="shared" si="17"/>
        <v>#N/A</v>
      </c>
      <c r="N10" s="562" t="e">
        <f t="shared" si="17"/>
        <v>#N/A</v>
      </c>
      <c r="O10" s="561" t="e">
        <f t="shared" si="17"/>
        <v>#N/A</v>
      </c>
      <c r="P10" s="286" t="e">
        <f t="shared" si="17"/>
        <v>#N/A</v>
      </c>
      <c r="Q10" s="562" t="e">
        <f t="shared" si="17"/>
        <v>#N/A</v>
      </c>
      <c r="R10" s="561" t="e">
        <f t="shared" si="17"/>
        <v>#N/A</v>
      </c>
      <c r="S10" s="286" t="e">
        <f t="shared" si="17"/>
        <v>#N/A</v>
      </c>
      <c r="T10" s="562" t="e">
        <f t="shared" si="17"/>
        <v>#N/A</v>
      </c>
      <c r="U10" s="561" t="e">
        <f t="shared" si="17"/>
        <v>#N/A</v>
      </c>
      <c r="V10" s="286" t="e">
        <f t="shared" si="17"/>
        <v>#N/A</v>
      </c>
      <c r="W10" s="562" t="e">
        <f t="shared" si="17"/>
        <v>#N/A</v>
      </c>
      <c r="X10" s="561" t="e">
        <f t="shared" si="17"/>
        <v>#N/A</v>
      </c>
      <c r="Y10" s="286" t="e">
        <f t="shared" si="17"/>
        <v>#N/A</v>
      </c>
      <c r="Z10" s="562" t="e">
        <f t="shared" si="17"/>
        <v>#N/A</v>
      </c>
      <c r="AA10" s="561" t="e">
        <f t="shared" si="17"/>
        <v>#N/A</v>
      </c>
      <c r="AB10" s="286" t="e">
        <f t="shared" si="17"/>
        <v>#N/A</v>
      </c>
      <c r="AC10" s="562" t="e">
        <f t="shared" si="17"/>
        <v>#N/A</v>
      </c>
      <c r="AD10" s="561" t="e">
        <f t="shared" si="17"/>
        <v>#N/A</v>
      </c>
      <c r="AE10" s="286" t="e">
        <f t="shared" si="17"/>
        <v>#N/A</v>
      </c>
      <c r="AF10" s="562" t="e">
        <f t="shared" si="17"/>
        <v>#N/A</v>
      </c>
      <c r="AG10" s="561" t="e">
        <f t="shared" si="17"/>
        <v>#N/A</v>
      </c>
      <c r="AH10" s="286" t="e">
        <f t="shared" si="17"/>
        <v>#N/A</v>
      </c>
      <c r="AI10" s="562" t="e">
        <f t="shared" si="17"/>
        <v>#N/A</v>
      </c>
      <c r="AJ10" s="561" t="e">
        <f t="shared" si="17"/>
        <v>#N/A</v>
      </c>
      <c r="AK10" s="286" t="e">
        <f t="shared" si="17"/>
        <v>#N/A</v>
      </c>
      <c r="AL10" s="562" t="e">
        <f t="shared" si="17"/>
        <v>#N/A</v>
      </c>
      <c r="AM10" s="561" t="e">
        <f t="shared" si="17"/>
        <v>#N/A</v>
      </c>
      <c r="AN10" s="286" t="e">
        <f t="shared" si="17"/>
        <v>#N/A</v>
      </c>
      <c r="AO10" s="562" t="e">
        <f t="shared" si="17"/>
        <v>#N/A</v>
      </c>
      <c r="AP10" s="563" t="e">
        <f t="shared" si="17"/>
        <v>#N/A</v>
      </c>
      <c r="AQ10" s="286" t="e">
        <f t="shared" si="17"/>
        <v>#N/A</v>
      </c>
      <c r="AR10" s="286" t="e">
        <f t="shared" si="17"/>
        <v>#N/A</v>
      </c>
      <c r="AS10" s="74"/>
      <c r="AT10" s="74"/>
      <c r="AU10" s="74"/>
      <c r="AV10" s="74"/>
      <c r="AW10" s="74"/>
      <c r="AX10" s="74"/>
      <c r="AY10" s="74"/>
      <c r="AZ10" s="74"/>
      <c r="BA10" s="74"/>
      <c r="BB10" s="74"/>
      <c r="BC10" s="74"/>
      <c r="BD10" s="74"/>
      <c r="BE10" s="74"/>
      <c r="BF10" s="74"/>
      <c r="BG10" s="74"/>
      <c r="BH10" s="74"/>
      <c r="BI10" s="74"/>
      <c r="BJ10" s="74"/>
      <c r="BK10" s="74"/>
      <c r="BL10" s="74"/>
      <c r="BM10" s="74"/>
      <c r="BN10" s="74"/>
      <c r="BO10" s="74"/>
    </row>
    <row r="11" spans="1:67" ht="15.75" customHeight="1" x14ac:dyDescent="0.25">
      <c r="A11" s="358" t="s">
        <v>874</v>
      </c>
      <c r="B11" s="359" t="s">
        <v>1181</v>
      </c>
      <c r="C11" s="564" t="e">
        <f>C9/$C$6</f>
        <v>#N/A</v>
      </c>
      <c r="D11" s="565" t="e">
        <f>D9/$D$6</f>
        <v>#DIV/0!</v>
      </c>
      <c r="E11" s="566"/>
      <c r="F11" s="74" t="e">
        <f>E10/'Ввод исходных данных'!$G$45</f>
        <v>#VALUE!</v>
      </c>
      <c r="G11" s="539"/>
      <c r="H11" s="540"/>
      <c r="I11" s="567" t="e">
        <f t="shared" ref="I11:AR11" si="18">I9/I$6</f>
        <v>#N/A</v>
      </c>
      <c r="J11" s="553" t="e">
        <f t="shared" si="18"/>
        <v>#N/A</v>
      </c>
      <c r="K11" s="568" t="e">
        <f t="shared" si="18"/>
        <v>#N/A</v>
      </c>
      <c r="L11" s="567" t="e">
        <f t="shared" si="18"/>
        <v>#N/A</v>
      </c>
      <c r="M11" s="553" t="e">
        <f t="shared" si="18"/>
        <v>#N/A</v>
      </c>
      <c r="N11" s="568" t="e">
        <f t="shared" si="18"/>
        <v>#N/A</v>
      </c>
      <c r="O11" s="567" t="e">
        <f t="shared" si="18"/>
        <v>#N/A</v>
      </c>
      <c r="P11" s="553" t="e">
        <f t="shared" si="18"/>
        <v>#N/A</v>
      </c>
      <c r="Q11" s="568" t="e">
        <f t="shared" si="18"/>
        <v>#N/A</v>
      </c>
      <c r="R11" s="567" t="e">
        <f t="shared" si="18"/>
        <v>#N/A</v>
      </c>
      <c r="S11" s="553" t="e">
        <f t="shared" si="18"/>
        <v>#N/A</v>
      </c>
      <c r="T11" s="568" t="e">
        <f t="shared" si="18"/>
        <v>#N/A</v>
      </c>
      <c r="U11" s="567" t="e">
        <f t="shared" si="18"/>
        <v>#N/A</v>
      </c>
      <c r="V11" s="553" t="e">
        <f t="shared" si="18"/>
        <v>#N/A</v>
      </c>
      <c r="W11" s="568" t="e">
        <f t="shared" si="18"/>
        <v>#N/A</v>
      </c>
      <c r="X11" s="567" t="e">
        <f t="shared" si="18"/>
        <v>#N/A</v>
      </c>
      <c r="Y11" s="553" t="e">
        <f t="shared" si="18"/>
        <v>#N/A</v>
      </c>
      <c r="Z11" s="568" t="e">
        <f t="shared" si="18"/>
        <v>#N/A</v>
      </c>
      <c r="AA11" s="567" t="e">
        <f t="shared" si="18"/>
        <v>#N/A</v>
      </c>
      <c r="AB11" s="553" t="e">
        <f t="shared" si="18"/>
        <v>#N/A</v>
      </c>
      <c r="AC11" s="568" t="e">
        <f t="shared" si="18"/>
        <v>#N/A</v>
      </c>
      <c r="AD11" s="567" t="e">
        <f t="shared" si="18"/>
        <v>#N/A</v>
      </c>
      <c r="AE11" s="553" t="e">
        <f t="shared" si="18"/>
        <v>#N/A</v>
      </c>
      <c r="AF11" s="568" t="e">
        <f t="shared" si="18"/>
        <v>#N/A</v>
      </c>
      <c r="AG11" s="567" t="e">
        <f t="shared" si="18"/>
        <v>#N/A</v>
      </c>
      <c r="AH11" s="553" t="e">
        <f t="shared" si="18"/>
        <v>#N/A</v>
      </c>
      <c r="AI11" s="568" t="e">
        <f t="shared" si="18"/>
        <v>#N/A</v>
      </c>
      <c r="AJ11" s="567" t="e">
        <f t="shared" si="18"/>
        <v>#N/A</v>
      </c>
      <c r="AK11" s="553" t="e">
        <f t="shared" si="18"/>
        <v>#N/A</v>
      </c>
      <c r="AL11" s="568" t="e">
        <f t="shared" si="18"/>
        <v>#N/A</v>
      </c>
      <c r="AM11" s="567" t="e">
        <f t="shared" si="18"/>
        <v>#N/A</v>
      </c>
      <c r="AN11" s="553" t="e">
        <f t="shared" si="18"/>
        <v>#N/A</v>
      </c>
      <c r="AO11" s="568" t="e">
        <f t="shared" si="18"/>
        <v>#N/A</v>
      </c>
      <c r="AP11" s="552" t="e">
        <f t="shared" si="18"/>
        <v>#N/A</v>
      </c>
      <c r="AQ11" s="553" t="e">
        <f t="shared" si="18"/>
        <v>#N/A</v>
      </c>
      <c r="AR11" s="553" t="e">
        <f t="shared" si="18"/>
        <v>#N/A</v>
      </c>
      <c r="AS11" s="74"/>
      <c r="AT11" s="74"/>
      <c r="AU11" s="74"/>
      <c r="AV11" s="74"/>
      <c r="AW11" s="74"/>
      <c r="AX11" s="74"/>
      <c r="AY11" s="74"/>
      <c r="AZ11" s="74"/>
      <c r="BA11" s="74"/>
      <c r="BB11" s="74"/>
      <c r="BC11" s="74"/>
      <c r="BD11" s="74"/>
      <c r="BE11" s="74"/>
      <c r="BF11" s="74"/>
      <c r="BG11" s="74"/>
      <c r="BH11" s="74"/>
      <c r="BI11" s="74"/>
      <c r="BJ11" s="74"/>
      <c r="BK11" s="74"/>
      <c r="BL11" s="74"/>
      <c r="BM11" s="74"/>
      <c r="BN11" s="74"/>
      <c r="BO11" s="74"/>
    </row>
    <row r="12" spans="1:67" ht="20.25" customHeight="1" x14ac:dyDescent="0.25">
      <c r="A12" s="569" t="s">
        <v>1185</v>
      </c>
      <c r="B12" s="570" t="s">
        <v>842</v>
      </c>
      <c r="C12" s="571" t="e">
        <f>C35</f>
        <v>#N/A</v>
      </c>
      <c r="D12" s="572">
        <f>D35</f>
        <v>0</v>
      </c>
      <c r="E12" s="573" t="e">
        <f>E35</f>
        <v>#VALUE!</v>
      </c>
      <c r="F12" s="74"/>
      <c r="G12" s="574" t="s">
        <v>1185</v>
      </c>
      <c r="H12" s="575" t="s">
        <v>842</v>
      </c>
      <c r="I12" s="576" t="e">
        <f t="shared" ref="I12:AR12" si="19">I35</f>
        <v>#N/A</v>
      </c>
      <c r="J12" s="305" t="e">
        <f t="shared" si="19"/>
        <v>#N/A</v>
      </c>
      <c r="K12" s="577" t="e">
        <f t="shared" si="19"/>
        <v>#N/A</v>
      </c>
      <c r="L12" s="578" t="e">
        <f t="shared" si="19"/>
        <v>#N/A</v>
      </c>
      <c r="M12" s="305" t="e">
        <f t="shared" si="19"/>
        <v>#N/A</v>
      </c>
      <c r="N12" s="577" t="e">
        <f t="shared" si="19"/>
        <v>#N/A</v>
      </c>
      <c r="O12" s="578" t="e">
        <f t="shared" si="19"/>
        <v>#N/A</v>
      </c>
      <c r="P12" s="305" t="e">
        <f t="shared" si="19"/>
        <v>#N/A</v>
      </c>
      <c r="Q12" s="577" t="e">
        <f t="shared" si="19"/>
        <v>#N/A</v>
      </c>
      <c r="R12" s="578" t="e">
        <f t="shared" si="19"/>
        <v>#N/A</v>
      </c>
      <c r="S12" s="305" t="e">
        <f t="shared" si="19"/>
        <v>#N/A</v>
      </c>
      <c r="T12" s="577" t="e">
        <f t="shared" si="19"/>
        <v>#N/A</v>
      </c>
      <c r="U12" s="576" t="e">
        <f t="shared" si="19"/>
        <v>#N/A</v>
      </c>
      <c r="V12" s="305" t="e">
        <f t="shared" si="19"/>
        <v>#N/A</v>
      </c>
      <c r="W12" s="577" t="e">
        <f t="shared" si="19"/>
        <v>#N/A</v>
      </c>
      <c r="X12" s="576" t="e">
        <f t="shared" si="19"/>
        <v>#N/A</v>
      </c>
      <c r="Y12" s="305" t="e">
        <f t="shared" si="19"/>
        <v>#N/A</v>
      </c>
      <c r="Z12" s="577" t="e">
        <f t="shared" si="19"/>
        <v>#N/A</v>
      </c>
      <c r="AA12" s="578" t="e">
        <f t="shared" si="19"/>
        <v>#N/A</v>
      </c>
      <c r="AB12" s="305" t="e">
        <f t="shared" si="19"/>
        <v>#N/A</v>
      </c>
      <c r="AC12" s="577" t="e">
        <f t="shared" si="19"/>
        <v>#N/A</v>
      </c>
      <c r="AD12" s="576" t="e">
        <f t="shared" si="19"/>
        <v>#N/A</v>
      </c>
      <c r="AE12" s="305" t="e">
        <f t="shared" si="19"/>
        <v>#N/A</v>
      </c>
      <c r="AF12" s="577" t="e">
        <f t="shared" si="19"/>
        <v>#N/A</v>
      </c>
      <c r="AG12" s="578" t="e">
        <f t="shared" si="19"/>
        <v>#N/A</v>
      </c>
      <c r="AH12" s="305" t="e">
        <f t="shared" si="19"/>
        <v>#N/A</v>
      </c>
      <c r="AI12" s="577" t="e">
        <f t="shared" si="19"/>
        <v>#N/A</v>
      </c>
      <c r="AJ12" s="576" t="e">
        <f t="shared" si="19"/>
        <v>#N/A</v>
      </c>
      <c r="AK12" s="305" t="e">
        <f t="shared" si="19"/>
        <v>#N/A</v>
      </c>
      <c r="AL12" s="577" t="e">
        <f t="shared" si="19"/>
        <v>#N/A</v>
      </c>
      <c r="AM12" s="578" t="e">
        <f t="shared" si="19"/>
        <v>#N/A</v>
      </c>
      <c r="AN12" s="305" t="e">
        <f t="shared" si="19"/>
        <v>#N/A</v>
      </c>
      <c r="AO12" s="577" t="e">
        <f t="shared" si="19"/>
        <v>#N/A</v>
      </c>
      <c r="AP12" s="579" t="e">
        <f t="shared" si="19"/>
        <v>#N/A</v>
      </c>
      <c r="AQ12" s="305" t="e">
        <f t="shared" si="19"/>
        <v>#N/A</v>
      </c>
      <c r="AR12" s="305" t="e">
        <f t="shared" si="19"/>
        <v>#N/A</v>
      </c>
      <c r="AS12" s="74"/>
      <c r="AT12" s="74"/>
      <c r="AU12" s="74"/>
      <c r="AV12" s="74"/>
      <c r="AW12" s="74"/>
      <c r="AX12" s="74"/>
      <c r="AY12" s="74"/>
      <c r="AZ12" s="74"/>
      <c r="BA12" s="74"/>
      <c r="BB12" s="74"/>
      <c r="BC12" s="74"/>
      <c r="BD12" s="74"/>
      <c r="BE12" s="74"/>
      <c r="BF12" s="74"/>
      <c r="BG12" s="74"/>
      <c r="BH12" s="74"/>
      <c r="BI12" s="74"/>
      <c r="BJ12" s="74"/>
      <c r="BK12" s="74"/>
      <c r="BL12" s="74"/>
      <c r="BM12" s="74"/>
      <c r="BN12" s="74"/>
      <c r="BO12" s="74"/>
    </row>
    <row r="13" spans="1:67" x14ac:dyDescent="0.25">
      <c r="A13" s="358" t="s">
        <v>874</v>
      </c>
      <c r="B13" s="359" t="s">
        <v>1184</v>
      </c>
      <c r="C13" s="558" t="e">
        <f>C12*0.86/1000</f>
        <v>#N/A</v>
      </c>
      <c r="D13" s="559">
        <f>D36</f>
        <v>0</v>
      </c>
      <c r="E13" s="560" t="e">
        <f>E36</f>
        <v>#VALUE!</v>
      </c>
      <c r="F13" s="74" t="e">
        <f>C13/'Ввод исходных данных'!$G$45</f>
        <v>#N/A</v>
      </c>
      <c r="G13" s="539" t="s">
        <v>874</v>
      </c>
      <c r="H13" s="540" t="s">
        <v>1184</v>
      </c>
      <c r="I13" s="561" t="e">
        <f>I12*0.86/1000</f>
        <v>#N/A</v>
      </c>
      <c r="J13" s="286" t="e">
        <f>J36</f>
        <v>#N/A</v>
      </c>
      <c r="K13" s="562" t="e">
        <f>K36</f>
        <v>#N/A</v>
      </c>
      <c r="L13" s="561" t="e">
        <f>L12*0.86/1000</f>
        <v>#N/A</v>
      </c>
      <c r="M13" s="286" t="e">
        <f>M36</f>
        <v>#N/A</v>
      </c>
      <c r="N13" s="562" t="e">
        <f>N36</f>
        <v>#N/A</v>
      </c>
      <c r="O13" s="561" t="e">
        <f>O12*0.86/1000</f>
        <v>#N/A</v>
      </c>
      <c r="P13" s="286" t="e">
        <f>P36</f>
        <v>#N/A</v>
      </c>
      <c r="Q13" s="562" t="e">
        <f>Q36</f>
        <v>#N/A</v>
      </c>
      <c r="R13" s="561" t="e">
        <f>R12*0.86/1000</f>
        <v>#N/A</v>
      </c>
      <c r="S13" s="286" t="e">
        <f>S36</f>
        <v>#N/A</v>
      </c>
      <c r="T13" s="562" t="e">
        <f>T36</f>
        <v>#N/A</v>
      </c>
      <c r="U13" s="561" t="e">
        <f>U12*0.86/1000</f>
        <v>#N/A</v>
      </c>
      <c r="V13" s="286" t="e">
        <f>V36</f>
        <v>#N/A</v>
      </c>
      <c r="W13" s="562" t="e">
        <f>W36</f>
        <v>#N/A</v>
      </c>
      <c r="X13" s="561" t="e">
        <f>X12*0.86/1000</f>
        <v>#N/A</v>
      </c>
      <c r="Y13" s="286" t="e">
        <f>Y36</f>
        <v>#N/A</v>
      </c>
      <c r="Z13" s="562" t="e">
        <f>Z36</f>
        <v>#N/A</v>
      </c>
      <c r="AA13" s="561" t="e">
        <f>AA12*0.86/1000</f>
        <v>#N/A</v>
      </c>
      <c r="AB13" s="286" t="e">
        <f>AB36</f>
        <v>#N/A</v>
      </c>
      <c r="AC13" s="562" t="e">
        <f>AC36</f>
        <v>#N/A</v>
      </c>
      <c r="AD13" s="561" t="e">
        <f>AD12*0.86/1000</f>
        <v>#N/A</v>
      </c>
      <c r="AE13" s="286" t="e">
        <f>AE36</f>
        <v>#N/A</v>
      </c>
      <c r="AF13" s="562" t="e">
        <f>AF36</f>
        <v>#N/A</v>
      </c>
      <c r="AG13" s="561" t="e">
        <f>AG12*0.86/1000</f>
        <v>#N/A</v>
      </c>
      <c r="AH13" s="286" t="e">
        <f>AH36</f>
        <v>#N/A</v>
      </c>
      <c r="AI13" s="562" t="e">
        <f>AI36</f>
        <v>#N/A</v>
      </c>
      <c r="AJ13" s="561" t="e">
        <f>AJ12*0.86/1000</f>
        <v>#N/A</v>
      </c>
      <c r="AK13" s="286" t="e">
        <f>AK36</f>
        <v>#N/A</v>
      </c>
      <c r="AL13" s="562" t="e">
        <f>AL36</f>
        <v>#N/A</v>
      </c>
      <c r="AM13" s="561" t="e">
        <f>AM12*0.86/1000</f>
        <v>#N/A</v>
      </c>
      <c r="AN13" s="286" t="e">
        <f>AN36</f>
        <v>#N/A</v>
      </c>
      <c r="AO13" s="562" t="e">
        <f>AO36</f>
        <v>#N/A</v>
      </c>
      <c r="AP13" s="563" t="e">
        <f>AP12*0.86/1000</f>
        <v>#N/A</v>
      </c>
      <c r="AQ13" s="286" t="e">
        <f>AQ36</f>
        <v>#N/A</v>
      </c>
      <c r="AR13" s="286" t="e">
        <f>AR36</f>
        <v>#N/A</v>
      </c>
      <c r="AS13" s="74"/>
      <c r="AT13" s="74"/>
      <c r="AU13" s="74"/>
      <c r="AV13" s="74"/>
      <c r="AW13" s="74"/>
      <c r="AX13" s="74"/>
      <c r="AY13" s="74"/>
      <c r="AZ13" s="74"/>
      <c r="BA13" s="74"/>
      <c r="BB13" s="74"/>
      <c r="BC13" s="74"/>
      <c r="BD13" s="74"/>
      <c r="BE13" s="74"/>
      <c r="BF13" s="74"/>
      <c r="BG13" s="74"/>
      <c r="BH13" s="74"/>
      <c r="BI13" s="74"/>
      <c r="BJ13" s="74"/>
      <c r="BK13" s="74"/>
      <c r="BL13" s="74"/>
      <c r="BM13" s="74"/>
      <c r="BN13" s="74"/>
      <c r="BO13" s="74"/>
    </row>
    <row r="14" spans="1:67" x14ac:dyDescent="0.25">
      <c r="A14" s="358" t="s">
        <v>874</v>
      </c>
      <c r="B14" s="359" t="s">
        <v>1181</v>
      </c>
      <c r="C14" s="564" t="e">
        <f>C12/$C$6</f>
        <v>#N/A</v>
      </c>
      <c r="D14" s="565" t="e">
        <f>D12/$D$6</f>
        <v>#DIV/0!</v>
      </c>
      <c r="E14" s="566"/>
      <c r="F14" s="74" t="e">
        <f>E13/'Ввод исходных данных'!$G$45</f>
        <v>#VALUE!</v>
      </c>
      <c r="G14" s="539"/>
      <c r="H14" s="540"/>
      <c r="I14" s="567" t="e">
        <f t="shared" ref="I14:AR14" si="20">I12/I$6</f>
        <v>#N/A</v>
      </c>
      <c r="J14" s="553" t="e">
        <f t="shared" si="20"/>
        <v>#N/A</v>
      </c>
      <c r="K14" s="568" t="e">
        <f t="shared" si="20"/>
        <v>#N/A</v>
      </c>
      <c r="L14" s="567" t="e">
        <f t="shared" si="20"/>
        <v>#N/A</v>
      </c>
      <c r="M14" s="553" t="e">
        <f t="shared" si="20"/>
        <v>#N/A</v>
      </c>
      <c r="N14" s="568" t="e">
        <f t="shared" si="20"/>
        <v>#N/A</v>
      </c>
      <c r="O14" s="567" t="e">
        <f t="shared" si="20"/>
        <v>#N/A</v>
      </c>
      <c r="P14" s="553" t="e">
        <f t="shared" si="20"/>
        <v>#N/A</v>
      </c>
      <c r="Q14" s="568" t="e">
        <f t="shared" si="20"/>
        <v>#N/A</v>
      </c>
      <c r="R14" s="567" t="e">
        <f t="shared" si="20"/>
        <v>#N/A</v>
      </c>
      <c r="S14" s="553" t="e">
        <f t="shared" si="20"/>
        <v>#N/A</v>
      </c>
      <c r="T14" s="568" t="e">
        <f t="shared" si="20"/>
        <v>#N/A</v>
      </c>
      <c r="U14" s="567" t="e">
        <f t="shared" si="20"/>
        <v>#N/A</v>
      </c>
      <c r="V14" s="553" t="e">
        <f t="shared" si="20"/>
        <v>#N/A</v>
      </c>
      <c r="W14" s="568" t="e">
        <f t="shared" si="20"/>
        <v>#N/A</v>
      </c>
      <c r="X14" s="567" t="e">
        <f t="shared" si="20"/>
        <v>#N/A</v>
      </c>
      <c r="Y14" s="553" t="e">
        <f t="shared" si="20"/>
        <v>#N/A</v>
      </c>
      <c r="Z14" s="568" t="e">
        <f t="shared" si="20"/>
        <v>#N/A</v>
      </c>
      <c r="AA14" s="567" t="e">
        <f t="shared" si="20"/>
        <v>#N/A</v>
      </c>
      <c r="AB14" s="553" t="e">
        <f t="shared" si="20"/>
        <v>#N/A</v>
      </c>
      <c r="AC14" s="568" t="e">
        <f t="shared" si="20"/>
        <v>#N/A</v>
      </c>
      <c r="AD14" s="567" t="e">
        <f t="shared" si="20"/>
        <v>#N/A</v>
      </c>
      <c r="AE14" s="553" t="e">
        <f t="shared" si="20"/>
        <v>#N/A</v>
      </c>
      <c r="AF14" s="568" t="e">
        <f t="shared" si="20"/>
        <v>#N/A</v>
      </c>
      <c r="AG14" s="567" t="e">
        <f t="shared" si="20"/>
        <v>#N/A</v>
      </c>
      <c r="AH14" s="553" t="e">
        <f t="shared" si="20"/>
        <v>#N/A</v>
      </c>
      <c r="AI14" s="568" t="e">
        <f t="shared" si="20"/>
        <v>#N/A</v>
      </c>
      <c r="AJ14" s="567" t="e">
        <f t="shared" si="20"/>
        <v>#N/A</v>
      </c>
      <c r="AK14" s="553" t="e">
        <f t="shared" si="20"/>
        <v>#N/A</v>
      </c>
      <c r="AL14" s="568" t="e">
        <f t="shared" si="20"/>
        <v>#N/A</v>
      </c>
      <c r="AM14" s="567" t="e">
        <f t="shared" si="20"/>
        <v>#N/A</v>
      </c>
      <c r="AN14" s="553" t="e">
        <f t="shared" si="20"/>
        <v>#N/A</v>
      </c>
      <c r="AO14" s="568" t="e">
        <f t="shared" si="20"/>
        <v>#N/A</v>
      </c>
      <c r="AP14" s="552" t="e">
        <f t="shared" si="20"/>
        <v>#N/A</v>
      </c>
      <c r="AQ14" s="553" t="e">
        <f t="shared" si="20"/>
        <v>#N/A</v>
      </c>
      <c r="AR14" s="553" t="e">
        <f t="shared" si="20"/>
        <v>#N/A</v>
      </c>
      <c r="AS14" s="74"/>
      <c r="AT14" s="74"/>
      <c r="AU14" s="74"/>
      <c r="AV14" s="74"/>
      <c r="AW14" s="74"/>
      <c r="AX14" s="74"/>
      <c r="AY14" s="74"/>
      <c r="AZ14" s="74"/>
      <c r="BA14" s="74"/>
      <c r="BB14" s="74"/>
      <c r="BC14" s="74"/>
      <c r="BD14" s="74"/>
      <c r="BE14" s="74"/>
      <c r="BF14" s="74"/>
      <c r="BG14" s="74"/>
      <c r="BH14" s="74"/>
      <c r="BI14" s="74"/>
      <c r="BJ14" s="74"/>
      <c r="BK14" s="74"/>
      <c r="BL14" s="74"/>
      <c r="BM14" s="74"/>
      <c r="BN14" s="74"/>
      <c r="BO14" s="74"/>
    </row>
    <row r="15" spans="1:67" ht="16.5" customHeight="1" x14ac:dyDescent="0.25">
      <c r="A15" s="569" t="s">
        <v>999</v>
      </c>
      <c r="B15" s="570" t="s">
        <v>842</v>
      </c>
      <c r="C15" s="580" t="e">
        <f>C85</f>
        <v>#N/A</v>
      </c>
      <c r="D15" s="581">
        <f>D85</f>
        <v>0</v>
      </c>
      <c r="E15" s="582">
        <f>D85</f>
        <v>0</v>
      </c>
      <c r="F15" s="74" t="e">
        <f>E13/C13-1</f>
        <v>#VALUE!</v>
      </c>
      <c r="G15" s="574" t="s">
        <v>999</v>
      </c>
      <c r="H15" s="575" t="s">
        <v>842</v>
      </c>
      <c r="I15" s="576" t="e">
        <f t="shared" ref="I15:J15" si="21">I85</f>
        <v>#N/A</v>
      </c>
      <c r="J15" s="305" t="e">
        <f t="shared" si="21"/>
        <v>#N/A</v>
      </c>
      <c r="K15" s="583" t="e">
        <f>J15</f>
        <v>#N/A</v>
      </c>
      <c r="L15" s="576" t="e">
        <f>K85</f>
        <v>#N/A</v>
      </c>
      <c r="M15" s="305" t="e">
        <f>L85</f>
        <v>#N/A</v>
      </c>
      <c r="N15" s="584" t="e">
        <f>M15</f>
        <v>#N/A</v>
      </c>
      <c r="O15" s="578" t="e">
        <f>M85</f>
        <v>#N/A</v>
      </c>
      <c r="P15" s="306" t="e">
        <f>N85</f>
        <v>#N/A</v>
      </c>
      <c r="Q15" s="583" t="e">
        <f>P15</f>
        <v>#N/A</v>
      </c>
      <c r="R15" s="578" t="e">
        <f>O85</f>
        <v>#N/A</v>
      </c>
      <c r="S15" s="306" t="e">
        <f>P85</f>
        <v>#N/A</v>
      </c>
      <c r="T15" s="577" t="e">
        <f>S15</f>
        <v>#N/A</v>
      </c>
      <c r="U15" s="576" t="e">
        <f>Q85</f>
        <v>#N/A</v>
      </c>
      <c r="V15" s="305" t="e">
        <f>R85</f>
        <v>#N/A</v>
      </c>
      <c r="W15" s="583" t="e">
        <f>V15</f>
        <v>#N/A</v>
      </c>
      <c r="X15" s="576" t="e">
        <f>S85</f>
        <v>#N/A</v>
      </c>
      <c r="Y15" s="305" t="e">
        <f>T85</f>
        <v>#N/A</v>
      </c>
      <c r="Z15" s="583" t="e">
        <f>Y15</f>
        <v>#N/A</v>
      </c>
      <c r="AA15" s="576" t="e">
        <f>U85</f>
        <v>#N/A</v>
      </c>
      <c r="AB15" s="305" t="e">
        <f>V85</f>
        <v>#N/A</v>
      </c>
      <c r="AC15" s="583" t="e">
        <f>AB15</f>
        <v>#N/A</v>
      </c>
      <c r="AD15" s="576" t="e">
        <f>W85</f>
        <v>#N/A</v>
      </c>
      <c r="AE15" s="305" t="e">
        <f>X85</f>
        <v>#N/A</v>
      </c>
      <c r="AF15" s="577" t="e">
        <f>AE15</f>
        <v>#N/A</v>
      </c>
      <c r="AG15" s="578" t="e">
        <f>Y85</f>
        <v>#N/A</v>
      </c>
      <c r="AH15" s="306" t="e">
        <f>Z85</f>
        <v>#N/A</v>
      </c>
      <c r="AI15" s="583" t="e">
        <f>AH15</f>
        <v>#N/A</v>
      </c>
      <c r="AJ15" s="578" t="e">
        <f>AA85</f>
        <v>#N/A</v>
      </c>
      <c r="AK15" s="306" t="e">
        <f>AB85</f>
        <v>#N/A</v>
      </c>
      <c r="AL15" s="583" t="e">
        <f>AK15</f>
        <v>#N/A</v>
      </c>
      <c r="AM15" s="578" t="e">
        <f>AC85</f>
        <v>#N/A</v>
      </c>
      <c r="AN15" s="306" t="e">
        <f>AD85</f>
        <v>#N/A</v>
      </c>
      <c r="AO15" s="583" t="e">
        <f>AN15</f>
        <v>#N/A</v>
      </c>
      <c r="AP15" s="585" t="e">
        <f>AE85</f>
        <v>#N/A</v>
      </c>
      <c r="AQ15" s="305" t="e">
        <f>AF85</f>
        <v>#N/A</v>
      </c>
      <c r="AR15" s="306" t="e">
        <f>AQ15</f>
        <v>#N/A</v>
      </c>
      <c r="AS15" s="74"/>
      <c r="AT15" s="74"/>
      <c r="AU15" s="74"/>
      <c r="AV15" s="74"/>
      <c r="AW15" s="74"/>
      <c r="AX15" s="74"/>
      <c r="AY15" s="74"/>
      <c r="AZ15" s="74"/>
      <c r="BA15" s="74"/>
      <c r="BB15" s="74"/>
      <c r="BC15" s="74"/>
      <c r="BD15" s="74"/>
      <c r="BE15" s="74"/>
      <c r="BF15" s="74"/>
      <c r="BG15" s="74"/>
      <c r="BH15" s="74"/>
      <c r="BI15" s="74"/>
      <c r="BJ15" s="74"/>
      <c r="BK15" s="74"/>
      <c r="BL15" s="74"/>
      <c r="BM15" s="74"/>
      <c r="BN15" s="74"/>
      <c r="BO15" s="74"/>
    </row>
    <row r="16" spans="1:67" x14ac:dyDescent="0.25">
      <c r="A16" s="358" t="s">
        <v>874</v>
      </c>
      <c r="B16" s="359" t="s">
        <v>1184</v>
      </c>
      <c r="C16" s="558" t="e">
        <f>C15*0.86/1000</f>
        <v>#N/A</v>
      </c>
      <c r="D16" s="664">
        <f>D86</f>
        <v>0</v>
      </c>
      <c r="E16" s="1268">
        <f>D86</f>
        <v>0</v>
      </c>
      <c r="F16" s="74"/>
      <c r="G16" s="539" t="s">
        <v>874</v>
      </c>
      <c r="H16" s="540" t="s">
        <v>1184</v>
      </c>
      <c r="I16" s="561" t="e">
        <f>I15*0.86/1000</f>
        <v>#N/A</v>
      </c>
      <c r="J16" s="95" t="e">
        <f>J86</f>
        <v>#N/A</v>
      </c>
      <c r="K16" s="586" t="e">
        <f>J16</f>
        <v>#N/A</v>
      </c>
      <c r="L16" s="561" t="e">
        <f>L15*0.86/1000</f>
        <v>#N/A</v>
      </c>
      <c r="M16" s="95" t="e">
        <f>L86</f>
        <v>#N/A</v>
      </c>
      <c r="N16" s="587" t="e">
        <f>M16</f>
        <v>#N/A</v>
      </c>
      <c r="O16" s="561" t="e">
        <f>O15*0.86/1000</f>
        <v>#N/A</v>
      </c>
      <c r="P16" s="95" t="e">
        <f>N86</f>
        <v>#N/A</v>
      </c>
      <c r="Q16" s="586" t="e">
        <f>P16</f>
        <v>#N/A</v>
      </c>
      <c r="R16" s="561" t="e">
        <f>R15*0.86/1000</f>
        <v>#N/A</v>
      </c>
      <c r="S16" s="95" t="e">
        <f>P86</f>
        <v>#N/A</v>
      </c>
      <c r="T16" s="586" t="e">
        <f>S16</f>
        <v>#N/A</v>
      </c>
      <c r="U16" s="561" t="e">
        <f>U15*0.86/1000</f>
        <v>#N/A</v>
      </c>
      <c r="V16" s="95" t="e">
        <f>R86</f>
        <v>#N/A</v>
      </c>
      <c r="W16" s="586" t="e">
        <f>V16</f>
        <v>#N/A</v>
      </c>
      <c r="X16" s="561" t="e">
        <f>X15*0.86/1000</f>
        <v>#N/A</v>
      </c>
      <c r="Y16" s="95" t="e">
        <f>T86</f>
        <v>#N/A</v>
      </c>
      <c r="Z16" s="586" t="e">
        <f>Y16</f>
        <v>#N/A</v>
      </c>
      <c r="AA16" s="561" t="e">
        <f>AA15*0.86/1000</f>
        <v>#N/A</v>
      </c>
      <c r="AB16" s="95" t="e">
        <f>V86</f>
        <v>#N/A</v>
      </c>
      <c r="AC16" s="586" t="e">
        <f>AB16</f>
        <v>#N/A</v>
      </c>
      <c r="AD16" s="561" t="e">
        <f>AD15*0.86/1000</f>
        <v>#N/A</v>
      </c>
      <c r="AE16" s="95" t="e">
        <f>X86</f>
        <v>#N/A</v>
      </c>
      <c r="AF16" s="586" t="e">
        <f>AE16</f>
        <v>#N/A</v>
      </c>
      <c r="AG16" s="561" t="e">
        <f>AG15*0.86/1000</f>
        <v>#N/A</v>
      </c>
      <c r="AH16" s="95" t="e">
        <f>Z86</f>
        <v>#N/A</v>
      </c>
      <c r="AI16" s="586" t="e">
        <f>AH16</f>
        <v>#N/A</v>
      </c>
      <c r="AJ16" s="561" t="e">
        <f>AJ15*0.86/1000</f>
        <v>#N/A</v>
      </c>
      <c r="AK16" s="95" t="e">
        <f>AB86</f>
        <v>#N/A</v>
      </c>
      <c r="AL16" s="586" t="e">
        <f>AK16</f>
        <v>#N/A</v>
      </c>
      <c r="AM16" s="561" t="e">
        <f>AM15*0.86/1000</f>
        <v>#N/A</v>
      </c>
      <c r="AN16" s="95" t="e">
        <f>AD86</f>
        <v>#N/A</v>
      </c>
      <c r="AO16" s="586" t="e">
        <f>AN16</f>
        <v>#N/A</v>
      </c>
      <c r="AP16" s="563" t="e">
        <f>AP15*0.86/1000</f>
        <v>#N/A</v>
      </c>
      <c r="AQ16" s="95" t="e">
        <f>AF86</f>
        <v>#N/A</v>
      </c>
      <c r="AR16" s="95" t="e">
        <f>AQ16</f>
        <v>#N/A</v>
      </c>
      <c r="AS16" s="74"/>
      <c r="AT16" s="74"/>
      <c r="AU16" s="74"/>
      <c r="AV16" s="74"/>
      <c r="AW16" s="74"/>
      <c r="AX16" s="74"/>
      <c r="AY16" s="74"/>
      <c r="AZ16" s="74"/>
      <c r="BA16" s="74"/>
      <c r="BB16" s="74"/>
      <c r="BC16" s="74"/>
      <c r="BD16" s="74"/>
      <c r="BE16" s="74"/>
      <c r="BF16" s="74"/>
      <c r="BG16" s="74"/>
      <c r="BH16" s="74"/>
      <c r="BI16" s="74"/>
      <c r="BJ16" s="74"/>
      <c r="BK16" s="74"/>
      <c r="BL16" s="74"/>
      <c r="BM16" s="74"/>
      <c r="BN16" s="74"/>
      <c r="BO16" s="74"/>
    </row>
    <row r="17" spans="1:67" ht="14.25" customHeight="1" thickBot="1" x14ac:dyDescent="0.3">
      <c r="A17" s="385" t="s">
        <v>874</v>
      </c>
      <c r="B17" s="386" t="s">
        <v>1181</v>
      </c>
      <c r="C17" s="588" t="e">
        <f>C15/$C$6</f>
        <v>#N/A</v>
      </c>
      <c r="D17" s="589" t="e">
        <f>D15/$D$6</f>
        <v>#DIV/0!</v>
      </c>
      <c r="E17" s="590"/>
      <c r="F17" s="74"/>
      <c r="G17" s="544"/>
      <c r="H17" s="545"/>
      <c r="I17" s="546" t="e">
        <f t="shared" ref="I17:AR17" si="22">I15/I$6</f>
        <v>#N/A</v>
      </c>
      <c r="J17" s="547" t="e">
        <f t="shared" si="22"/>
        <v>#N/A</v>
      </c>
      <c r="K17" s="548" t="e">
        <f t="shared" si="22"/>
        <v>#N/A</v>
      </c>
      <c r="L17" s="546" t="e">
        <f t="shared" si="22"/>
        <v>#N/A</v>
      </c>
      <c r="M17" s="547" t="e">
        <f t="shared" si="22"/>
        <v>#N/A</v>
      </c>
      <c r="N17" s="591" t="e">
        <f t="shared" si="22"/>
        <v>#N/A</v>
      </c>
      <c r="O17" s="546" t="e">
        <f t="shared" si="22"/>
        <v>#N/A</v>
      </c>
      <c r="P17" s="547" t="e">
        <f t="shared" si="22"/>
        <v>#N/A</v>
      </c>
      <c r="Q17" s="548" t="e">
        <f t="shared" si="22"/>
        <v>#N/A</v>
      </c>
      <c r="R17" s="546" t="e">
        <f t="shared" si="22"/>
        <v>#N/A</v>
      </c>
      <c r="S17" s="547" t="e">
        <f t="shared" si="22"/>
        <v>#N/A</v>
      </c>
      <c r="T17" s="548" t="e">
        <f t="shared" si="22"/>
        <v>#N/A</v>
      </c>
      <c r="U17" s="546" t="e">
        <f t="shared" si="22"/>
        <v>#N/A</v>
      </c>
      <c r="V17" s="547" t="e">
        <f t="shared" si="22"/>
        <v>#N/A</v>
      </c>
      <c r="W17" s="548" t="e">
        <f t="shared" si="22"/>
        <v>#N/A</v>
      </c>
      <c r="X17" s="546" t="e">
        <f t="shared" si="22"/>
        <v>#N/A</v>
      </c>
      <c r="Y17" s="547" t="e">
        <f t="shared" si="22"/>
        <v>#N/A</v>
      </c>
      <c r="Z17" s="548" t="e">
        <f t="shared" si="22"/>
        <v>#N/A</v>
      </c>
      <c r="AA17" s="546" t="e">
        <f t="shared" si="22"/>
        <v>#N/A</v>
      </c>
      <c r="AB17" s="547" t="e">
        <f t="shared" si="22"/>
        <v>#N/A</v>
      </c>
      <c r="AC17" s="548" t="e">
        <f t="shared" si="22"/>
        <v>#N/A</v>
      </c>
      <c r="AD17" s="546" t="e">
        <f t="shared" si="22"/>
        <v>#N/A</v>
      </c>
      <c r="AE17" s="547" t="e">
        <f t="shared" si="22"/>
        <v>#N/A</v>
      </c>
      <c r="AF17" s="548" t="e">
        <f t="shared" si="22"/>
        <v>#N/A</v>
      </c>
      <c r="AG17" s="546" t="e">
        <f t="shared" si="22"/>
        <v>#N/A</v>
      </c>
      <c r="AH17" s="547" t="e">
        <f t="shared" si="22"/>
        <v>#N/A</v>
      </c>
      <c r="AI17" s="548" t="e">
        <f t="shared" si="22"/>
        <v>#N/A</v>
      </c>
      <c r="AJ17" s="546" t="e">
        <f t="shared" si="22"/>
        <v>#N/A</v>
      </c>
      <c r="AK17" s="547" t="e">
        <f t="shared" si="22"/>
        <v>#N/A</v>
      </c>
      <c r="AL17" s="548" t="e">
        <f t="shared" si="22"/>
        <v>#N/A</v>
      </c>
      <c r="AM17" s="546" t="e">
        <f t="shared" si="22"/>
        <v>#N/A</v>
      </c>
      <c r="AN17" s="547" t="e">
        <f t="shared" si="22"/>
        <v>#N/A</v>
      </c>
      <c r="AO17" s="548" t="e">
        <f t="shared" si="22"/>
        <v>#N/A</v>
      </c>
      <c r="AP17" s="549" t="e">
        <f t="shared" si="22"/>
        <v>#N/A</v>
      </c>
      <c r="AQ17" s="550" t="e">
        <f t="shared" si="22"/>
        <v>#N/A</v>
      </c>
      <c r="AR17" s="550" t="e">
        <f t="shared" si="22"/>
        <v>#N/A</v>
      </c>
      <c r="AS17" s="74"/>
      <c r="AT17" s="74"/>
      <c r="AU17" s="74"/>
      <c r="AV17" s="74"/>
      <c r="AW17" s="74"/>
      <c r="AX17" s="74"/>
      <c r="AY17" s="74"/>
      <c r="AZ17" s="74"/>
      <c r="BA17" s="74"/>
      <c r="BB17" s="74"/>
      <c r="BC17" s="74"/>
      <c r="BD17" s="74"/>
      <c r="BE17" s="74"/>
      <c r="BF17" s="74"/>
      <c r="BG17" s="74"/>
      <c r="BH17" s="74"/>
      <c r="BI17" s="74"/>
      <c r="BJ17" s="74"/>
      <c r="BK17" s="74"/>
      <c r="BL17" s="74"/>
      <c r="BM17" s="74"/>
      <c r="BN17" s="74"/>
      <c r="BO17" s="74"/>
    </row>
    <row r="18" spans="1:67" ht="34.5" customHeight="1" x14ac:dyDescent="0.25">
      <c r="A18" s="522" t="s">
        <v>1188</v>
      </c>
      <c r="B18" s="592" t="s">
        <v>842</v>
      </c>
      <c r="C18" s="593" t="e">
        <f>C100</f>
        <v>#VALUE!</v>
      </c>
      <c r="D18" s="594">
        <f>D100</f>
        <v>0</v>
      </c>
      <c r="E18" s="595">
        <f>D100</f>
        <v>0</v>
      </c>
      <c r="F18" s="74"/>
      <c r="G18" s="527" t="s">
        <v>1186</v>
      </c>
      <c r="H18" s="528" t="s">
        <v>842</v>
      </c>
      <c r="I18" s="327" t="e">
        <f>I100</f>
        <v>#N/A</v>
      </c>
      <c r="J18" s="596">
        <f>J100</f>
        <v>0</v>
      </c>
      <c r="K18" s="597">
        <f>J18</f>
        <v>0</v>
      </c>
      <c r="L18" s="327" t="e">
        <f>K100</f>
        <v>#N/A</v>
      </c>
      <c r="M18" s="596">
        <f>L100</f>
        <v>0</v>
      </c>
      <c r="N18" s="597">
        <f>M18</f>
        <v>0</v>
      </c>
      <c r="O18" s="327" t="e">
        <f>M100</f>
        <v>#N/A</v>
      </c>
      <c r="P18" s="596">
        <f>N100</f>
        <v>0</v>
      </c>
      <c r="Q18" s="597">
        <f>P18</f>
        <v>0</v>
      </c>
      <c r="R18" s="327" t="e">
        <f>O100</f>
        <v>#N/A</v>
      </c>
      <c r="S18" s="596">
        <f>P100</f>
        <v>0</v>
      </c>
      <c r="T18" s="597">
        <f>S18</f>
        <v>0</v>
      </c>
      <c r="U18" s="327" t="e">
        <f>Q100</f>
        <v>#N/A</v>
      </c>
      <c r="V18" s="596">
        <f>R100</f>
        <v>0</v>
      </c>
      <c r="W18" s="597">
        <f>V18</f>
        <v>0</v>
      </c>
      <c r="X18" s="327" t="e">
        <f>S100</f>
        <v>#N/A</v>
      </c>
      <c r="Y18" s="596">
        <f>T100</f>
        <v>0</v>
      </c>
      <c r="Z18" s="597">
        <f>Y18</f>
        <v>0</v>
      </c>
      <c r="AA18" s="327" t="e">
        <f>U100</f>
        <v>#N/A</v>
      </c>
      <c r="AB18" s="596">
        <f>V100</f>
        <v>0</v>
      </c>
      <c r="AC18" s="597">
        <f>AB18</f>
        <v>0</v>
      </c>
      <c r="AD18" s="327" t="e">
        <f>W100</f>
        <v>#N/A</v>
      </c>
      <c r="AE18" s="596">
        <f>X100</f>
        <v>0</v>
      </c>
      <c r="AF18" s="597">
        <f>AE18</f>
        <v>0</v>
      </c>
      <c r="AG18" s="327" t="e">
        <f>Y100</f>
        <v>#N/A</v>
      </c>
      <c r="AH18" s="596">
        <f>Z100</f>
        <v>0</v>
      </c>
      <c r="AI18" s="597">
        <f>AH18</f>
        <v>0</v>
      </c>
      <c r="AJ18" s="327" t="e">
        <f>AA100</f>
        <v>#N/A</v>
      </c>
      <c r="AK18" s="596">
        <f>AB100</f>
        <v>0</v>
      </c>
      <c r="AL18" s="597">
        <f>AK18</f>
        <v>0</v>
      </c>
      <c r="AM18" s="327" t="e">
        <f>AC100</f>
        <v>#N/A</v>
      </c>
      <c r="AN18" s="596">
        <f>AD100</f>
        <v>0</v>
      </c>
      <c r="AO18" s="597">
        <f>AN18</f>
        <v>0</v>
      </c>
      <c r="AP18" s="327" t="e">
        <f>AE100</f>
        <v>#N/A</v>
      </c>
      <c r="AQ18" s="596">
        <f>AF100</f>
        <v>0</v>
      </c>
      <c r="AR18" s="597">
        <f>AQ18</f>
        <v>0</v>
      </c>
      <c r="AS18" s="74"/>
      <c r="AT18" s="74"/>
      <c r="AU18" s="74"/>
      <c r="AV18" s="74"/>
      <c r="AW18" s="74"/>
      <c r="AX18" s="74"/>
      <c r="AY18" s="74"/>
      <c r="AZ18" s="74"/>
      <c r="BA18" s="74"/>
      <c r="BB18" s="74"/>
      <c r="BC18" s="74"/>
      <c r="BD18" s="74"/>
      <c r="BE18" s="74"/>
      <c r="BF18" s="74"/>
      <c r="BG18" s="74"/>
      <c r="BH18" s="74"/>
      <c r="BI18" s="74"/>
      <c r="BJ18" s="74"/>
      <c r="BK18" s="74"/>
      <c r="BL18" s="74"/>
      <c r="BM18" s="74"/>
      <c r="BN18" s="74"/>
      <c r="BO18" s="74"/>
    </row>
    <row r="19" spans="1:67" ht="15.75" customHeight="1" thickBot="1" x14ac:dyDescent="0.3">
      <c r="A19" s="385" t="s">
        <v>874</v>
      </c>
      <c r="B19" s="598" t="s">
        <v>1181</v>
      </c>
      <c r="C19" s="588" t="e">
        <f>C18/$C$6</f>
        <v>#VALUE!</v>
      </c>
      <c r="D19" s="589" t="e">
        <f>D18/$D$6</f>
        <v>#DIV/0!</v>
      </c>
      <c r="E19" s="599" t="e">
        <f>E18/$E$6</f>
        <v>#VALUE!</v>
      </c>
      <c r="F19" s="74"/>
      <c r="G19" s="600"/>
      <c r="H19" s="545"/>
      <c r="I19" s="546" t="e">
        <f>I18/$C$6</f>
        <v>#N/A</v>
      </c>
      <c r="J19" s="601"/>
      <c r="K19" s="602"/>
      <c r="L19" s="546" t="e">
        <f>L18/$C$6</f>
        <v>#N/A</v>
      </c>
      <c r="M19" s="601"/>
      <c r="N19" s="602"/>
      <c r="O19" s="546" t="e">
        <f>O18/$C$6</f>
        <v>#N/A</v>
      </c>
      <c r="P19" s="601"/>
      <c r="Q19" s="602"/>
      <c r="R19" s="546" t="e">
        <f>R18/$C$6</f>
        <v>#N/A</v>
      </c>
      <c r="S19" s="601"/>
      <c r="T19" s="602"/>
      <c r="U19" s="546" t="e">
        <f>U18/$C$6</f>
        <v>#N/A</v>
      </c>
      <c r="V19" s="601"/>
      <c r="W19" s="602"/>
      <c r="X19" s="546" t="e">
        <f>X18/$C$6</f>
        <v>#N/A</v>
      </c>
      <c r="Y19" s="601"/>
      <c r="Z19" s="602"/>
      <c r="AA19" s="546" t="e">
        <f>AA18/$C$6</f>
        <v>#N/A</v>
      </c>
      <c r="AB19" s="601"/>
      <c r="AC19" s="602"/>
      <c r="AD19" s="546" t="e">
        <f>AD18/$C$6</f>
        <v>#N/A</v>
      </c>
      <c r="AE19" s="601"/>
      <c r="AF19" s="602"/>
      <c r="AG19" s="546" t="e">
        <f>AG18/$C$6</f>
        <v>#N/A</v>
      </c>
      <c r="AH19" s="601"/>
      <c r="AI19" s="602"/>
      <c r="AJ19" s="546" t="e">
        <f>AJ18/$C$6</f>
        <v>#N/A</v>
      </c>
      <c r="AK19" s="601"/>
      <c r="AL19" s="602"/>
      <c r="AM19" s="546" t="e">
        <f>AM18/$C$6</f>
        <v>#N/A</v>
      </c>
      <c r="AN19" s="601"/>
      <c r="AO19" s="602"/>
      <c r="AP19" s="546" t="e">
        <f>AP18/$C$6</f>
        <v>#N/A</v>
      </c>
      <c r="AQ19" s="601"/>
      <c r="AR19" s="602"/>
      <c r="AS19" s="74"/>
      <c r="AT19" s="74"/>
      <c r="AU19" s="74"/>
      <c r="AV19" s="74"/>
      <c r="AW19" s="74"/>
      <c r="AX19" s="74"/>
      <c r="AY19" s="74"/>
      <c r="AZ19" s="74"/>
      <c r="BA19" s="74"/>
      <c r="BB19" s="74"/>
      <c r="BC19" s="74"/>
      <c r="BD19" s="74"/>
      <c r="BE19" s="74"/>
      <c r="BF19" s="74"/>
      <c r="BG19" s="74"/>
      <c r="BH19" s="74"/>
      <c r="BI19" s="74"/>
      <c r="BJ19" s="74"/>
      <c r="BK19" s="74"/>
      <c r="BL19" s="74"/>
      <c r="BM19" s="74"/>
      <c r="BN19" s="74"/>
      <c r="BO19" s="74"/>
    </row>
    <row r="20" spans="1:67" ht="59.25" customHeight="1" x14ac:dyDescent="0.25">
      <c r="A20" s="603" t="s">
        <v>1187</v>
      </c>
      <c r="B20" s="604" t="s">
        <v>842</v>
      </c>
      <c r="C20" s="605"/>
      <c r="D20" s="572" t="e">
        <f>D6-C6</f>
        <v>#N/A</v>
      </c>
      <c r="E20" s="606" t="e">
        <f>E6-C6</f>
        <v>#VALUE!</v>
      </c>
      <c r="F20" s="74"/>
      <c r="G20" s="344" t="s">
        <v>1187</v>
      </c>
      <c r="H20" s="326" t="s">
        <v>842</v>
      </c>
      <c r="I20" s="373"/>
      <c r="J20" s="607" t="e">
        <f>J6-I6</f>
        <v>#N/A</v>
      </c>
      <c r="K20" s="608" t="e">
        <f>K6-I6</f>
        <v>#N/A</v>
      </c>
      <c r="L20" s="373"/>
      <c r="M20" s="607" t="e">
        <f>M6-L6</f>
        <v>#N/A</v>
      </c>
      <c r="N20" s="608" t="e">
        <f>N6-L6</f>
        <v>#N/A</v>
      </c>
      <c r="O20" s="373"/>
      <c r="P20" s="607" t="e">
        <f>P6-O6</f>
        <v>#N/A</v>
      </c>
      <c r="Q20" s="608" t="e">
        <f>Q6-O6</f>
        <v>#N/A</v>
      </c>
      <c r="R20" s="373"/>
      <c r="S20" s="607" t="e">
        <f>S6-R6</f>
        <v>#N/A</v>
      </c>
      <c r="T20" s="609" t="e">
        <f>T6-R6</f>
        <v>#N/A</v>
      </c>
      <c r="U20" s="373"/>
      <c r="V20" s="610" t="e">
        <f>V6-U6</f>
        <v>#N/A</v>
      </c>
      <c r="W20" s="608" t="e">
        <f>W6-U6</f>
        <v>#N/A</v>
      </c>
      <c r="X20" s="611"/>
      <c r="Y20" s="607" t="e">
        <f>Y6-X6</f>
        <v>#N/A</v>
      </c>
      <c r="Z20" s="608" t="e">
        <f>Z6-X6</f>
        <v>#N/A</v>
      </c>
      <c r="AA20" s="373"/>
      <c r="AB20" s="607" t="e">
        <f>AB6-AA6</f>
        <v>#N/A</v>
      </c>
      <c r="AC20" s="612" t="e">
        <f>AC6-AA6</f>
        <v>#N/A</v>
      </c>
      <c r="AD20" s="373"/>
      <c r="AE20" s="607" t="e">
        <f>AE6-AD6</f>
        <v>#N/A</v>
      </c>
      <c r="AF20" s="612" t="e">
        <f>AF6-AD6</f>
        <v>#N/A</v>
      </c>
      <c r="AG20" s="373"/>
      <c r="AH20" s="610" t="e">
        <f>AH6-AG6</f>
        <v>#N/A</v>
      </c>
      <c r="AI20" s="608" t="e">
        <f>AI6-AG6</f>
        <v>#N/A</v>
      </c>
      <c r="AJ20" s="373"/>
      <c r="AK20" s="610" t="e">
        <f>AK6-AJ6</f>
        <v>#N/A</v>
      </c>
      <c r="AL20" s="608" t="e">
        <f>AL6-AJ6</f>
        <v>#N/A</v>
      </c>
      <c r="AM20" s="374"/>
      <c r="AN20" s="607" t="e">
        <f>AN6-AM6</f>
        <v>#N/A</v>
      </c>
      <c r="AO20" s="608" t="e">
        <f>AO6-AM6</f>
        <v>#N/A</v>
      </c>
      <c r="AP20" s="373"/>
      <c r="AQ20" s="607" t="e">
        <f>AQ6-AP6</f>
        <v>#N/A</v>
      </c>
      <c r="AR20" s="608" t="e">
        <f>AR6-AP6</f>
        <v>#N/A</v>
      </c>
      <c r="AS20" s="74"/>
      <c r="AT20" s="74"/>
      <c r="AU20" s="74"/>
      <c r="AV20" s="74"/>
      <c r="AW20" s="74"/>
      <c r="AX20" s="74"/>
      <c r="AY20" s="74"/>
      <c r="AZ20" s="74"/>
      <c r="BA20" s="74"/>
      <c r="BB20" s="74"/>
      <c r="BC20" s="74"/>
      <c r="BD20" s="74"/>
      <c r="BE20" s="74"/>
      <c r="BF20" s="74"/>
      <c r="BG20" s="74"/>
      <c r="BH20" s="74"/>
      <c r="BI20" s="74"/>
      <c r="BJ20" s="74"/>
      <c r="BK20" s="74"/>
      <c r="BL20" s="74"/>
      <c r="BM20" s="74"/>
      <c r="BN20" s="74"/>
      <c r="BO20" s="74"/>
    </row>
    <row r="21" spans="1:67" x14ac:dyDescent="0.25">
      <c r="A21" s="358" t="s">
        <v>874</v>
      </c>
      <c r="B21" s="359" t="s">
        <v>1180</v>
      </c>
      <c r="C21" s="378"/>
      <c r="D21" s="613" t="e">
        <f>D20*0.123/1000</f>
        <v>#N/A</v>
      </c>
      <c r="E21" s="613" t="e">
        <f>E20*0.123/1000</f>
        <v>#VALUE!</v>
      </c>
      <c r="F21" s="74"/>
      <c r="G21" s="539" t="s">
        <v>874</v>
      </c>
      <c r="H21" s="540" t="s">
        <v>1180</v>
      </c>
      <c r="I21" s="614"/>
      <c r="J21" s="313" t="e">
        <f>J20*0.123/1000</f>
        <v>#N/A</v>
      </c>
      <c r="K21" s="615" t="e">
        <f>K20*0.123/1000</f>
        <v>#N/A</v>
      </c>
      <c r="L21" s="614"/>
      <c r="M21" s="313" t="e">
        <f>M20*0.123/1000</f>
        <v>#N/A</v>
      </c>
      <c r="N21" s="615" t="e">
        <f>N20*0.123/1000</f>
        <v>#N/A</v>
      </c>
      <c r="O21" s="614"/>
      <c r="P21" s="313" t="e">
        <f>P20*0.123/1000</f>
        <v>#N/A</v>
      </c>
      <c r="Q21" s="615" t="e">
        <f>Q20*0.123/1000</f>
        <v>#N/A</v>
      </c>
      <c r="R21" s="614"/>
      <c r="S21" s="313" t="e">
        <f>S20*0.123/1000</f>
        <v>#N/A</v>
      </c>
      <c r="T21" s="616" t="e">
        <f>T20*0.123/1000</f>
        <v>#N/A</v>
      </c>
      <c r="U21" s="614"/>
      <c r="V21" s="313" t="e">
        <f>V20*0.123/1000</f>
        <v>#N/A</v>
      </c>
      <c r="W21" s="615" t="e">
        <f>W20*0.123/1000</f>
        <v>#N/A</v>
      </c>
      <c r="X21" s="617"/>
      <c r="Y21" s="313" t="e">
        <f>Y20*0.123/1000</f>
        <v>#N/A</v>
      </c>
      <c r="Z21" s="615" t="e">
        <f>Z20*0.123/1000</f>
        <v>#N/A</v>
      </c>
      <c r="AA21" s="614"/>
      <c r="AB21" s="313" t="e">
        <f>AB20*0.123/1000</f>
        <v>#N/A</v>
      </c>
      <c r="AC21" s="615" t="e">
        <f>AC20*0.123/1000</f>
        <v>#N/A</v>
      </c>
      <c r="AD21" s="614"/>
      <c r="AE21" s="313" t="e">
        <f>AE20*0.123/1000</f>
        <v>#N/A</v>
      </c>
      <c r="AF21" s="615" t="e">
        <f>AF20*0.123/1000</f>
        <v>#N/A</v>
      </c>
      <c r="AG21" s="614"/>
      <c r="AH21" s="313" t="e">
        <f>AH20*0.123/1000</f>
        <v>#N/A</v>
      </c>
      <c r="AI21" s="615" t="e">
        <f>AI20*0.123/1000</f>
        <v>#N/A</v>
      </c>
      <c r="AJ21" s="614"/>
      <c r="AK21" s="313" t="e">
        <f>AK20*0.123/1000</f>
        <v>#N/A</v>
      </c>
      <c r="AL21" s="615" t="e">
        <f>AL20*0.123/1000</f>
        <v>#N/A</v>
      </c>
      <c r="AM21" s="618"/>
      <c r="AN21" s="313" t="e">
        <f>AN20*0.123/1000</f>
        <v>#N/A</v>
      </c>
      <c r="AO21" s="615" t="e">
        <f>AO20*0.123/1000</f>
        <v>#N/A</v>
      </c>
      <c r="AP21" s="614"/>
      <c r="AQ21" s="313" t="e">
        <f>AQ20*0.123/1000</f>
        <v>#N/A</v>
      </c>
      <c r="AR21" s="619" t="e">
        <f>AR20*0.123/1000</f>
        <v>#N/A</v>
      </c>
      <c r="AS21" s="74"/>
      <c r="AT21" s="74"/>
      <c r="AU21" s="74"/>
      <c r="AV21" s="74"/>
      <c r="AW21" s="74"/>
      <c r="AX21" s="74"/>
      <c r="AY21" s="74"/>
      <c r="AZ21" s="74"/>
      <c r="BA21" s="74"/>
      <c r="BB21" s="74"/>
      <c r="BC21" s="74"/>
      <c r="BD21" s="74"/>
      <c r="BE21" s="74"/>
      <c r="BF21" s="74"/>
      <c r="BG21" s="74"/>
      <c r="BH21" s="74"/>
      <c r="BI21" s="74"/>
      <c r="BJ21" s="74"/>
      <c r="BK21" s="74"/>
      <c r="BL21" s="74"/>
      <c r="BM21" s="74"/>
      <c r="BN21" s="74"/>
      <c r="BO21" s="74"/>
    </row>
    <row r="22" spans="1:67" ht="15.75" thickBot="1" x14ac:dyDescent="0.3">
      <c r="A22" s="385" t="s">
        <v>874</v>
      </c>
      <c r="B22" s="359" t="s">
        <v>1181</v>
      </c>
      <c r="C22" s="620"/>
      <c r="D22" s="621" t="e">
        <f>(D20/C6)*100</f>
        <v>#N/A</v>
      </c>
      <c r="E22" s="621" t="e">
        <f>(E20/C6)*100</f>
        <v>#VALUE!</v>
      </c>
      <c r="F22" s="74"/>
      <c r="G22" s="544" t="s">
        <v>874</v>
      </c>
      <c r="H22" s="545" t="s">
        <v>1181</v>
      </c>
      <c r="I22" s="622"/>
      <c r="J22" s="623" t="e">
        <f>(J20/I6)*100</f>
        <v>#N/A</v>
      </c>
      <c r="K22" s="624" t="e">
        <f>(K20/I6)*100</f>
        <v>#N/A</v>
      </c>
      <c r="L22" s="622"/>
      <c r="M22" s="623" t="e">
        <f>(M20/L6)*100</f>
        <v>#N/A</v>
      </c>
      <c r="N22" s="624" t="e">
        <f>(N20/L6)*100</f>
        <v>#N/A</v>
      </c>
      <c r="O22" s="622"/>
      <c r="P22" s="623" t="e">
        <f>(P20/O6)*100</f>
        <v>#N/A</v>
      </c>
      <c r="Q22" s="624" t="e">
        <f>(Q20/O6)*100</f>
        <v>#N/A</v>
      </c>
      <c r="R22" s="622"/>
      <c r="S22" s="623" t="e">
        <f>(S20/R6)*100</f>
        <v>#N/A</v>
      </c>
      <c r="T22" s="625" t="e">
        <f>(T20/R6)*100</f>
        <v>#N/A</v>
      </c>
      <c r="U22" s="620"/>
      <c r="V22" s="621" t="e">
        <f>(V20/U6)*100</f>
        <v>#N/A</v>
      </c>
      <c r="W22" s="626" t="e">
        <f>(W20/U6)*100</f>
        <v>#N/A</v>
      </c>
      <c r="X22" s="627"/>
      <c r="Y22" s="628" t="e">
        <f>(Y20/X6)*100</f>
        <v>#N/A</v>
      </c>
      <c r="Z22" s="629" t="e">
        <f>(Z20/X6)*100</f>
        <v>#N/A</v>
      </c>
      <c r="AA22" s="622"/>
      <c r="AB22" s="623" t="e">
        <f>(AB20/AA6)*100</f>
        <v>#N/A</v>
      </c>
      <c r="AC22" s="624" t="e">
        <f>(AC20/AA6)*100</f>
        <v>#N/A</v>
      </c>
      <c r="AD22" s="622"/>
      <c r="AE22" s="623" t="e">
        <f>(AE20/AD6)*100</f>
        <v>#N/A</v>
      </c>
      <c r="AF22" s="624" t="e">
        <f>(AF20/AD6)*100</f>
        <v>#N/A</v>
      </c>
      <c r="AG22" s="622"/>
      <c r="AH22" s="623" t="e">
        <f>(AH20/AG6)*100</f>
        <v>#N/A</v>
      </c>
      <c r="AI22" s="624" t="e">
        <f>(AI20/AG6)*100</f>
        <v>#N/A</v>
      </c>
      <c r="AJ22" s="622"/>
      <c r="AK22" s="623" t="e">
        <f>(AK20/AJ6)*100</f>
        <v>#N/A</v>
      </c>
      <c r="AL22" s="624" t="e">
        <f>(AL20/AJ6)*100</f>
        <v>#N/A</v>
      </c>
      <c r="AM22" s="630"/>
      <c r="AN22" s="628" t="e">
        <f>(AN20/AM6)*100</f>
        <v>#N/A</v>
      </c>
      <c r="AO22" s="629" t="e">
        <f>(AO20/AM6)*100</f>
        <v>#N/A</v>
      </c>
      <c r="AP22" s="622"/>
      <c r="AQ22" s="623" t="e">
        <f>(AQ20/AP6)*100</f>
        <v>#N/A</v>
      </c>
      <c r="AR22" s="624" t="e">
        <f>(AR20/AP6)*100</f>
        <v>#N/A</v>
      </c>
      <c r="AS22" s="74"/>
      <c r="AT22" s="74"/>
      <c r="AU22" s="74"/>
      <c r="AV22" s="74"/>
      <c r="AW22" s="74"/>
      <c r="AX22" s="74"/>
      <c r="AY22" s="74"/>
      <c r="AZ22" s="74"/>
      <c r="BA22" s="74"/>
      <c r="BB22" s="74"/>
      <c r="BC22" s="74"/>
      <c r="BD22" s="74"/>
      <c r="BE22" s="74"/>
      <c r="BF22" s="74"/>
      <c r="BG22" s="74"/>
      <c r="BH22" s="74"/>
      <c r="BI22" s="74"/>
      <c r="BJ22" s="74"/>
      <c r="BK22" s="74"/>
      <c r="BL22" s="74"/>
      <c r="BM22" s="74"/>
      <c r="BN22" s="74"/>
      <c r="BO22" s="74"/>
    </row>
    <row r="23" spans="1:67" ht="24" customHeight="1" x14ac:dyDescent="0.25">
      <c r="A23" s="631" t="s">
        <v>1189</v>
      </c>
      <c r="B23" s="523" t="s">
        <v>1346</v>
      </c>
      <c r="C23" s="524" t="e">
        <f>C6/('Ввод исходных данных'!$G$45+'Ввод исходных данных'!$D$23)</f>
        <v>#N/A</v>
      </c>
      <c r="D23" s="632" t="e">
        <f>D6/('Ввод исходных данных'!$G$45+'Ввод исходных данных'!$D$23)</f>
        <v>#DIV/0!</v>
      </c>
      <c r="E23" s="556" t="e">
        <f>E6/('Ввод исходных данных'!$G$45+'Ввод исходных данных'!$D$23)</f>
        <v>#VALUE!</v>
      </c>
      <c r="F23" s="74"/>
      <c r="G23" s="344"/>
      <c r="H23" s="633"/>
      <c r="I23" s="335"/>
      <c r="J23" s="607"/>
      <c r="K23" s="634"/>
      <c r="L23" s="335"/>
      <c r="M23" s="607"/>
      <c r="N23" s="634"/>
      <c r="O23" s="335"/>
      <c r="P23" s="607"/>
      <c r="Q23" s="634"/>
      <c r="R23" s="335"/>
      <c r="S23" s="607"/>
      <c r="T23" s="634"/>
      <c r="U23" s="335"/>
      <c r="V23" s="607"/>
      <c r="W23" s="634"/>
      <c r="X23" s="335"/>
      <c r="Y23" s="607"/>
      <c r="Z23" s="634"/>
      <c r="AA23" s="335"/>
      <c r="AB23" s="607"/>
      <c r="AC23" s="634"/>
      <c r="AD23" s="335"/>
      <c r="AE23" s="607"/>
      <c r="AF23" s="634"/>
      <c r="AG23" s="335"/>
      <c r="AH23" s="607"/>
      <c r="AI23" s="634"/>
      <c r="AJ23" s="335"/>
      <c r="AK23" s="607"/>
      <c r="AL23" s="634"/>
      <c r="AM23" s="335"/>
      <c r="AN23" s="607"/>
      <c r="AO23" s="634"/>
      <c r="AP23" s="335"/>
      <c r="AQ23" s="607"/>
      <c r="AR23" s="634"/>
      <c r="AS23" s="74"/>
      <c r="AT23" s="74"/>
      <c r="AU23" s="74"/>
      <c r="AV23" s="74"/>
      <c r="AW23" s="74"/>
      <c r="AX23" s="74"/>
      <c r="AY23" s="74"/>
      <c r="AZ23" s="74"/>
      <c r="BA23" s="74"/>
      <c r="BB23" s="74"/>
      <c r="BC23" s="74"/>
      <c r="BD23" s="74"/>
      <c r="BE23" s="74"/>
      <c r="BF23" s="74"/>
      <c r="BG23" s="74"/>
      <c r="BH23" s="74"/>
      <c r="BI23" s="74"/>
      <c r="BJ23" s="74"/>
      <c r="BK23" s="74"/>
      <c r="BL23" s="74"/>
      <c r="BM23" s="74"/>
      <c r="BN23" s="74"/>
      <c r="BO23" s="74"/>
    </row>
    <row r="24" spans="1:67" ht="15.75" thickBot="1" x14ac:dyDescent="0.3">
      <c r="A24" s="635" t="s">
        <v>874</v>
      </c>
      <c r="B24" s="386" t="s">
        <v>1191</v>
      </c>
      <c r="C24" s="636" t="e">
        <f>C7*1000/('Ввод исходных данных'!$G$45+'Ввод исходных данных'!$G$23)</f>
        <v>#N/A</v>
      </c>
      <c r="D24" s="637" t="e">
        <f>0.123*D23</f>
        <v>#DIV/0!</v>
      </c>
      <c r="E24" s="638" t="e">
        <f>0.123*E23</f>
        <v>#VALUE!</v>
      </c>
      <c r="F24" s="74"/>
      <c r="G24" s="385"/>
      <c r="H24" s="639"/>
      <c r="I24" s="640"/>
      <c r="J24" s="641"/>
      <c r="K24" s="642"/>
      <c r="L24" s="643"/>
      <c r="M24" s="641"/>
      <c r="N24" s="642"/>
      <c r="O24" s="643"/>
      <c r="P24" s="641"/>
      <c r="Q24" s="642"/>
      <c r="R24" s="640"/>
      <c r="S24" s="641"/>
      <c r="T24" s="642"/>
      <c r="U24" s="640"/>
      <c r="V24" s="641"/>
      <c r="W24" s="642"/>
      <c r="X24" s="643"/>
      <c r="Y24" s="641"/>
      <c r="Z24" s="642"/>
      <c r="AA24" s="643"/>
      <c r="AB24" s="641"/>
      <c r="AC24" s="642"/>
      <c r="AD24" s="643"/>
      <c r="AE24" s="641"/>
      <c r="AF24" s="642"/>
      <c r="AG24" s="643"/>
      <c r="AH24" s="641"/>
      <c r="AI24" s="642"/>
      <c r="AJ24" s="643"/>
      <c r="AK24" s="641"/>
      <c r="AL24" s="642"/>
      <c r="AM24" s="643"/>
      <c r="AN24" s="641"/>
      <c r="AO24" s="642"/>
      <c r="AP24" s="643"/>
      <c r="AQ24" s="641"/>
      <c r="AR24" s="642"/>
      <c r="AS24" s="74"/>
      <c r="AT24" s="74"/>
      <c r="AU24" s="74"/>
      <c r="AV24" s="74"/>
      <c r="AW24" s="74"/>
      <c r="AX24" s="74"/>
      <c r="AY24" s="74"/>
      <c r="AZ24" s="74"/>
      <c r="BA24" s="74"/>
      <c r="BB24" s="74"/>
      <c r="BC24" s="74"/>
      <c r="BD24" s="74"/>
      <c r="BE24" s="74"/>
      <c r="BF24" s="74"/>
      <c r="BG24" s="74"/>
      <c r="BH24" s="74"/>
      <c r="BI24" s="74"/>
      <c r="BJ24" s="74"/>
      <c r="BK24" s="74"/>
      <c r="BL24" s="74"/>
      <c r="BM24" s="74"/>
      <c r="BN24" s="74"/>
      <c r="BO24" s="74"/>
    </row>
    <row r="25" spans="1:67" x14ac:dyDescent="0.25">
      <c r="A25" s="74"/>
      <c r="B25" s="74"/>
      <c r="C25" s="74"/>
      <c r="D25" s="74"/>
      <c r="E25" s="74"/>
      <c r="F25" s="74"/>
      <c r="G25" s="74"/>
      <c r="H25" s="74"/>
      <c r="I25" s="74"/>
      <c r="J25" s="74"/>
      <c r="K25" s="74"/>
      <c r="L25" s="74"/>
      <c r="M25" s="74"/>
      <c r="N25" s="74"/>
      <c r="O25" s="74"/>
      <c r="P25" s="74"/>
      <c r="Q25" s="74"/>
      <c r="R25" s="74"/>
      <c r="S25" s="74"/>
      <c r="T25" s="74"/>
      <c r="U25" s="74"/>
      <c r="V25" s="74"/>
      <c r="W25" s="74"/>
      <c r="X25" s="74"/>
      <c r="Y25" s="74"/>
      <c r="Z25" s="74"/>
      <c r="AA25" s="74"/>
      <c r="AB25" s="74"/>
      <c r="AC25" s="74"/>
      <c r="AD25" s="74"/>
      <c r="AE25" s="74"/>
      <c r="AF25" s="74"/>
      <c r="AG25" s="74"/>
      <c r="AH25" s="74"/>
      <c r="AI25" s="74"/>
      <c r="AJ25" s="74"/>
      <c r="AK25" s="74"/>
      <c r="AL25" s="74"/>
      <c r="AM25" s="74"/>
      <c r="AN25" s="74"/>
      <c r="AO25" s="74"/>
      <c r="AP25" s="74"/>
      <c r="AQ25" s="74"/>
      <c r="AR25" s="74"/>
      <c r="AS25" s="74"/>
      <c r="AT25" s="74"/>
      <c r="AU25" s="74"/>
      <c r="AV25" s="74"/>
      <c r="AW25" s="74"/>
      <c r="AX25" s="74"/>
      <c r="AY25" s="74"/>
      <c r="AZ25" s="74"/>
      <c r="BA25" s="74"/>
      <c r="BB25" s="74"/>
      <c r="BC25" s="74"/>
      <c r="BD25" s="74"/>
      <c r="BE25" s="74"/>
      <c r="BF25" s="74"/>
      <c r="BG25" s="74"/>
      <c r="BH25" s="74"/>
      <c r="BI25" s="74"/>
      <c r="BJ25" s="74"/>
      <c r="BK25" s="74"/>
      <c r="BL25" s="74"/>
      <c r="BM25" s="74"/>
      <c r="BN25" s="74"/>
      <c r="BO25" s="74"/>
    </row>
    <row r="26" spans="1:67" ht="10.5" customHeight="1" x14ac:dyDescent="0.25">
      <c r="A26" s="74"/>
      <c r="B26" s="74" t="str">
        <f>A12</f>
        <v>Отопление и вентиляция</v>
      </c>
      <c r="C26" s="74" t="str">
        <f>A15</f>
        <v>Горячее водоснабжение</v>
      </c>
      <c r="D26" s="74" t="s">
        <v>1232</v>
      </c>
      <c r="E26" s="74"/>
      <c r="F26" s="74"/>
      <c r="G26" s="74"/>
      <c r="H26" s="74"/>
      <c r="I26" s="74"/>
      <c r="J26" s="74"/>
      <c r="K26" s="74"/>
      <c r="L26" s="74"/>
      <c r="M26" s="74"/>
      <c r="N26" s="74"/>
      <c r="O26" s="74"/>
      <c r="P26" s="74"/>
      <c r="Q26" s="74"/>
      <c r="R26" s="74"/>
      <c r="S26" s="74"/>
      <c r="T26" s="74"/>
      <c r="U26" s="74"/>
      <c r="V26" s="74"/>
      <c r="W26" s="74"/>
      <c r="X26" s="74"/>
      <c r="Y26" s="74"/>
      <c r="Z26" s="74"/>
      <c r="AA26" s="74"/>
      <c r="AB26" s="74"/>
      <c r="AC26" s="74"/>
      <c r="AD26" s="74"/>
      <c r="AE26" s="74"/>
      <c r="AF26" s="74"/>
      <c r="AG26" s="74"/>
      <c r="AH26" s="74"/>
      <c r="AI26" s="74"/>
      <c r="AJ26" s="74"/>
      <c r="AK26" s="74"/>
      <c r="AL26" s="74"/>
      <c r="AM26" s="74"/>
      <c r="AN26" s="74"/>
      <c r="AO26" s="74"/>
      <c r="AP26" s="74"/>
      <c r="AQ26" s="74"/>
      <c r="AR26" s="74"/>
      <c r="AS26" s="74"/>
      <c r="AT26" s="74"/>
      <c r="AU26" s="74"/>
      <c r="AV26" s="74"/>
      <c r="AW26" s="74"/>
      <c r="AX26" s="74"/>
      <c r="AY26" s="74"/>
      <c r="AZ26" s="74"/>
      <c r="BA26" s="74"/>
      <c r="BB26" s="74"/>
      <c r="BC26" s="74"/>
      <c r="BD26" s="74"/>
      <c r="BE26" s="74"/>
      <c r="BF26" s="74"/>
      <c r="BG26" s="74"/>
      <c r="BH26" s="74"/>
      <c r="BI26" s="74"/>
      <c r="BJ26" s="74"/>
      <c r="BK26" s="74"/>
      <c r="BL26" s="74"/>
      <c r="BM26" s="74"/>
      <c r="BN26" s="74"/>
      <c r="BO26" s="74"/>
    </row>
    <row r="27" spans="1:67" ht="10.5" customHeight="1" x14ac:dyDescent="0.25">
      <c r="A27" s="74"/>
      <c r="B27" s="317" t="e">
        <f>C12</f>
        <v>#N/A</v>
      </c>
      <c r="C27" s="317" t="e">
        <f>C15</f>
        <v>#N/A</v>
      </c>
      <c r="D27" s="317" t="e">
        <f>C18</f>
        <v>#VALUE!</v>
      </c>
      <c r="E27" s="74"/>
      <c r="F27" s="74"/>
      <c r="G27" s="74"/>
      <c r="H27" s="74"/>
      <c r="I27" s="74"/>
      <c r="J27" s="74"/>
      <c r="K27" s="74"/>
      <c r="L27" s="74"/>
      <c r="M27" s="74"/>
      <c r="N27" s="74"/>
      <c r="O27" s="74"/>
      <c r="P27" s="74"/>
      <c r="Q27" s="74"/>
      <c r="R27" s="74"/>
      <c r="S27" s="74"/>
      <c r="T27" s="74"/>
      <c r="U27" s="74"/>
      <c r="V27" s="74"/>
      <c r="W27" s="74"/>
      <c r="X27" s="74"/>
      <c r="Y27" s="74"/>
      <c r="Z27" s="74"/>
      <c r="AA27" s="74"/>
      <c r="AB27" s="74"/>
      <c r="AC27" s="74"/>
      <c r="AD27" s="74"/>
      <c r="AE27" s="74"/>
      <c r="AF27" s="74"/>
      <c r="AG27" s="74"/>
      <c r="AH27" s="74"/>
      <c r="AI27" s="74"/>
      <c r="AJ27" s="74"/>
      <c r="AK27" s="74"/>
      <c r="AL27" s="74"/>
      <c r="AM27" s="74"/>
      <c r="AN27" s="74"/>
      <c r="AO27" s="74"/>
      <c r="AP27" s="74"/>
      <c r="AQ27" s="74"/>
      <c r="AR27" s="74"/>
      <c r="AS27" s="74"/>
      <c r="AT27" s="74"/>
      <c r="AU27" s="74"/>
      <c r="AV27" s="74"/>
      <c r="AW27" s="74"/>
      <c r="AX27" s="74"/>
      <c r="AY27" s="74"/>
      <c r="AZ27" s="74"/>
      <c r="BA27" s="74"/>
      <c r="BB27" s="74"/>
      <c r="BC27" s="74"/>
      <c r="BD27" s="74"/>
      <c r="BE27" s="74"/>
      <c r="BF27" s="74"/>
      <c r="BG27" s="74"/>
      <c r="BH27" s="74"/>
      <c r="BI27" s="74"/>
      <c r="BJ27" s="74"/>
      <c r="BK27" s="74"/>
      <c r="BL27" s="74"/>
      <c r="BM27" s="74"/>
      <c r="BN27" s="74"/>
      <c r="BO27" s="74"/>
    </row>
    <row r="28" spans="1:67" ht="10.5" customHeight="1" x14ac:dyDescent="0.25">
      <c r="A28" s="74"/>
      <c r="B28" s="317">
        <f>D12</f>
        <v>0</v>
      </c>
      <c r="C28" s="317">
        <f>D15</f>
        <v>0</v>
      </c>
      <c r="D28" s="317">
        <f>D18</f>
        <v>0</v>
      </c>
      <c r="E28" s="74"/>
      <c r="F28" s="74"/>
      <c r="G28" s="74"/>
      <c r="H28" s="74"/>
      <c r="I28" s="74"/>
      <c r="J28" s="74"/>
      <c r="K28" s="74"/>
      <c r="L28" s="74"/>
      <c r="M28" s="74"/>
      <c r="N28" s="74"/>
      <c r="O28" s="74"/>
      <c r="P28" s="74"/>
      <c r="Q28" s="74"/>
      <c r="R28" s="74"/>
      <c r="S28" s="74"/>
      <c r="T28" s="74"/>
      <c r="U28" s="74"/>
      <c r="V28" s="74"/>
      <c r="W28" s="74"/>
      <c r="X28" s="74"/>
      <c r="Y28" s="74"/>
      <c r="Z28" s="74"/>
      <c r="AA28" s="74"/>
      <c r="AB28" s="74"/>
      <c r="AC28" s="74"/>
      <c r="AD28" s="74"/>
      <c r="AE28" s="74"/>
      <c r="AF28" s="74"/>
      <c r="AG28" s="74"/>
      <c r="AH28" s="74"/>
      <c r="AI28" s="74"/>
      <c r="AJ28" s="74"/>
      <c r="AK28" s="74"/>
      <c r="AL28" s="74"/>
      <c r="AM28" s="74"/>
      <c r="AN28" s="74"/>
      <c r="AO28" s="74"/>
      <c r="AP28" s="74"/>
      <c r="AQ28" s="74"/>
      <c r="AR28" s="74"/>
      <c r="AS28" s="74"/>
      <c r="AT28" s="74"/>
      <c r="AU28" s="74"/>
      <c r="AV28" s="74"/>
      <c r="AW28" s="74"/>
      <c r="AX28" s="74"/>
      <c r="AY28" s="74"/>
      <c r="AZ28" s="74"/>
      <c r="BA28" s="74"/>
      <c r="BB28" s="74"/>
      <c r="BC28" s="74"/>
      <c r="BD28" s="74"/>
      <c r="BE28" s="74"/>
      <c r="BF28" s="74"/>
      <c r="BG28" s="74"/>
      <c r="BH28" s="74"/>
      <c r="BI28" s="74"/>
      <c r="BJ28" s="74"/>
      <c r="BK28" s="74"/>
      <c r="BL28" s="74"/>
      <c r="BM28" s="74"/>
      <c r="BN28" s="74"/>
      <c r="BO28" s="74"/>
    </row>
    <row r="29" spans="1:67" ht="10.5" customHeight="1" x14ac:dyDescent="0.25">
      <c r="A29" s="74"/>
      <c r="B29" s="317" t="e">
        <f>E12</f>
        <v>#VALUE!</v>
      </c>
      <c r="C29" s="317">
        <f>E15</f>
        <v>0</v>
      </c>
      <c r="D29" s="317">
        <f>E18</f>
        <v>0</v>
      </c>
      <c r="E29" s="74"/>
      <c r="F29" s="74"/>
      <c r="G29" s="74"/>
      <c r="H29" s="74"/>
      <c r="I29" s="74"/>
      <c r="J29" s="74"/>
      <c r="K29" s="74"/>
      <c r="L29" s="74"/>
      <c r="M29" s="74"/>
      <c r="N29" s="74"/>
      <c r="O29" s="74"/>
      <c r="P29" s="74"/>
      <c r="Q29" s="74"/>
      <c r="R29" s="74"/>
      <c r="S29" s="74"/>
      <c r="T29" s="74"/>
      <c r="U29" s="74"/>
      <c r="V29" s="74"/>
      <c r="W29" s="74"/>
      <c r="X29" s="74"/>
      <c r="Y29" s="74"/>
      <c r="Z29" s="74"/>
      <c r="AA29" s="74"/>
      <c r="AB29" s="74"/>
      <c r="AC29" s="74"/>
      <c r="AD29" s="74"/>
      <c r="AE29" s="74"/>
      <c r="AF29" s="74"/>
      <c r="AG29" s="74"/>
      <c r="AH29" s="74"/>
      <c r="AI29" s="74"/>
      <c r="AJ29" s="74"/>
      <c r="AK29" s="74"/>
      <c r="AL29" s="74"/>
      <c r="AM29" s="74"/>
      <c r="AN29" s="74"/>
      <c r="AO29" s="74"/>
      <c r="AP29" s="74"/>
      <c r="AQ29" s="74"/>
      <c r="AR29" s="74"/>
      <c r="AS29" s="74"/>
      <c r="AT29" s="74"/>
      <c r="AU29" s="74"/>
      <c r="AV29" s="74"/>
      <c r="AW29" s="74"/>
      <c r="AX29" s="74"/>
      <c r="AY29" s="74"/>
      <c r="AZ29" s="74"/>
      <c r="BA29" s="74"/>
      <c r="BB29" s="74"/>
      <c r="BC29" s="74"/>
      <c r="BD29" s="74"/>
      <c r="BE29" s="74"/>
      <c r="BF29" s="74"/>
      <c r="BG29" s="74"/>
      <c r="BH29" s="74"/>
      <c r="BI29" s="74"/>
      <c r="BJ29" s="74"/>
      <c r="BK29" s="74"/>
      <c r="BL29" s="74"/>
      <c r="BM29" s="74"/>
      <c r="BN29" s="74"/>
      <c r="BO29" s="74"/>
    </row>
    <row r="30" spans="1:67" ht="275.25" customHeight="1" x14ac:dyDescent="0.25">
      <c r="A30" s="74"/>
      <c r="B30" s="317"/>
      <c r="C30" s="317"/>
      <c r="D30" s="317"/>
      <c r="E30" s="74"/>
      <c r="F30" s="74"/>
      <c r="G30" s="74"/>
      <c r="H30" s="74"/>
      <c r="I30" s="74"/>
      <c r="J30" s="74"/>
      <c r="K30" s="74"/>
      <c r="L30" s="74"/>
      <c r="M30" s="74"/>
      <c r="N30" s="74"/>
      <c r="O30" s="74"/>
      <c r="P30" s="74"/>
      <c r="Q30" s="74"/>
      <c r="R30" s="74"/>
      <c r="S30" s="74"/>
      <c r="T30" s="74"/>
      <c r="U30" s="74"/>
      <c r="V30" s="74"/>
      <c r="W30" s="74"/>
      <c r="X30" s="74"/>
      <c r="Y30" s="74"/>
      <c r="Z30" s="74"/>
      <c r="AA30" s="74"/>
      <c r="AB30" s="74"/>
      <c r="AC30" s="74"/>
      <c r="AD30" s="74"/>
      <c r="AE30" s="74"/>
      <c r="AF30" s="74"/>
      <c r="AG30" s="74"/>
      <c r="AH30" s="74"/>
      <c r="AI30" s="74"/>
      <c r="AJ30" s="74"/>
      <c r="AK30" s="74"/>
      <c r="AL30" s="74"/>
      <c r="AM30" s="74"/>
      <c r="AN30" s="74"/>
      <c r="AO30" s="74"/>
      <c r="AP30" s="74"/>
      <c r="AQ30" s="74"/>
      <c r="AR30" s="74"/>
      <c r="AS30" s="74"/>
      <c r="AT30" s="74"/>
      <c r="AU30" s="74"/>
      <c r="AV30" s="74"/>
      <c r="AW30" s="74"/>
      <c r="AX30" s="74"/>
      <c r="AY30" s="74"/>
      <c r="AZ30" s="74"/>
      <c r="BA30" s="74"/>
      <c r="BB30" s="74"/>
      <c r="BC30" s="74"/>
      <c r="BD30" s="74"/>
      <c r="BE30" s="74"/>
      <c r="BF30" s="74"/>
      <c r="BG30" s="74"/>
      <c r="BH30" s="74"/>
      <c r="BI30" s="74"/>
      <c r="BJ30" s="74"/>
      <c r="BK30" s="74"/>
      <c r="BL30" s="74"/>
      <c r="BM30" s="74"/>
      <c r="BN30" s="74"/>
      <c r="BO30" s="74"/>
    </row>
    <row r="31" spans="1:67" ht="15" customHeight="1" x14ac:dyDescent="0.25">
      <c r="A31" s="74"/>
      <c r="B31" s="74"/>
      <c r="C31" s="74"/>
      <c r="D31" s="74"/>
      <c r="E31" s="74"/>
      <c r="F31" s="74"/>
      <c r="G31" s="74"/>
      <c r="H31" s="74"/>
      <c r="I31" s="74"/>
      <c r="J31" s="74"/>
      <c r="K31" s="74"/>
      <c r="L31" s="74"/>
      <c r="M31" s="74"/>
      <c r="N31" s="74"/>
      <c r="O31" s="74"/>
      <c r="P31" s="74"/>
      <c r="Q31" s="74"/>
      <c r="R31" s="74"/>
      <c r="S31" s="74"/>
      <c r="T31" s="74"/>
      <c r="U31" s="74"/>
      <c r="V31" s="74"/>
      <c r="W31" s="74"/>
      <c r="X31" s="74"/>
      <c r="Y31" s="74"/>
      <c r="Z31" s="74"/>
      <c r="AA31" s="74"/>
      <c r="AB31" s="74"/>
      <c r="AC31" s="74"/>
      <c r="AD31" s="74"/>
      <c r="AE31" s="74"/>
      <c r="AF31" s="74"/>
      <c r="AG31" s="74"/>
      <c r="AH31" s="74"/>
      <c r="AI31" s="74"/>
      <c r="AJ31" s="74"/>
      <c r="AK31" s="74"/>
      <c r="AL31" s="74"/>
      <c r="AM31" s="74"/>
      <c r="AN31" s="74"/>
      <c r="AO31" s="74"/>
      <c r="AP31" s="74"/>
      <c r="AQ31" s="74"/>
      <c r="AR31" s="74"/>
      <c r="AS31" s="74"/>
      <c r="AT31" s="74"/>
      <c r="AU31" s="74"/>
      <c r="AV31" s="74"/>
      <c r="AW31" s="74"/>
      <c r="AX31" s="74"/>
      <c r="AY31" s="74"/>
      <c r="AZ31" s="74"/>
      <c r="BA31" s="74"/>
      <c r="BB31" s="74"/>
      <c r="BC31" s="74"/>
      <c r="BD31" s="74"/>
      <c r="BE31" s="74"/>
      <c r="BF31" s="74"/>
      <c r="BG31" s="74"/>
      <c r="BH31" s="74"/>
      <c r="BI31" s="74"/>
      <c r="BJ31" s="74"/>
      <c r="BK31" s="74"/>
      <c r="BL31" s="74"/>
      <c r="BM31" s="74"/>
      <c r="BN31" s="74"/>
      <c r="BO31" s="74"/>
    </row>
    <row r="32" spans="1:67" ht="15" customHeight="1" thickBot="1" x14ac:dyDescent="0.3">
      <c r="A32" s="1785" t="s">
        <v>1192</v>
      </c>
      <c r="B32" s="1785"/>
      <c r="C32" s="1785"/>
      <c r="D32" s="1785"/>
      <c r="F32" s="74"/>
      <c r="G32" s="318" t="s">
        <v>1193</v>
      </c>
      <c r="H32" s="318"/>
      <c r="I32" s="318"/>
      <c r="J32" s="318"/>
      <c r="P32" s="74"/>
      <c r="Q32" s="74"/>
      <c r="R32" s="74"/>
      <c r="S32" s="74"/>
      <c r="T32" s="74"/>
      <c r="U32" s="74"/>
      <c r="V32" s="74"/>
      <c r="W32" s="74"/>
      <c r="X32" s="74"/>
      <c r="Y32" s="74"/>
      <c r="Z32" s="74"/>
      <c r="AA32" s="74"/>
      <c r="AB32" s="74"/>
      <c r="AC32" s="74"/>
      <c r="AD32" s="74"/>
      <c r="AE32" s="74"/>
      <c r="AF32" s="74"/>
      <c r="AG32" s="74"/>
      <c r="AH32" s="74"/>
      <c r="AI32" s="74"/>
      <c r="AJ32" s="74"/>
      <c r="AK32" s="74"/>
      <c r="AL32" s="74"/>
      <c r="AM32" s="74"/>
      <c r="AN32" s="74"/>
      <c r="AO32" s="74"/>
      <c r="AP32" s="74"/>
      <c r="AQ32" s="74"/>
      <c r="AR32" s="74"/>
      <c r="AS32" s="74"/>
      <c r="AT32" s="74"/>
      <c r="AU32" s="74"/>
      <c r="AV32" s="74"/>
      <c r="AW32" s="74"/>
      <c r="AX32" s="74"/>
      <c r="AY32" s="74"/>
      <c r="AZ32" s="74"/>
      <c r="BA32" s="74"/>
      <c r="BB32" s="74"/>
      <c r="BC32" s="74"/>
      <c r="BD32" s="74"/>
      <c r="BE32" s="74"/>
      <c r="BF32" s="74"/>
      <c r="BG32" s="74"/>
      <c r="BH32" s="74"/>
      <c r="BI32" s="74"/>
      <c r="BJ32" s="74"/>
      <c r="BK32" s="74"/>
      <c r="BL32" s="74"/>
      <c r="BM32" s="74"/>
      <c r="BN32" s="74"/>
      <c r="BO32" s="74"/>
    </row>
    <row r="33" spans="1:67" ht="24" customHeight="1" x14ac:dyDescent="0.25">
      <c r="A33" s="1799" t="s">
        <v>834</v>
      </c>
      <c r="B33" s="1791" t="s">
        <v>1174</v>
      </c>
      <c r="C33" s="1768" t="s">
        <v>1175</v>
      </c>
      <c r="D33" s="1795" t="s">
        <v>1176</v>
      </c>
      <c r="E33" s="1770" t="s">
        <v>1177</v>
      </c>
      <c r="F33" s="74"/>
      <c r="G33" s="1801" t="s">
        <v>834</v>
      </c>
      <c r="H33" s="1797" t="s">
        <v>1174</v>
      </c>
      <c r="I33" s="1765" t="s">
        <v>488</v>
      </c>
      <c r="J33" s="1766"/>
      <c r="K33" s="1767"/>
      <c r="L33" s="1765" t="s">
        <v>489</v>
      </c>
      <c r="M33" s="1766"/>
      <c r="N33" s="1767"/>
      <c r="O33" s="1765" t="s">
        <v>490</v>
      </c>
      <c r="P33" s="1766"/>
      <c r="Q33" s="1767"/>
      <c r="R33" s="1765" t="s">
        <v>491</v>
      </c>
      <c r="S33" s="1766"/>
      <c r="T33" s="1767"/>
      <c r="U33" s="1765" t="s">
        <v>805</v>
      </c>
      <c r="V33" s="1766"/>
      <c r="W33" s="1767"/>
      <c r="X33" s="1765" t="s">
        <v>806</v>
      </c>
      <c r="Y33" s="1766"/>
      <c r="Z33" s="1767"/>
      <c r="AA33" s="1765" t="s">
        <v>807</v>
      </c>
      <c r="AB33" s="1766"/>
      <c r="AC33" s="1767"/>
      <c r="AD33" s="1765" t="s">
        <v>808</v>
      </c>
      <c r="AE33" s="1766"/>
      <c r="AF33" s="1767"/>
      <c r="AG33" s="1765" t="s">
        <v>809</v>
      </c>
      <c r="AH33" s="1766"/>
      <c r="AI33" s="1767"/>
      <c r="AJ33" s="1765" t="s">
        <v>482</v>
      </c>
      <c r="AK33" s="1766"/>
      <c r="AL33" s="1767"/>
      <c r="AM33" s="1765" t="s">
        <v>486</v>
      </c>
      <c r="AN33" s="1766"/>
      <c r="AO33" s="1767"/>
      <c r="AP33" s="1765" t="s">
        <v>487</v>
      </c>
      <c r="AQ33" s="1766"/>
      <c r="AR33" s="1767"/>
      <c r="AS33" s="74"/>
      <c r="AT33" s="74"/>
      <c r="AU33" s="74"/>
      <c r="AV33" s="74"/>
      <c r="AW33" s="74"/>
      <c r="AX33" s="74"/>
      <c r="AY33" s="74"/>
      <c r="AZ33" s="74"/>
      <c r="BA33" s="74"/>
      <c r="BB33" s="74"/>
      <c r="BC33" s="74"/>
      <c r="BD33" s="74"/>
      <c r="BE33" s="74"/>
      <c r="BF33" s="74"/>
      <c r="BG33" s="74"/>
      <c r="BH33" s="74"/>
      <c r="BI33" s="74"/>
      <c r="BJ33" s="74"/>
      <c r="BK33" s="74"/>
      <c r="BL33" s="74"/>
      <c r="BM33" s="74"/>
      <c r="BN33" s="74"/>
      <c r="BO33" s="74"/>
    </row>
    <row r="34" spans="1:67" ht="74.45" customHeight="1" thickBot="1" x14ac:dyDescent="0.3">
      <c r="A34" s="1800"/>
      <c r="B34" s="1792"/>
      <c r="C34" s="1769"/>
      <c r="D34" s="1796"/>
      <c r="E34" s="1771"/>
      <c r="F34" s="74"/>
      <c r="G34" s="1802"/>
      <c r="H34" s="1798"/>
      <c r="I34" s="644" t="s">
        <v>1175</v>
      </c>
      <c r="J34" s="645" t="s">
        <v>1176</v>
      </c>
      <c r="K34" s="646" t="s">
        <v>1179</v>
      </c>
      <c r="L34" s="644" t="s">
        <v>1175</v>
      </c>
      <c r="M34" s="645" t="s">
        <v>1176</v>
      </c>
      <c r="N34" s="646" t="s">
        <v>1179</v>
      </c>
      <c r="O34" s="647" t="s">
        <v>1175</v>
      </c>
      <c r="P34" s="645" t="s">
        <v>1176</v>
      </c>
      <c r="Q34" s="648" t="s">
        <v>1179</v>
      </c>
      <c r="R34" s="644" t="s">
        <v>1175</v>
      </c>
      <c r="S34" s="645" t="s">
        <v>1176</v>
      </c>
      <c r="T34" s="646" t="s">
        <v>1179</v>
      </c>
      <c r="U34" s="647" t="s">
        <v>1175</v>
      </c>
      <c r="V34" s="645" t="s">
        <v>1176</v>
      </c>
      <c r="W34" s="648" t="s">
        <v>1179</v>
      </c>
      <c r="X34" s="644" t="s">
        <v>1175</v>
      </c>
      <c r="Y34" s="645" t="s">
        <v>1176</v>
      </c>
      <c r="Z34" s="646" t="s">
        <v>1179</v>
      </c>
      <c r="AA34" s="647" t="s">
        <v>1175</v>
      </c>
      <c r="AB34" s="645" t="s">
        <v>1176</v>
      </c>
      <c r="AC34" s="648" t="s">
        <v>1179</v>
      </c>
      <c r="AD34" s="644" t="s">
        <v>1175</v>
      </c>
      <c r="AE34" s="645" t="s">
        <v>1176</v>
      </c>
      <c r="AF34" s="646" t="s">
        <v>1179</v>
      </c>
      <c r="AG34" s="647" t="s">
        <v>1175</v>
      </c>
      <c r="AH34" s="645" t="s">
        <v>1176</v>
      </c>
      <c r="AI34" s="648" t="s">
        <v>1179</v>
      </c>
      <c r="AJ34" s="644" t="s">
        <v>1175</v>
      </c>
      <c r="AK34" s="645" t="s">
        <v>1176</v>
      </c>
      <c r="AL34" s="646" t="s">
        <v>1179</v>
      </c>
      <c r="AM34" s="647" t="s">
        <v>1175</v>
      </c>
      <c r="AN34" s="645" t="s">
        <v>1176</v>
      </c>
      <c r="AO34" s="648" t="s">
        <v>1179</v>
      </c>
      <c r="AP34" s="644" t="s">
        <v>1175</v>
      </c>
      <c r="AQ34" s="645" t="s">
        <v>1176</v>
      </c>
      <c r="AR34" s="646" t="s">
        <v>1179</v>
      </c>
      <c r="AS34" s="74"/>
      <c r="AT34" s="74"/>
      <c r="AU34" s="74"/>
      <c r="AV34" s="74"/>
      <c r="AW34" s="74"/>
      <c r="AX34" s="74"/>
      <c r="AY34" s="74"/>
      <c r="AZ34" s="74"/>
      <c r="BA34" s="74"/>
      <c r="BB34" s="74"/>
      <c r="BC34" s="74"/>
      <c r="BD34" s="74"/>
      <c r="BE34" s="74"/>
      <c r="BF34" s="74"/>
      <c r="BG34" s="74"/>
      <c r="BH34" s="74"/>
      <c r="BI34" s="74"/>
      <c r="BJ34" s="74"/>
      <c r="BK34" s="74"/>
      <c r="BL34" s="74"/>
      <c r="BM34" s="74"/>
      <c r="BN34" s="74"/>
      <c r="BO34" s="74"/>
    </row>
    <row r="35" spans="1:67" ht="33.950000000000003" customHeight="1" thickBot="1" x14ac:dyDescent="0.3">
      <c r="A35" s="649" t="s">
        <v>1194</v>
      </c>
      <c r="B35" s="650" t="s">
        <v>842</v>
      </c>
      <c r="C35" s="324" t="e">
        <f>C38+C62+C65+C68-C71</f>
        <v>#N/A</v>
      </c>
      <c r="D35" s="323">
        <f>D36*1163</f>
        <v>0</v>
      </c>
      <c r="E35" s="651" t="e">
        <f>D35*'Ввод исходных данных'!$H$264</f>
        <v>#VALUE!</v>
      </c>
      <c r="F35" s="652"/>
      <c r="G35" s="527" t="s">
        <v>1192</v>
      </c>
      <c r="H35" s="528" t="s">
        <v>842</v>
      </c>
      <c r="I35" s="327" t="e">
        <f>I38+I62+I65+I68-I71</f>
        <v>#N/A</v>
      </c>
      <c r="J35" s="529" t="e">
        <f>J36*1163</f>
        <v>#N/A</v>
      </c>
      <c r="K35" s="653" t="e">
        <f>K36*1163</f>
        <v>#N/A</v>
      </c>
      <c r="L35" s="328" t="e">
        <f>L38+L62+L65+L68-L71</f>
        <v>#N/A</v>
      </c>
      <c r="M35" s="529" t="e">
        <f>M36*1163</f>
        <v>#N/A</v>
      </c>
      <c r="N35" s="653" t="e">
        <f>N36*1163</f>
        <v>#N/A</v>
      </c>
      <c r="O35" s="327" t="e">
        <f>O38+O62+O65+O68-O71</f>
        <v>#N/A</v>
      </c>
      <c r="P35" s="529" t="e">
        <f>P36*1163</f>
        <v>#N/A</v>
      </c>
      <c r="Q35" s="654" t="e">
        <f>Q36*1163</f>
        <v>#N/A</v>
      </c>
      <c r="R35" s="328" t="e">
        <f>R38+R62+R65+R68-R71</f>
        <v>#N/A</v>
      </c>
      <c r="S35" s="653" t="e">
        <f>S36*1163</f>
        <v>#N/A</v>
      </c>
      <c r="T35" s="653" t="e">
        <f>T36*1163</f>
        <v>#N/A</v>
      </c>
      <c r="U35" s="327" t="e">
        <f>U38+U62+U65+U68-U71</f>
        <v>#N/A</v>
      </c>
      <c r="V35" s="529" t="e">
        <f>V36*1163</f>
        <v>#N/A</v>
      </c>
      <c r="W35" s="655" t="e">
        <f>W36*1163</f>
        <v>#N/A</v>
      </c>
      <c r="X35" s="327" t="e">
        <f>X38+X62+X65+X68-X71</f>
        <v>#N/A</v>
      </c>
      <c r="Y35" s="529" t="e">
        <f>Y36*1163</f>
        <v>#N/A</v>
      </c>
      <c r="Z35" s="656" t="e">
        <f>Z36*1163</f>
        <v>#N/A</v>
      </c>
      <c r="AA35" s="327" t="e">
        <f>AA38+AA62+AA65+AA68-AA71</f>
        <v>#N/A</v>
      </c>
      <c r="AB35" s="529" t="e">
        <f>AB36*1163</f>
        <v>#N/A</v>
      </c>
      <c r="AC35" s="656" t="e">
        <f>AC36*1163</f>
        <v>#N/A</v>
      </c>
      <c r="AD35" s="327" t="e">
        <f>AD38+AD62+AD65+AD68-AD71</f>
        <v>#N/A</v>
      </c>
      <c r="AE35" s="529" t="e">
        <f>AE36*1163</f>
        <v>#N/A</v>
      </c>
      <c r="AF35" s="656" t="e">
        <f>AF36*1163</f>
        <v>#N/A</v>
      </c>
      <c r="AG35" s="327" t="e">
        <f>AG38+AG62+AG65+AG68-AG71</f>
        <v>#N/A</v>
      </c>
      <c r="AH35" s="529" t="e">
        <f>AH36*1163</f>
        <v>#N/A</v>
      </c>
      <c r="AI35" s="656" t="e">
        <f>AI36*1163</f>
        <v>#N/A</v>
      </c>
      <c r="AJ35" s="327" t="e">
        <f>AJ38+AJ62+AJ65+AJ68-AJ71</f>
        <v>#N/A</v>
      </c>
      <c r="AK35" s="529" t="e">
        <f>AK36*1163</f>
        <v>#N/A</v>
      </c>
      <c r="AL35" s="654" t="e">
        <f>AL36*1163</f>
        <v>#N/A</v>
      </c>
      <c r="AM35" s="327" t="e">
        <f>AM38+AM62+AM65+AM68-AM71</f>
        <v>#N/A</v>
      </c>
      <c r="AN35" s="529" t="e">
        <f>AN36*1163</f>
        <v>#N/A</v>
      </c>
      <c r="AO35" s="654" t="e">
        <f>AO36*1163</f>
        <v>#N/A</v>
      </c>
      <c r="AP35" s="327" t="e">
        <f>AP38+AP62+AP65+AP68-AP71</f>
        <v>#N/A</v>
      </c>
      <c r="AQ35" s="529" t="e">
        <f>AQ36*1163</f>
        <v>#N/A</v>
      </c>
      <c r="AR35" s="656" t="e">
        <f>AR36*1163</f>
        <v>#N/A</v>
      </c>
      <c r="AS35" s="74"/>
      <c r="AT35" s="657"/>
      <c r="AU35" s="74"/>
      <c r="AV35" s="74"/>
      <c r="AW35" s="74"/>
      <c r="AX35" s="74"/>
      <c r="AY35" s="74"/>
      <c r="AZ35" s="74"/>
      <c r="BA35" s="74"/>
      <c r="BB35" s="74"/>
      <c r="BC35" s="74"/>
      <c r="BD35" s="74"/>
      <c r="BE35" s="74"/>
      <c r="BF35" s="74"/>
      <c r="BG35" s="74"/>
      <c r="BH35" s="74"/>
      <c r="BI35" s="74"/>
      <c r="BJ35" s="74"/>
      <c r="BK35" s="74"/>
      <c r="BL35" s="74"/>
      <c r="BM35" s="74"/>
      <c r="BN35" s="74"/>
      <c r="BO35" s="74"/>
    </row>
    <row r="36" spans="1:67" ht="15.95" customHeight="1" x14ac:dyDescent="0.25">
      <c r="A36" s="358" t="s">
        <v>874</v>
      </c>
      <c r="B36" s="359" t="s">
        <v>1184</v>
      </c>
      <c r="C36" s="658" t="e">
        <f>0.86*C35/1000</f>
        <v>#N/A</v>
      </c>
      <c r="D36" s="559">
        <f>'Ввод исходных данных'!J198</f>
        <v>0</v>
      </c>
      <c r="E36" s="659" t="e">
        <f>0.86*E35/1000</f>
        <v>#VALUE!</v>
      </c>
      <c r="F36" s="660"/>
      <c r="G36" s="379" t="s">
        <v>874</v>
      </c>
      <c r="H36" s="380" t="s">
        <v>1184</v>
      </c>
      <c r="I36" s="661" t="e">
        <f>0.86*I35/1000</f>
        <v>#N/A</v>
      </c>
      <c r="J36" s="662" t="e">
        <f>'Ввод исходных данных'!$J$186</f>
        <v>#N/A</v>
      </c>
      <c r="K36" s="651" t="e">
        <f>(J36)*'Ввод исходных данных'!$H$252</f>
        <v>#N/A</v>
      </c>
      <c r="L36" s="661" t="e">
        <f>0.86*L35/1000</f>
        <v>#N/A</v>
      </c>
      <c r="M36" s="98" t="e">
        <f>'Ввод исходных данных'!$J$187</f>
        <v>#N/A</v>
      </c>
      <c r="N36" s="651" t="e">
        <f>(M36)*'Ввод исходных данных'!$H$253</f>
        <v>#N/A</v>
      </c>
      <c r="O36" s="661" t="e">
        <f>0.86*O35/1000</f>
        <v>#N/A</v>
      </c>
      <c r="P36" s="98" t="e">
        <f>'Ввод исходных данных'!$J$188</f>
        <v>#N/A</v>
      </c>
      <c r="Q36" s="651" t="e">
        <f>(P36)*'Ввод исходных данных'!$H$254</f>
        <v>#N/A</v>
      </c>
      <c r="R36" s="661" t="e">
        <f>0.86*R35/1000</f>
        <v>#N/A</v>
      </c>
      <c r="S36" s="98" t="e">
        <f>'Ввод исходных данных'!$J$189</f>
        <v>#N/A</v>
      </c>
      <c r="T36" s="651" t="e">
        <f>(S36)*'Ввод исходных данных'!$H$255</f>
        <v>#N/A</v>
      </c>
      <c r="U36" s="384"/>
      <c r="V36" s="98" t="e">
        <f>'Ввод исходных данных'!$J$190</f>
        <v>#N/A</v>
      </c>
      <c r="W36" s="651" t="e">
        <f>(V36)*'Ввод исходных данных'!$H$256</f>
        <v>#N/A</v>
      </c>
      <c r="X36" s="382"/>
      <c r="Y36" s="98" t="e">
        <f>'Ввод исходных данных'!$J$191</f>
        <v>#N/A</v>
      </c>
      <c r="Z36" s="651" t="e">
        <f>(Y36)*'Ввод исходных данных'!$H$257</f>
        <v>#N/A</v>
      </c>
      <c r="AA36" s="384"/>
      <c r="AB36" s="98" t="e">
        <f>'Ввод исходных данных'!$J$192</f>
        <v>#N/A</v>
      </c>
      <c r="AC36" s="651" t="e">
        <f>(AB36)*'Ввод исходных данных'!$H$258</f>
        <v>#N/A</v>
      </c>
      <c r="AD36" s="382"/>
      <c r="AE36" s="98" t="e">
        <f>'Ввод исходных данных'!$J$193</f>
        <v>#N/A</v>
      </c>
      <c r="AF36" s="651" t="e">
        <f>(AE36)*'Ввод исходных данных'!$H$259</f>
        <v>#N/A</v>
      </c>
      <c r="AG36" s="384"/>
      <c r="AH36" s="98" t="e">
        <f>'Ввод исходных данных'!$J$194</f>
        <v>#N/A</v>
      </c>
      <c r="AI36" s="651" t="e">
        <f>(AH36)*'Ввод исходных данных'!$H$260</f>
        <v>#N/A</v>
      </c>
      <c r="AJ36" s="661" t="e">
        <f>0.86*AJ35/1000</f>
        <v>#N/A</v>
      </c>
      <c r="AK36" s="663" t="e">
        <f>'Ввод исходных данных'!$J$195</f>
        <v>#N/A</v>
      </c>
      <c r="AL36" s="651" t="e">
        <f>(AK36)*'Ввод исходных данных'!$H$261</f>
        <v>#N/A</v>
      </c>
      <c r="AM36" s="661" t="e">
        <f>0.86*AM35/1000</f>
        <v>#N/A</v>
      </c>
      <c r="AN36" s="663" t="e">
        <f>'Ввод исходных данных'!$J$196</f>
        <v>#N/A</v>
      </c>
      <c r="AO36" s="651" t="e">
        <f>(AN36)*'Ввод исходных данных'!$H$262</f>
        <v>#N/A</v>
      </c>
      <c r="AP36" s="661" t="e">
        <f>0.86*AP35/1000</f>
        <v>#N/A</v>
      </c>
      <c r="AQ36" s="663" t="e">
        <f>'Ввод исходных данных'!$J$197</f>
        <v>#N/A</v>
      </c>
      <c r="AR36" s="651" t="e">
        <f>(AQ36)*'Ввод исходных данных'!$H$263</f>
        <v>#N/A</v>
      </c>
      <c r="AS36" s="74"/>
      <c r="AT36" s="419"/>
      <c r="AU36" s="74"/>
      <c r="AV36" s="74"/>
      <c r="AW36" s="74"/>
      <c r="AX36" s="74"/>
      <c r="AY36" s="74"/>
      <c r="AZ36" s="74"/>
      <c r="BA36" s="74"/>
      <c r="BB36" s="74"/>
      <c r="BC36" s="74"/>
      <c r="BD36" s="74"/>
      <c r="BE36" s="74"/>
      <c r="BF36" s="74"/>
      <c r="BG36" s="74"/>
      <c r="BH36" s="74"/>
      <c r="BI36" s="74"/>
      <c r="BJ36" s="74"/>
      <c r="BK36" s="74"/>
      <c r="BL36" s="74"/>
      <c r="BM36" s="74"/>
      <c r="BN36" s="74"/>
      <c r="BO36" s="74"/>
    </row>
    <row r="37" spans="1:67" ht="15.75" thickBot="1" x14ac:dyDescent="0.3">
      <c r="A37" s="358" t="s">
        <v>874</v>
      </c>
      <c r="B37" s="359" t="s">
        <v>1181</v>
      </c>
      <c r="C37" s="378"/>
      <c r="D37" s="664" t="e">
        <f>D39+D63+D66+D69-D72</f>
        <v>#N/A</v>
      </c>
      <c r="E37" s="664" t="e">
        <f>E39+E63+E66+E69-E72</f>
        <v>#N/A</v>
      </c>
      <c r="F37" s="665"/>
      <c r="G37" s="362" t="s">
        <v>874</v>
      </c>
      <c r="H37" s="388" t="s">
        <v>1181</v>
      </c>
      <c r="I37" s="391"/>
      <c r="J37" s="276"/>
      <c r="K37" s="666"/>
      <c r="L37" s="391"/>
      <c r="M37" s="276"/>
      <c r="N37" s="666"/>
      <c r="O37" s="390"/>
      <c r="P37" s="401"/>
      <c r="Q37" s="667"/>
      <c r="R37" s="391"/>
      <c r="S37" s="276"/>
      <c r="T37" s="668"/>
      <c r="U37" s="403"/>
      <c r="V37" s="401"/>
      <c r="W37" s="669"/>
      <c r="X37" s="390"/>
      <c r="Y37" s="401"/>
      <c r="Z37" s="667"/>
      <c r="AA37" s="403"/>
      <c r="AB37" s="401"/>
      <c r="AC37" s="669"/>
      <c r="AD37" s="390"/>
      <c r="AE37" s="401"/>
      <c r="AF37" s="667"/>
      <c r="AG37" s="403"/>
      <c r="AH37" s="401"/>
      <c r="AI37" s="669"/>
      <c r="AJ37" s="391"/>
      <c r="AK37" s="276"/>
      <c r="AL37" s="668"/>
      <c r="AM37" s="403"/>
      <c r="AN37" s="401"/>
      <c r="AO37" s="669"/>
      <c r="AP37" s="391"/>
      <c r="AQ37" s="276"/>
      <c r="AR37" s="668"/>
      <c r="AS37" s="74"/>
      <c r="AT37" s="670"/>
      <c r="AU37" s="74"/>
      <c r="AV37" s="74"/>
      <c r="AW37" s="74"/>
      <c r="AX37" s="74"/>
      <c r="AY37" s="74"/>
      <c r="AZ37" s="74"/>
      <c r="BA37" s="74"/>
      <c r="BB37" s="74"/>
      <c r="BC37" s="74"/>
      <c r="BD37" s="74"/>
      <c r="BE37" s="74"/>
      <c r="BF37" s="74"/>
      <c r="BG37" s="74"/>
      <c r="BH37" s="74"/>
      <c r="BI37" s="74"/>
      <c r="BJ37" s="74"/>
      <c r="BK37" s="74"/>
      <c r="BL37" s="74"/>
      <c r="BM37" s="74"/>
      <c r="BN37" s="74"/>
      <c r="BO37" s="74"/>
    </row>
    <row r="38" spans="1:67" ht="39.950000000000003" customHeight="1" x14ac:dyDescent="0.25">
      <c r="A38" s="671" t="s">
        <v>1195</v>
      </c>
      <c r="B38" s="650" t="s">
        <v>842</v>
      </c>
      <c r="C38" s="330" t="e">
        <f>C41+C44+C47+C50+C53+C56+C59</f>
        <v>#N/A</v>
      </c>
      <c r="D38" s="672" t="e">
        <f>$C38*(($D$35+$D$71)/($C$35+$C$71))</f>
        <v>#N/A</v>
      </c>
      <c r="E38" s="672" t="e">
        <f>$C38*(($E$35+$E$71)/($C$35+$C$71))</f>
        <v>#N/A</v>
      </c>
      <c r="F38" s="673"/>
      <c r="G38" s="527" t="s">
        <v>1196</v>
      </c>
      <c r="H38" s="674" t="s">
        <v>842</v>
      </c>
      <c r="I38" s="330" t="e">
        <f>I41+I44+I47+I50+I53+I56+I59</f>
        <v>#N/A</v>
      </c>
      <c r="J38" s="672" t="e">
        <f>I38*((J$35+J$71)/(I$35+I$71))</f>
        <v>#N/A</v>
      </c>
      <c r="K38" s="672">
        <f>IFERROR(I38*((K$35+K$71)/(I$35+I$71)),0)</f>
        <v>0</v>
      </c>
      <c r="L38" s="330" t="e">
        <f>L41+L44+L47+L50+L53+L56+L59</f>
        <v>#N/A</v>
      </c>
      <c r="M38" s="672" t="e">
        <f>L38*((M$35+M$71)/(L$35+L$71))</f>
        <v>#N/A</v>
      </c>
      <c r="N38" s="672">
        <f>IFERROR(L38*((N$35+N$71)/(L$35+L$71)),0)</f>
        <v>0</v>
      </c>
      <c r="O38" s="330" t="e">
        <f>O41+O44+O47+O50+O53+O56+O59</f>
        <v>#N/A</v>
      </c>
      <c r="P38" s="672" t="e">
        <f>O38*((P$35+P$71)/(O$35+O$71))</f>
        <v>#N/A</v>
      </c>
      <c r="Q38" s="672">
        <f>IFERROR(O38*((Q$35+Q$71)/(O$35+O$71)),0)</f>
        <v>0</v>
      </c>
      <c r="R38" s="330" t="e">
        <f>R41+R44+R47+R50+R53+R56+R59</f>
        <v>#N/A</v>
      </c>
      <c r="S38" s="672" t="e">
        <f>R38*((S$35+S$71)/(R$35+R$71))</f>
        <v>#N/A</v>
      </c>
      <c r="T38" s="672">
        <f>IFERROR(R38*((T$35+T$71)/(R$35+R$71)),0)</f>
        <v>0</v>
      </c>
      <c r="U38" s="330" t="e">
        <f>U41+U44+U47+U50+U53+U56+U59</f>
        <v>#N/A</v>
      </c>
      <c r="V38" s="672">
        <f>IFERROR(U38*((V$35+V$71)/(U$35+U$71)),0)</f>
        <v>0</v>
      </c>
      <c r="W38" s="672">
        <f>IFERROR(U38*((W$35+W$71)/(U$35+U$71)),0)</f>
        <v>0</v>
      </c>
      <c r="X38" s="330" t="e">
        <f>X41+X44+X47+X50+X53+X56+X59</f>
        <v>#N/A</v>
      </c>
      <c r="Y38" s="672">
        <f>IFERROR(X38*((Y$35+Y$71)/(X$35+X$71)),0)</f>
        <v>0</v>
      </c>
      <c r="Z38" s="672">
        <f>IFERROR(X38*((Z$35+Z$71)/(X$35+X$71)),0)</f>
        <v>0</v>
      </c>
      <c r="AA38" s="330" t="e">
        <f>AA41+AA44+AA47+AA50+AA53+AA56+AA59</f>
        <v>#N/A</v>
      </c>
      <c r="AB38" s="672">
        <f>IFERROR(AA38*((AB$35+AB$71)/(AA$35+AA$71)),0)</f>
        <v>0</v>
      </c>
      <c r="AC38" s="672">
        <f>IFERROR(AA38*((AC$35+AC$71)/(AA$35+AA$71)),0)</f>
        <v>0</v>
      </c>
      <c r="AD38" s="330" t="e">
        <f>AD41+AD44+AD47+AD50+AD53+AD56+AD59</f>
        <v>#N/A</v>
      </c>
      <c r="AE38" s="672">
        <f>IFERROR(AD38*((AE$35+AE$71)/(AD$35+AD$71)),0)</f>
        <v>0</v>
      </c>
      <c r="AF38" s="672">
        <f>IFERROR(AD38*((AF$35+AF$71)/(AD$35+AD$71)),0)</f>
        <v>0</v>
      </c>
      <c r="AG38" s="330" t="e">
        <f>AG41+AG44+AG47+AG50+AG53+AG56+AG59</f>
        <v>#N/A</v>
      </c>
      <c r="AH38" s="672">
        <f>IFERROR(AG38*((AH$35+AH$71)/(AG$35+AG$71)),0)</f>
        <v>0</v>
      </c>
      <c r="AI38" s="672">
        <f>IFERROR(AG38*((AI$35+AI$71)/(AG$35+AG$71)),0)</f>
        <v>0</v>
      </c>
      <c r="AJ38" s="330" t="e">
        <f>AJ41+AJ44+AJ47+AJ50+AJ53+AJ56+AJ59</f>
        <v>#N/A</v>
      </c>
      <c r="AK38" s="672">
        <f>IFERROR(AJ38*((AK$35+AK$71)/(AJ$35+AJ$71)),0)</f>
        <v>0</v>
      </c>
      <c r="AL38" s="672">
        <f>IFERROR(AJ38*((AL$35+AL$71)/(AJ$35+AJ$71)),0)</f>
        <v>0</v>
      </c>
      <c r="AM38" s="330" t="e">
        <f>AM41+AM44+AM47+AM50+AM53+AM56+AM59</f>
        <v>#N/A</v>
      </c>
      <c r="AN38" s="672">
        <f>IFERROR(AM38*((AN$35+AN$71)/(AM$35+AM$71)),0)</f>
        <v>0</v>
      </c>
      <c r="AO38" s="672">
        <f>IFERROR(AM38*((AO$35+AO$71)/(AM$35+AM$71)),0)</f>
        <v>0</v>
      </c>
      <c r="AP38" s="330" t="e">
        <f>AP41+AP44+AP47+AP50+AP53+AP56+AP59</f>
        <v>#N/A</v>
      </c>
      <c r="AQ38" s="672">
        <f>IFERROR(AP38*((AQ$35+AQ$71)/(AP$35+AP$71)),0)</f>
        <v>0</v>
      </c>
      <c r="AR38" s="672">
        <f>IFERROR(AP38*((AR$35+AR$71)/(AP$35+AP$71)),0)</f>
        <v>0</v>
      </c>
      <c r="AS38" s="74"/>
      <c r="AT38" s="657"/>
      <c r="AU38" s="675"/>
      <c r="AV38" s="74"/>
      <c r="AW38" s="74"/>
      <c r="AX38" s="74"/>
      <c r="AY38" s="74"/>
      <c r="AZ38" s="74"/>
      <c r="BA38" s="74"/>
      <c r="BB38" s="74"/>
      <c r="BC38" s="74"/>
      <c r="BD38" s="74"/>
      <c r="BE38" s="74"/>
      <c r="BF38" s="74"/>
      <c r="BG38" s="74"/>
      <c r="BH38" s="74"/>
      <c r="BI38" s="74"/>
      <c r="BJ38" s="74"/>
      <c r="BK38" s="74"/>
      <c r="BL38" s="74"/>
      <c r="BM38" s="74"/>
      <c r="BN38" s="74"/>
      <c r="BO38" s="74"/>
    </row>
    <row r="39" spans="1:67" x14ac:dyDescent="0.25">
      <c r="A39" s="358" t="s">
        <v>874</v>
      </c>
      <c r="B39" s="359" t="s">
        <v>1184</v>
      </c>
      <c r="C39" s="558" t="e">
        <f>0.86*C38/1000</f>
        <v>#N/A</v>
      </c>
      <c r="D39" s="377" t="e">
        <f>0.86*D38/1000</f>
        <v>#N/A</v>
      </c>
      <c r="E39" s="676" t="e">
        <f>0.86*E38/1000</f>
        <v>#N/A</v>
      </c>
      <c r="F39" s="677"/>
      <c r="G39" s="379" t="s">
        <v>874</v>
      </c>
      <c r="H39" s="678" t="s">
        <v>1184</v>
      </c>
      <c r="I39" s="679" t="e">
        <f t="shared" ref="I39:W39" si="23">0.86*I38/1000</f>
        <v>#N/A</v>
      </c>
      <c r="J39" s="680" t="e">
        <f t="shared" si="23"/>
        <v>#N/A</v>
      </c>
      <c r="K39" s="681">
        <f t="shared" si="23"/>
        <v>0</v>
      </c>
      <c r="L39" s="682" t="e">
        <f t="shared" si="23"/>
        <v>#N/A</v>
      </c>
      <c r="M39" s="683" t="e">
        <f t="shared" si="23"/>
        <v>#N/A</v>
      </c>
      <c r="N39" s="681">
        <f t="shared" si="23"/>
        <v>0</v>
      </c>
      <c r="O39" s="684" t="e">
        <f t="shared" si="23"/>
        <v>#N/A</v>
      </c>
      <c r="P39" s="681" t="e">
        <f t="shared" si="23"/>
        <v>#N/A</v>
      </c>
      <c r="Q39" s="681">
        <f t="shared" si="23"/>
        <v>0</v>
      </c>
      <c r="R39" s="685" t="e">
        <f t="shared" si="23"/>
        <v>#N/A</v>
      </c>
      <c r="S39" s="680" t="e">
        <f t="shared" si="23"/>
        <v>#N/A</v>
      </c>
      <c r="T39" s="686">
        <f t="shared" si="23"/>
        <v>0</v>
      </c>
      <c r="U39" s="687" t="e">
        <f t="shared" si="23"/>
        <v>#N/A</v>
      </c>
      <c r="V39" s="680">
        <f t="shared" si="23"/>
        <v>0</v>
      </c>
      <c r="W39" s="686">
        <f t="shared" si="23"/>
        <v>0</v>
      </c>
      <c r="X39" s="687" t="e">
        <f>0.86*X38/1000</f>
        <v>#N/A</v>
      </c>
      <c r="Y39" s="680">
        <f t="shared" ref="Y39:Z39" si="24">0.86*Y38/1000</f>
        <v>0</v>
      </c>
      <c r="Z39" s="686">
        <f t="shared" si="24"/>
        <v>0</v>
      </c>
      <c r="AA39" s="370" t="e">
        <f>0.86*AA38/1000</f>
        <v>#N/A</v>
      </c>
      <c r="AB39" s="680">
        <f t="shared" ref="AB39:AC39" si="25">0.86*AB38/1000</f>
        <v>0</v>
      </c>
      <c r="AC39" s="686">
        <f t="shared" si="25"/>
        <v>0</v>
      </c>
      <c r="AD39" s="370" t="e">
        <f>0.86*AD38/1000</f>
        <v>#N/A</v>
      </c>
      <c r="AE39" s="680">
        <f t="shared" ref="AE39:AF39" si="26">0.86*AE38/1000</f>
        <v>0</v>
      </c>
      <c r="AF39" s="686">
        <f t="shared" si="26"/>
        <v>0</v>
      </c>
      <c r="AG39" s="370" t="e">
        <f>0.86*AG38/1000</f>
        <v>#N/A</v>
      </c>
      <c r="AH39" s="680">
        <f t="shared" ref="AH39" si="27">0.86*AH38/1000</f>
        <v>0</v>
      </c>
      <c r="AI39" s="686">
        <f>0.86*AI38/1000</f>
        <v>0</v>
      </c>
      <c r="AJ39" s="682" t="e">
        <f>0.86*AJ38/1000</f>
        <v>#N/A</v>
      </c>
      <c r="AK39" s="680">
        <f t="shared" ref="AK39:AN39" si="28">0.86*AK38/1000</f>
        <v>0</v>
      </c>
      <c r="AL39" s="686">
        <f t="shared" si="28"/>
        <v>0</v>
      </c>
      <c r="AM39" s="688" t="e">
        <f>0.86*AM38/1000</f>
        <v>#N/A</v>
      </c>
      <c r="AN39" s="680">
        <f t="shared" si="28"/>
        <v>0</v>
      </c>
      <c r="AO39" s="686">
        <f t="shared" ref="AO39" si="29">0.86*AO38/1000</f>
        <v>0</v>
      </c>
      <c r="AP39" s="682" t="e">
        <f>0.86*AP38/1000</f>
        <v>#N/A</v>
      </c>
      <c r="AQ39" s="680">
        <f t="shared" ref="AQ39:AR39" si="30">0.86*AQ38/1000</f>
        <v>0</v>
      </c>
      <c r="AR39" s="686">
        <f t="shared" si="30"/>
        <v>0</v>
      </c>
      <c r="AS39" s="74"/>
      <c r="AT39" s="419"/>
      <c r="AU39" s="74"/>
      <c r="AV39" s="74"/>
      <c r="AW39" s="74"/>
      <c r="AX39" s="74"/>
      <c r="AY39" s="74"/>
      <c r="AZ39" s="74"/>
      <c r="BA39" s="74"/>
      <c r="BB39" s="74"/>
      <c r="BC39" s="74"/>
      <c r="BD39" s="74"/>
      <c r="BE39" s="74"/>
      <c r="BF39" s="74"/>
      <c r="BG39" s="74"/>
      <c r="BH39" s="74"/>
      <c r="BI39" s="74"/>
      <c r="BJ39" s="74"/>
      <c r="BK39" s="74"/>
      <c r="BL39" s="74"/>
      <c r="BM39" s="74"/>
      <c r="BN39" s="74"/>
      <c r="BO39" s="74"/>
    </row>
    <row r="40" spans="1:67" ht="15.75" thickBot="1" x14ac:dyDescent="0.3">
      <c r="A40" s="385" t="s">
        <v>874</v>
      </c>
      <c r="B40" s="386" t="s">
        <v>1181</v>
      </c>
      <c r="C40" s="689"/>
      <c r="D40" s="690"/>
      <c r="E40" s="590"/>
      <c r="F40" s="665"/>
      <c r="G40" s="362" t="s">
        <v>874</v>
      </c>
      <c r="H40" s="691" t="s">
        <v>1181</v>
      </c>
      <c r="I40" s="404"/>
      <c r="J40" s="692"/>
      <c r="K40" s="693"/>
      <c r="L40" s="390"/>
      <c r="M40" s="401"/>
      <c r="N40" s="694"/>
      <c r="O40" s="695"/>
      <c r="P40" s="276"/>
      <c r="Q40" s="696"/>
      <c r="R40" s="392"/>
      <c r="S40" s="401"/>
      <c r="T40" s="697"/>
      <c r="U40" s="403"/>
      <c r="V40" s="401"/>
      <c r="W40" s="669"/>
      <c r="X40" s="392"/>
      <c r="Y40" s="698"/>
      <c r="Z40" s="699"/>
      <c r="AA40" s="403"/>
      <c r="AB40" s="401"/>
      <c r="AC40" s="669"/>
      <c r="AD40" s="390"/>
      <c r="AE40" s="401"/>
      <c r="AF40" s="667"/>
      <c r="AG40" s="403"/>
      <c r="AH40" s="401"/>
      <c r="AI40" s="669"/>
      <c r="AJ40" s="700"/>
      <c r="AK40" s="701"/>
      <c r="AL40" s="702"/>
      <c r="AM40" s="703"/>
      <c r="AN40" s="698"/>
      <c r="AO40" s="704"/>
      <c r="AP40" s="392"/>
      <c r="AQ40" s="698"/>
      <c r="AR40" s="667"/>
      <c r="AS40" s="74"/>
      <c r="AT40" s="705"/>
      <c r="AU40" s="675"/>
      <c r="AV40" s="74"/>
      <c r="AW40" s="74"/>
      <c r="AX40" s="74"/>
      <c r="AY40" s="74"/>
      <c r="AZ40" s="74"/>
      <c r="BA40" s="74"/>
      <c r="BB40" s="74"/>
      <c r="BC40" s="74"/>
      <c r="BD40" s="74"/>
      <c r="BE40" s="74"/>
      <c r="BF40" s="74"/>
      <c r="BG40" s="74"/>
      <c r="BH40" s="74"/>
      <c r="BI40" s="74"/>
      <c r="BJ40" s="74"/>
      <c r="BK40" s="74"/>
      <c r="BL40" s="74"/>
      <c r="BM40" s="74"/>
      <c r="BN40" s="74"/>
      <c r="BO40" s="74"/>
    </row>
    <row r="41" spans="1:67" ht="23.25" customHeight="1" x14ac:dyDescent="0.25">
      <c r="A41" s="332" t="s">
        <v>1197</v>
      </c>
      <c r="B41" s="322" t="s">
        <v>842</v>
      </c>
      <c r="C41" s="333" t="e">
        <f>IF(C134=0,0,B134/C134*D134)*0.024*$D$147</f>
        <v>#N/A</v>
      </c>
      <c r="D41" s="706" t="e">
        <f>C41*($D$38/$C$38)</f>
        <v>#N/A</v>
      </c>
      <c r="E41" s="707" t="e">
        <f>C41*($E$38/$C$38)</f>
        <v>#N/A</v>
      </c>
      <c r="F41" s="74"/>
      <c r="G41" s="334" t="s">
        <v>1197</v>
      </c>
      <c r="H41" s="326" t="s">
        <v>842</v>
      </c>
      <c r="I41" s="335" t="e">
        <f>IF($C134=0,0,$B134/$C134*$D134)*0.024*G$147</f>
        <v>#N/A</v>
      </c>
      <c r="J41" s="610" t="e">
        <f>I41*($J$38/$I$38)</f>
        <v>#N/A</v>
      </c>
      <c r="K41" s="708" t="e">
        <f>I41*($K$38/$I$38)</f>
        <v>#N/A</v>
      </c>
      <c r="L41" s="335" t="e">
        <f>IF($C134=0,0,$B134/$C134*$D134)*0.024*H$147</f>
        <v>#N/A</v>
      </c>
      <c r="M41" s="709" t="e">
        <f>L41*($M$38/$L$38)</f>
        <v>#N/A</v>
      </c>
      <c r="N41" s="710" t="e">
        <f>L41*($N$38/$L$38)</f>
        <v>#N/A</v>
      </c>
      <c r="O41" s="335" t="e">
        <f>IF($C134=0,0,$B134/$C134*$D134)*0.024*I$147</f>
        <v>#N/A</v>
      </c>
      <c r="P41" s="711" t="e">
        <f>O41*($P$38/$O$38)</f>
        <v>#N/A</v>
      </c>
      <c r="Q41" s="712" t="e">
        <f>O41*($Q$38/$O$38)</f>
        <v>#N/A</v>
      </c>
      <c r="R41" s="335" t="e">
        <f>IF($C134=0,0,$B134/$C134*$D134)*0.024*J$147</f>
        <v>#N/A</v>
      </c>
      <c r="S41" s="711" t="e">
        <f>R41*($S$38/$R$38)</f>
        <v>#N/A</v>
      </c>
      <c r="T41" s="712" t="e">
        <f>R41*($T$38/$R$38)</f>
        <v>#N/A</v>
      </c>
      <c r="U41" s="335" t="e">
        <f>IF($C134=0,0,$B134/$C134*$D134)*0.024*K$147</f>
        <v>#N/A</v>
      </c>
      <c r="V41" s="711">
        <f>IFERROR(U41*($V$38/$U$38),0)</f>
        <v>0</v>
      </c>
      <c r="W41" s="712">
        <f>IFERROR(U41*($W$38/$U$38),0)</f>
        <v>0</v>
      </c>
      <c r="X41" s="335" t="e">
        <f>IF($C134=0,0,$B134/$C134*$D134)*0.024*L$147</f>
        <v>#N/A</v>
      </c>
      <c r="Y41" s="711">
        <f>IFERROR(X41*($Y$38/$X$38),0)</f>
        <v>0</v>
      </c>
      <c r="Z41" s="712">
        <f>IFERROR(X41*($Z$38/$X$38),0)</f>
        <v>0</v>
      </c>
      <c r="AA41" s="335" t="e">
        <f>IF($C134=0,0,$B134/$C134*$D134)*0.024*M$147</f>
        <v>#N/A</v>
      </c>
      <c r="AB41" s="711">
        <f>IFERROR(AA41*($AB$38/$AA$38),0)</f>
        <v>0</v>
      </c>
      <c r="AC41" s="712">
        <f>IFERROR(AA41*($AC$38/$AA$38),0)</f>
        <v>0</v>
      </c>
      <c r="AD41" s="335" t="e">
        <f>IF($C134=0,0,$B134/$C134*$D134)*0.024*N$147</f>
        <v>#N/A</v>
      </c>
      <c r="AE41" s="711">
        <f>IFERROR(AD41*($AE$38/$AD$38),0)</f>
        <v>0</v>
      </c>
      <c r="AF41" s="712">
        <f>IFERROR(AD41*($AF$35/$AD$35),0)</f>
        <v>0</v>
      </c>
      <c r="AG41" s="335" t="e">
        <f>IF($C134=0,0,$B134/$C134*$D134)*0.024*O$147</f>
        <v>#N/A</v>
      </c>
      <c r="AH41" s="711">
        <f>IFERROR(AG41*($AH$38/$AG$38),0)</f>
        <v>0</v>
      </c>
      <c r="AI41" s="712">
        <f>IFERROR(AG41*($AI$35/$AG$35),0)</f>
        <v>0</v>
      </c>
      <c r="AJ41" s="335" t="e">
        <f>IF($C134=0,0,$B134/$C134*$D134)*0.024*P$147</f>
        <v>#N/A</v>
      </c>
      <c r="AK41" s="711" t="e">
        <f>AJ41*($AK$38/$AJ$38)</f>
        <v>#N/A</v>
      </c>
      <c r="AL41" s="712">
        <f>IFERROR(AJ41*($AL$38/$AJ$38),0)</f>
        <v>0</v>
      </c>
      <c r="AM41" s="335" t="e">
        <f>IF($C134=0,0,$B134/$C134*$D134)*0.024*Q$147</f>
        <v>#N/A</v>
      </c>
      <c r="AN41" s="711" t="e">
        <f>AM41*($AN$38/$AM$38)</f>
        <v>#N/A</v>
      </c>
      <c r="AO41" s="712" t="e">
        <f>AM41*($AO$38/$AM$38)</f>
        <v>#N/A</v>
      </c>
      <c r="AP41" s="335" t="e">
        <f>IF($C134=0,0,$B134/$C134*$D134)*0.024*R$147</f>
        <v>#N/A</v>
      </c>
      <c r="AQ41" s="711" t="e">
        <f>AP41*($AQ$38/$AP$38)</f>
        <v>#N/A</v>
      </c>
      <c r="AR41" s="712" t="e">
        <f>AP41*($AR$38/$AP$38)</f>
        <v>#N/A</v>
      </c>
      <c r="AS41" s="74"/>
      <c r="AT41" s="657"/>
      <c r="AU41" s="657"/>
      <c r="AV41" s="74"/>
      <c r="AW41" s="74"/>
      <c r="AX41" s="74"/>
      <c r="AY41" s="74"/>
      <c r="AZ41" s="74"/>
      <c r="BA41" s="74"/>
      <c r="BB41" s="74"/>
      <c r="BC41" s="74"/>
      <c r="BD41" s="74"/>
      <c r="BE41" s="74"/>
      <c r="BF41" s="74"/>
      <c r="BG41" s="74"/>
      <c r="BH41" s="74"/>
      <c r="BI41" s="74"/>
      <c r="BJ41" s="74"/>
      <c r="BK41" s="74"/>
      <c r="BL41" s="74"/>
      <c r="BM41" s="74"/>
      <c r="BN41" s="74"/>
      <c r="BO41" s="74"/>
    </row>
    <row r="42" spans="1:67" ht="14.25" customHeight="1" x14ac:dyDescent="0.25">
      <c r="A42" s="358" t="s">
        <v>874</v>
      </c>
      <c r="B42" s="359" t="s">
        <v>1184</v>
      </c>
      <c r="C42" s="558" t="e">
        <f>0.86*C41/1000</f>
        <v>#N/A</v>
      </c>
      <c r="D42" s="377" t="e">
        <f>0.86*D41/1000</f>
        <v>#N/A</v>
      </c>
      <c r="E42" s="676" t="e">
        <f>0.86*E41/1000</f>
        <v>#N/A</v>
      </c>
      <c r="F42" s="74"/>
      <c r="G42" s="379" t="s">
        <v>874</v>
      </c>
      <c r="H42" s="380" t="s">
        <v>1184</v>
      </c>
      <c r="I42" s="688" t="e">
        <f t="shared" ref="I42:W42" si="31">0.86*I41/1000</f>
        <v>#N/A</v>
      </c>
      <c r="J42" s="680" t="e">
        <f t="shared" si="31"/>
        <v>#N/A</v>
      </c>
      <c r="K42" s="713" t="e">
        <f t="shared" si="31"/>
        <v>#N/A</v>
      </c>
      <c r="L42" s="688" t="e">
        <f t="shared" ref="L42" si="32">0.86*L41/1000</f>
        <v>#N/A</v>
      </c>
      <c r="M42" s="683" t="e">
        <f t="shared" si="31"/>
        <v>#N/A</v>
      </c>
      <c r="N42" s="683" t="e">
        <f t="shared" si="31"/>
        <v>#N/A</v>
      </c>
      <c r="O42" s="682" t="e">
        <f t="shared" si="31"/>
        <v>#N/A</v>
      </c>
      <c r="P42" s="714" t="e">
        <f t="shared" si="31"/>
        <v>#N/A</v>
      </c>
      <c r="Q42" s="714" t="e">
        <f t="shared" si="31"/>
        <v>#N/A</v>
      </c>
      <c r="R42" s="688" t="e">
        <f t="shared" si="31"/>
        <v>#N/A</v>
      </c>
      <c r="S42" s="680" t="e">
        <f t="shared" si="31"/>
        <v>#N/A</v>
      </c>
      <c r="T42" s="686" t="e">
        <f t="shared" si="31"/>
        <v>#N/A</v>
      </c>
      <c r="U42" s="688" t="e">
        <f t="shared" si="31"/>
        <v>#N/A</v>
      </c>
      <c r="V42" s="680">
        <f t="shared" si="31"/>
        <v>0</v>
      </c>
      <c r="W42" s="686">
        <f t="shared" si="31"/>
        <v>0</v>
      </c>
      <c r="X42" s="688" t="e">
        <f t="shared" ref="X42:Z42" si="33">0.86*X41/1000</f>
        <v>#N/A</v>
      </c>
      <c r="Y42" s="680">
        <f t="shared" si="33"/>
        <v>0</v>
      </c>
      <c r="Z42" s="686">
        <f t="shared" si="33"/>
        <v>0</v>
      </c>
      <c r="AA42" s="688" t="e">
        <f t="shared" ref="AA42:AC42" si="34">0.86*AA41/1000</f>
        <v>#N/A</v>
      </c>
      <c r="AB42" s="680">
        <f t="shared" si="34"/>
        <v>0</v>
      </c>
      <c r="AC42" s="686">
        <f t="shared" si="34"/>
        <v>0</v>
      </c>
      <c r="AD42" s="688" t="e">
        <f t="shared" ref="AD42:AF42" si="35">0.86*AD41/1000</f>
        <v>#N/A</v>
      </c>
      <c r="AE42" s="680">
        <f t="shared" si="35"/>
        <v>0</v>
      </c>
      <c r="AF42" s="686">
        <f t="shared" si="35"/>
        <v>0</v>
      </c>
      <c r="AG42" s="688" t="e">
        <f t="shared" ref="AG42:AH42" si="36">0.86*AG41/1000</f>
        <v>#N/A</v>
      </c>
      <c r="AH42" s="680">
        <f t="shared" si="36"/>
        <v>0</v>
      </c>
      <c r="AI42" s="686">
        <f>0.86*AI41/1000</f>
        <v>0</v>
      </c>
      <c r="AJ42" s="688" t="e">
        <f t="shared" ref="AJ42" si="37">0.86*AJ41/1000</f>
        <v>#N/A</v>
      </c>
      <c r="AK42" s="680" t="e">
        <f t="shared" ref="AK42" si="38">0.86*AK41/1000</f>
        <v>#N/A</v>
      </c>
      <c r="AL42" s="686">
        <f t="shared" ref="AL42:AM42" si="39">0.86*AL41/1000</f>
        <v>0</v>
      </c>
      <c r="AM42" s="688" t="e">
        <f t="shared" si="39"/>
        <v>#N/A</v>
      </c>
      <c r="AN42" s="680" t="e">
        <f t="shared" ref="AN42" si="40">0.86*AN41/1000</f>
        <v>#N/A</v>
      </c>
      <c r="AO42" s="686" t="e">
        <f t="shared" ref="AO42:AP42" si="41">0.86*AO41/1000</f>
        <v>#N/A</v>
      </c>
      <c r="AP42" s="688" t="e">
        <f t="shared" si="41"/>
        <v>#N/A</v>
      </c>
      <c r="AQ42" s="680" t="e">
        <f t="shared" ref="AQ42" si="42">0.86*AQ41/1000</f>
        <v>#N/A</v>
      </c>
      <c r="AR42" s="686" t="e">
        <f t="shared" ref="AR42" si="43">0.86*AR41/1000</f>
        <v>#N/A</v>
      </c>
      <c r="AS42" s="74"/>
      <c r="AT42" s="317"/>
      <c r="AU42" s="317"/>
      <c r="AV42" s="74"/>
      <c r="AW42" s="74"/>
      <c r="AX42" s="74"/>
      <c r="AY42" s="74"/>
      <c r="AZ42" s="74"/>
      <c r="BA42" s="74"/>
      <c r="BB42" s="74"/>
      <c r="BC42" s="74"/>
      <c r="BD42" s="74"/>
      <c r="BE42" s="74"/>
      <c r="BF42" s="74"/>
      <c r="BG42" s="74"/>
      <c r="BH42" s="74"/>
      <c r="BI42" s="74"/>
      <c r="BJ42" s="74"/>
      <c r="BK42" s="74"/>
      <c r="BL42" s="74"/>
      <c r="BM42" s="74"/>
      <c r="BN42" s="74"/>
      <c r="BO42" s="74"/>
    </row>
    <row r="43" spans="1:67" ht="15.75" thickBot="1" x14ac:dyDescent="0.3">
      <c r="A43" s="385" t="s">
        <v>874</v>
      </c>
      <c r="B43" s="386" t="s">
        <v>1181</v>
      </c>
      <c r="C43" s="689"/>
      <c r="D43" s="690"/>
      <c r="E43" s="590"/>
      <c r="F43" s="74"/>
      <c r="G43" s="362" t="s">
        <v>874</v>
      </c>
      <c r="H43" s="388" t="s">
        <v>1181</v>
      </c>
      <c r="I43" s="390"/>
      <c r="J43" s="692"/>
      <c r="K43" s="694"/>
      <c r="L43" s="390"/>
      <c r="M43" s="401"/>
      <c r="N43" s="715"/>
      <c r="O43" s="390"/>
      <c r="P43" s="401"/>
      <c r="Q43" s="667"/>
      <c r="R43" s="390"/>
      <c r="S43" s="401"/>
      <c r="T43" s="667"/>
      <c r="U43" s="390"/>
      <c r="V43" s="401"/>
      <c r="W43" s="669"/>
      <c r="X43" s="390"/>
      <c r="Y43" s="401"/>
      <c r="Z43" s="667"/>
      <c r="AA43" s="390"/>
      <c r="AB43" s="401"/>
      <c r="AC43" s="669"/>
      <c r="AD43" s="390"/>
      <c r="AE43" s="401"/>
      <c r="AF43" s="667"/>
      <c r="AG43" s="390"/>
      <c r="AH43" s="401"/>
      <c r="AI43" s="669"/>
      <c r="AJ43" s="390"/>
      <c r="AK43" s="701"/>
      <c r="AL43" s="702"/>
      <c r="AM43" s="390"/>
      <c r="AN43" s="698"/>
      <c r="AO43" s="699"/>
      <c r="AP43" s="390"/>
      <c r="AQ43" s="698"/>
      <c r="AR43" s="667"/>
      <c r="AS43" s="74"/>
      <c r="AT43" s="716"/>
      <c r="AU43" s="716"/>
      <c r="AV43" s="74"/>
      <c r="AW43" s="74"/>
      <c r="AX43" s="74"/>
      <c r="AY43" s="74"/>
      <c r="AZ43" s="74"/>
      <c r="BA43" s="74"/>
      <c r="BB43" s="74"/>
      <c r="BC43" s="74"/>
      <c r="BD43" s="74"/>
      <c r="BE43" s="74"/>
      <c r="BF43" s="74"/>
      <c r="BG43" s="74"/>
      <c r="BH43" s="74"/>
      <c r="BI43" s="74"/>
      <c r="BJ43" s="74"/>
      <c r="BK43" s="74"/>
      <c r="BL43" s="74"/>
      <c r="BM43" s="74"/>
      <c r="BN43" s="74"/>
      <c r="BO43" s="74"/>
    </row>
    <row r="44" spans="1:67" ht="33" customHeight="1" x14ac:dyDescent="0.25">
      <c r="A44" s="332" t="s">
        <v>1199</v>
      </c>
      <c r="B44" s="322" t="s">
        <v>842</v>
      </c>
      <c r="C44" s="333" t="e">
        <f>IF(C135=0,0,B135/C135*D135)*0.024*$D$147</f>
        <v>#N/A</v>
      </c>
      <c r="D44" s="706" t="e">
        <f>C44*($D$38/$C$38)</f>
        <v>#N/A</v>
      </c>
      <c r="E44" s="707" t="e">
        <f>C44*($E$38/$C$38)</f>
        <v>#N/A</v>
      </c>
      <c r="F44" s="74"/>
      <c r="G44" s="334" t="s">
        <v>1199</v>
      </c>
      <c r="H44" s="326" t="s">
        <v>842</v>
      </c>
      <c r="I44" s="335" t="e">
        <f>IF($C135=0,0,$B135/$C135*$D135)*0.024*G$147</f>
        <v>#N/A</v>
      </c>
      <c r="J44" s="610" t="e">
        <f>I44*($J$38/$I$38)</f>
        <v>#N/A</v>
      </c>
      <c r="K44" s="708" t="e">
        <f>I44*($K$38/$I$38)</f>
        <v>#N/A</v>
      </c>
      <c r="L44" s="335" t="e">
        <f>IF($C135=0,0,$B135/$C135*$D135)*0.024*H$147</f>
        <v>#N/A</v>
      </c>
      <c r="M44" s="709" t="e">
        <f>L44*($M$38/$L$38)</f>
        <v>#N/A</v>
      </c>
      <c r="N44" s="710" t="e">
        <f>L44*($N$38/$L$38)</f>
        <v>#N/A</v>
      </c>
      <c r="O44" s="335" t="e">
        <f>IF($C135=0,0,$B135/$C135*$D135)*0.024*I$147</f>
        <v>#N/A</v>
      </c>
      <c r="P44" s="711" t="e">
        <f>O44*($P$38/$O$38)</f>
        <v>#N/A</v>
      </c>
      <c r="Q44" s="712" t="e">
        <f>O44*($Q$38/$O$38)</f>
        <v>#N/A</v>
      </c>
      <c r="R44" s="335" t="e">
        <f>IF($C135=0,0,$B135/$C135*$D135)*0.024*J$147</f>
        <v>#N/A</v>
      </c>
      <c r="S44" s="711" t="e">
        <f>R44*($S$38/$R$38)</f>
        <v>#N/A</v>
      </c>
      <c r="T44" s="712" t="e">
        <f>R44*($T$38/$R$38)</f>
        <v>#N/A</v>
      </c>
      <c r="U44" s="335" t="e">
        <f>IF($C135=0,0,$B135/$C135*$D135)*0.024*K$147</f>
        <v>#N/A</v>
      </c>
      <c r="V44" s="711">
        <f>IFERROR(U44*($V$38/$U$38),0)</f>
        <v>0</v>
      </c>
      <c r="W44" s="712">
        <f>IFERROR(U44*($W$38/$U$38),0)</f>
        <v>0</v>
      </c>
      <c r="X44" s="335" t="e">
        <f>IF($C135=0,0,$B135/$C135*$D135)*0.024*L$147</f>
        <v>#N/A</v>
      </c>
      <c r="Y44" s="711">
        <f>IFERROR(X44*($Y$38/$X$38),0)</f>
        <v>0</v>
      </c>
      <c r="Z44" s="712">
        <f>IFERROR(X44*($Z$38/$X$38),0)</f>
        <v>0</v>
      </c>
      <c r="AA44" s="335" t="e">
        <f>IF($C135=0,0,$B135/$C135*$D135)*0.024*M$147</f>
        <v>#N/A</v>
      </c>
      <c r="AB44" s="711">
        <f>IFERROR(AA44*($AB$38/$AA$38),0)</f>
        <v>0</v>
      </c>
      <c r="AC44" s="712">
        <f>IFERROR(AA44*($AC$38/$AA$38),0)</f>
        <v>0</v>
      </c>
      <c r="AD44" s="335" t="e">
        <f>IF($C135=0,0,$B135/$C135*$D135)*0.024*N$147</f>
        <v>#N/A</v>
      </c>
      <c r="AE44" s="711">
        <f>IFERROR(AD44*($AE$38/$AD$38),0)</f>
        <v>0</v>
      </c>
      <c r="AF44" s="712">
        <f>IFERROR(AD44*($AF$35/$AD$35),)</f>
        <v>0</v>
      </c>
      <c r="AG44" s="335" t="e">
        <f>IF($C135=0,0,$B135/$C135*$D135)*0.024*O$147</f>
        <v>#N/A</v>
      </c>
      <c r="AH44" s="711">
        <f>IFERROR(AG44*($AH$38/$AG$38),0)</f>
        <v>0</v>
      </c>
      <c r="AI44" s="712">
        <f>IFERROR(AG44*($AI$35/$AG$35),0)</f>
        <v>0</v>
      </c>
      <c r="AJ44" s="335" t="e">
        <f>IF($C135=0,0,$B135/$C135*$D135)*0.024*P$147</f>
        <v>#N/A</v>
      </c>
      <c r="AK44" s="711" t="e">
        <f>AJ44*($AK$38/$AJ$38)</f>
        <v>#N/A</v>
      </c>
      <c r="AL44" s="712">
        <f>IFERROR(AJ44*($AL$38/$AJ$38),0)</f>
        <v>0</v>
      </c>
      <c r="AM44" s="335" t="e">
        <f>IF($C135=0,0,$B135/$C135*$D135)*0.024*Q$147</f>
        <v>#N/A</v>
      </c>
      <c r="AN44" s="711" t="e">
        <f>AM44*($AN$38/$AM$38)</f>
        <v>#N/A</v>
      </c>
      <c r="AO44" s="712" t="e">
        <f>AM44*($AO$38/$AM$38)</f>
        <v>#N/A</v>
      </c>
      <c r="AP44" s="335" t="e">
        <f>IF($C135=0,0,$B135/$C135*$D135)*0.024*R$147</f>
        <v>#N/A</v>
      </c>
      <c r="AQ44" s="711" t="e">
        <f>AP44*($AQ$38/$AP$38)</f>
        <v>#N/A</v>
      </c>
      <c r="AR44" s="712" t="e">
        <f>AP44*($AR$38/$AP$38)</f>
        <v>#N/A</v>
      </c>
      <c r="AS44" s="74"/>
      <c r="AT44" s="74"/>
      <c r="AU44" s="74"/>
      <c r="AV44" s="74"/>
      <c r="AW44" s="74"/>
      <c r="AX44" s="74"/>
      <c r="AY44" s="74"/>
      <c r="AZ44" s="74"/>
      <c r="BA44" s="74"/>
      <c r="BB44" s="74"/>
      <c r="BC44" s="74"/>
      <c r="BD44" s="74"/>
      <c r="BE44" s="74"/>
      <c r="BF44" s="74"/>
      <c r="BG44" s="74"/>
      <c r="BH44" s="74"/>
      <c r="BI44" s="74"/>
      <c r="BJ44" s="74"/>
      <c r="BK44" s="74"/>
      <c r="BL44" s="74"/>
      <c r="BM44" s="74"/>
      <c r="BN44" s="74"/>
      <c r="BO44" s="74"/>
    </row>
    <row r="45" spans="1:67" x14ac:dyDescent="0.25">
      <c r="A45" s="358" t="s">
        <v>874</v>
      </c>
      <c r="B45" s="359" t="s">
        <v>1184</v>
      </c>
      <c r="C45" s="558" t="e">
        <f>0.86*C44/1000</f>
        <v>#N/A</v>
      </c>
      <c r="D45" s="377" t="e">
        <f>0.86*D44/1000</f>
        <v>#N/A</v>
      </c>
      <c r="E45" s="676" t="e">
        <f>0.86*E44/1000</f>
        <v>#N/A</v>
      </c>
      <c r="F45" s="74"/>
      <c r="G45" s="379" t="s">
        <v>874</v>
      </c>
      <c r="H45" s="380" t="s">
        <v>1184</v>
      </c>
      <c r="I45" s="688" t="e">
        <f t="shared" ref="I45:O45" si="44">0.86*I44/1000</f>
        <v>#N/A</v>
      </c>
      <c r="J45" s="680" t="e">
        <f t="shared" si="44"/>
        <v>#N/A</v>
      </c>
      <c r="K45" s="713" t="e">
        <f t="shared" si="44"/>
        <v>#N/A</v>
      </c>
      <c r="L45" s="688" t="e">
        <f t="shared" ref="L45" si="45">0.86*L44/1000</f>
        <v>#N/A</v>
      </c>
      <c r="M45" s="683" t="e">
        <f t="shared" si="44"/>
        <v>#N/A</v>
      </c>
      <c r="N45" s="683" t="e">
        <f t="shared" si="44"/>
        <v>#N/A</v>
      </c>
      <c r="O45" s="688" t="e">
        <f t="shared" si="44"/>
        <v>#N/A</v>
      </c>
      <c r="P45" s="717" t="e">
        <f t="shared" ref="P45:P57" si="46">O45*($P$35/$O$35)</f>
        <v>#N/A</v>
      </c>
      <c r="Q45" s="718" t="e">
        <f t="shared" ref="Q45" si="47">O45*($Q$35/$O$35)</f>
        <v>#N/A</v>
      </c>
      <c r="R45" s="688" t="e">
        <f t="shared" ref="R45" si="48">0.86*R44/1000</f>
        <v>#N/A</v>
      </c>
      <c r="S45" s="680" t="e">
        <f>0.86*S44/1000</f>
        <v>#N/A</v>
      </c>
      <c r="T45" s="686" t="e">
        <f>0.86*T44/1000</f>
        <v>#N/A</v>
      </c>
      <c r="U45" s="688" t="e">
        <f t="shared" ref="U45:W45" si="49">0.86*U44/1000</f>
        <v>#N/A</v>
      </c>
      <c r="V45" s="680">
        <f t="shared" si="49"/>
        <v>0</v>
      </c>
      <c r="W45" s="686">
        <f t="shared" si="49"/>
        <v>0</v>
      </c>
      <c r="X45" s="688" t="e">
        <f t="shared" ref="X45:Z45" si="50">0.86*X44/1000</f>
        <v>#N/A</v>
      </c>
      <c r="Y45" s="680">
        <f t="shared" si="50"/>
        <v>0</v>
      </c>
      <c r="Z45" s="686">
        <f t="shared" si="50"/>
        <v>0</v>
      </c>
      <c r="AA45" s="688" t="e">
        <f t="shared" ref="AA45:AC45" si="51">0.86*AA44/1000</f>
        <v>#N/A</v>
      </c>
      <c r="AB45" s="680">
        <f t="shared" si="51"/>
        <v>0</v>
      </c>
      <c r="AC45" s="686">
        <f t="shared" si="51"/>
        <v>0</v>
      </c>
      <c r="AD45" s="688" t="e">
        <f t="shared" ref="AD45:AF45" si="52">0.86*AD44/1000</f>
        <v>#N/A</v>
      </c>
      <c r="AE45" s="680">
        <f t="shared" si="52"/>
        <v>0</v>
      </c>
      <c r="AF45" s="686">
        <f t="shared" si="52"/>
        <v>0</v>
      </c>
      <c r="AG45" s="688" t="e">
        <f t="shared" ref="AG45:AH45" si="53">0.86*AG44/1000</f>
        <v>#N/A</v>
      </c>
      <c r="AH45" s="680">
        <f t="shared" si="53"/>
        <v>0</v>
      </c>
      <c r="AI45" s="686">
        <f>0.86*AI44/1000</f>
        <v>0</v>
      </c>
      <c r="AJ45" s="688" t="e">
        <f t="shared" ref="AJ45" si="54">0.86*AJ44/1000</f>
        <v>#N/A</v>
      </c>
      <c r="AK45" s="680" t="e">
        <f t="shared" ref="AK45" si="55">0.86*AK44/1000</f>
        <v>#N/A</v>
      </c>
      <c r="AL45" s="686">
        <f t="shared" ref="AL45:AM45" si="56">0.86*AL44/1000</f>
        <v>0</v>
      </c>
      <c r="AM45" s="688" t="e">
        <f t="shared" si="56"/>
        <v>#N/A</v>
      </c>
      <c r="AN45" s="680" t="e">
        <f t="shared" ref="AN45" si="57">0.86*AN44/1000</f>
        <v>#N/A</v>
      </c>
      <c r="AO45" s="686" t="e">
        <f t="shared" ref="AO45:AP45" si="58">0.86*AO44/1000</f>
        <v>#N/A</v>
      </c>
      <c r="AP45" s="688" t="e">
        <f t="shared" si="58"/>
        <v>#N/A</v>
      </c>
      <c r="AQ45" s="680" t="e">
        <f t="shared" ref="AQ45" si="59">0.86*AQ44/1000</f>
        <v>#N/A</v>
      </c>
      <c r="AR45" s="686" t="e">
        <f t="shared" ref="AR45" si="60">0.86*AR44/1000</f>
        <v>#N/A</v>
      </c>
      <c r="AS45" s="74"/>
      <c r="AT45" s="419"/>
      <c r="AU45" s="74"/>
      <c r="AV45" s="74"/>
      <c r="AW45" s="74"/>
      <c r="AX45" s="74"/>
      <c r="AY45" s="74"/>
      <c r="AZ45" s="74"/>
      <c r="BA45" s="74"/>
      <c r="BB45" s="74"/>
      <c r="BC45" s="74"/>
      <c r="BD45" s="74"/>
      <c r="BE45" s="74"/>
      <c r="BF45" s="74"/>
      <c r="BG45" s="74"/>
      <c r="BH45" s="74"/>
      <c r="BI45" s="74"/>
      <c r="BJ45" s="74"/>
      <c r="BK45" s="74"/>
      <c r="BL45" s="74"/>
      <c r="BM45" s="74"/>
      <c r="BN45" s="74"/>
      <c r="BO45" s="74"/>
    </row>
    <row r="46" spans="1:67" ht="16.5" customHeight="1" thickBot="1" x14ac:dyDescent="0.3">
      <c r="A46" s="385" t="s">
        <v>874</v>
      </c>
      <c r="B46" s="386" t="s">
        <v>1181</v>
      </c>
      <c r="C46" s="689"/>
      <c r="D46" s="690"/>
      <c r="E46" s="590"/>
      <c r="F46" s="74"/>
      <c r="G46" s="362" t="s">
        <v>874</v>
      </c>
      <c r="H46" s="388" t="s">
        <v>1181</v>
      </c>
      <c r="I46" s="390"/>
      <c r="J46" s="401"/>
      <c r="K46" s="694"/>
      <c r="L46" s="390"/>
      <c r="M46" s="401"/>
      <c r="N46" s="715"/>
      <c r="O46" s="390"/>
      <c r="P46" s="692"/>
      <c r="Q46" s="719"/>
      <c r="R46" s="390"/>
      <c r="S46" s="401"/>
      <c r="T46" s="667"/>
      <c r="U46" s="390"/>
      <c r="V46" s="401"/>
      <c r="W46" s="669"/>
      <c r="X46" s="390"/>
      <c r="Y46" s="401"/>
      <c r="Z46" s="667"/>
      <c r="AA46" s="390"/>
      <c r="AB46" s="401"/>
      <c r="AC46" s="669"/>
      <c r="AD46" s="390"/>
      <c r="AE46" s="401"/>
      <c r="AF46" s="667"/>
      <c r="AG46" s="390"/>
      <c r="AH46" s="401"/>
      <c r="AI46" s="669"/>
      <c r="AJ46" s="390"/>
      <c r="AK46" s="701"/>
      <c r="AL46" s="702"/>
      <c r="AM46" s="390"/>
      <c r="AN46" s="698"/>
      <c r="AO46" s="704"/>
      <c r="AP46" s="390"/>
      <c r="AQ46" s="698"/>
      <c r="AR46" s="667"/>
      <c r="AS46" s="74"/>
      <c r="AT46" s="419"/>
      <c r="AU46" s="74"/>
      <c r="AV46" s="74"/>
      <c r="AW46" s="74"/>
      <c r="AX46" s="74"/>
      <c r="AY46" s="74"/>
      <c r="AZ46" s="74"/>
      <c r="BA46" s="74"/>
      <c r="BB46" s="74"/>
      <c r="BC46" s="74"/>
      <c r="BD46" s="74"/>
      <c r="BE46" s="74"/>
      <c r="BF46" s="74"/>
      <c r="BG46" s="74"/>
      <c r="BH46" s="74"/>
      <c r="BI46" s="74"/>
      <c r="BJ46" s="74"/>
      <c r="BK46" s="74"/>
      <c r="BL46" s="74"/>
      <c r="BM46" s="74"/>
      <c r="BN46" s="74"/>
      <c r="BO46" s="74"/>
    </row>
    <row r="47" spans="1:67" ht="37.5" customHeight="1" x14ac:dyDescent="0.25">
      <c r="A47" s="332" t="s">
        <v>1201</v>
      </c>
      <c r="B47" s="322" t="s">
        <v>842</v>
      </c>
      <c r="C47" s="333" t="e">
        <f>IF(C136=0,0,B136/C136*D136)*0.024*$D$147</f>
        <v>#DIV/0!</v>
      </c>
      <c r="D47" s="706" t="e">
        <f>C47*($D$35/$C$35)</f>
        <v>#DIV/0!</v>
      </c>
      <c r="E47" s="707" t="e">
        <f>C47*($E$38/$C$38)</f>
        <v>#DIV/0!</v>
      </c>
      <c r="F47" s="74"/>
      <c r="G47" s="334" t="s">
        <v>1201</v>
      </c>
      <c r="H47" s="326" t="s">
        <v>842</v>
      </c>
      <c r="I47" s="335" t="e">
        <f>IF($C136=0,0,$B136/$C136*$D136)*0.024*G$147</f>
        <v>#DIV/0!</v>
      </c>
      <c r="J47" s="610" t="e">
        <f>I47*($J$38/$I$38)</f>
        <v>#DIV/0!</v>
      </c>
      <c r="K47" s="708" t="e">
        <f>I47*($K$38/$I$38)</f>
        <v>#DIV/0!</v>
      </c>
      <c r="L47" s="335" t="e">
        <f>IF($C136=0,0,$B136/$C136*$D136)*0.024*H$147</f>
        <v>#DIV/0!</v>
      </c>
      <c r="M47" s="709" t="e">
        <f>L47*($M$38/$L$38)</f>
        <v>#DIV/0!</v>
      </c>
      <c r="N47" s="708" t="e">
        <f>L47*($N$38/$L$38)</f>
        <v>#DIV/0!</v>
      </c>
      <c r="O47" s="335" t="e">
        <f>IF($C136=0,0,$B136/$C136*$D136)*0.024*I$147</f>
        <v>#DIV/0!</v>
      </c>
      <c r="P47" s="711" t="e">
        <f>O47*($P$38/$O$38)</f>
        <v>#DIV/0!</v>
      </c>
      <c r="Q47" s="712" t="e">
        <f>O47*($Q$38/$O$38)</f>
        <v>#DIV/0!</v>
      </c>
      <c r="R47" s="335" t="e">
        <f>IF($C136=0,0,$B136/$C136*$D136)*0.024*J$147</f>
        <v>#DIV/0!</v>
      </c>
      <c r="S47" s="711" t="e">
        <f>R47*($S$38/$R$38)</f>
        <v>#DIV/0!</v>
      </c>
      <c r="T47" s="712" t="e">
        <f>R47*($T$38/$R$38)</f>
        <v>#DIV/0!</v>
      </c>
      <c r="U47" s="335" t="e">
        <f>IF($C136=0,0,$B136/$C136*$D136)*0.024*K$147</f>
        <v>#DIV/0!</v>
      </c>
      <c r="V47" s="711">
        <f>IFERROR(U47*($V$38/$U$38),0)</f>
        <v>0</v>
      </c>
      <c r="W47" s="712">
        <f>IFERROR(U47*($W$38/$U$38),0)</f>
        <v>0</v>
      </c>
      <c r="X47" s="335" t="e">
        <f>IF($C136=0,0,$B136/$C136*$D136)*0.024*L$147</f>
        <v>#DIV/0!</v>
      </c>
      <c r="Y47" s="711">
        <f>IFERROR(X47*($Y$38/$X$38),0)</f>
        <v>0</v>
      </c>
      <c r="Z47" s="712">
        <f>IFERROR(X47*($Z$38/$X$38),0)</f>
        <v>0</v>
      </c>
      <c r="AA47" s="335" t="e">
        <f>IF($C136=0,0,$B136/$C136*$D136)*0.024*M$147</f>
        <v>#DIV/0!</v>
      </c>
      <c r="AB47" s="711">
        <f>IFERROR(AA47*($AB$38/$AA$38),0)</f>
        <v>0</v>
      </c>
      <c r="AC47" s="712">
        <f>IFERROR(AA47*($AC$38/$AA$38),0)</f>
        <v>0</v>
      </c>
      <c r="AD47" s="335" t="e">
        <f>IF($C136=0,0,$B136/$C136*$D136)*0.024*N$147</f>
        <v>#DIV/0!</v>
      </c>
      <c r="AE47" s="711">
        <f>IFERROR(AD47*($AE$38/$AD$38),0)</f>
        <v>0</v>
      </c>
      <c r="AF47" s="712">
        <f>IFERROR(AD47*($AF$35/$AD$35),)</f>
        <v>0</v>
      </c>
      <c r="AG47" s="335" t="e">
        <f>IF($C136=0,0,$B136/$C136*$D136)*0.024*O$147</f>
        <v>#DIV/0!</v>
      </c>
      <c r="AH47" s="720">
        <f>IFERROR(AG47*($AH$35/$AG$35),0)</f>
        <v>0</v>
      </c>
      <c r="AI47" s="721">
        <f>IFERROR(AG47*($AI$35/$AG$35),0)</f>
        <v>0</v>
      </c>
      <c r="AJ47" s="335" t="e">
        <f>IF($C136=0,0,$B136/$C136*$D136)*0.024*P$147</f>
        <v>#DIV/0!</v>
      </c>
      <c r="AK47" s="711" t="e">
        <f>AJ47*($AK$38/$AJ$38)</f>
        <v>#DIV/0!</v>
      </c>
      <c r="AL47" s="712">
        <f>IFERROR(AJ47*($AL$38/$AJ$38),)</f>
        <v>0</v>
      </c>
      <c r="AM47" s="335" t="e">
        <f>IF($C136=0,0,$B136/$C136*$D136)*0.024*Q$147</f>
        <v>#DIV/0!</v>
      </c>
      <c r="AN47" s="711" t="e">
        <f>AM47*($AN$38/$AM$38)</f>
        <v>#DIV/0!</v>
      </c>
      <c r="AO47" s="712" t="e">
        <f>AM47*($AO$38/$AM$38)</f>
        <v>#DIV/0!</v>
      </c>
      <c r="AP47" s="335" t="e">
        <f>IF($C136=0,0,$B136/$C136*$D136)*0.024*R$147</f>
        <v>#DIV/0!</v>
      </c>
      <c r="AQ47" s="711" t="e">
        <f>AP47*($AQ$38/$AP$38)</f>
        <v>#DIV/0!</v>
      </c>
      <c r="AR47" s="712" t="e">
        <f>AP47*($AR$38/$AP$38)</f>
        <v>#DIV/0!</v>
      </c>
      <c r="AS47" s="74"/>
      <c r="AT47" s="722"/>
      <c r="AU47" s="675"/>
      <c r="AV47" s="74"/>
      <c r="AW47" s="74"/>
      <c r="AX47" s="74"/>
      <c r="AY47" s="74"/>
      <c r="AZ47" s="74"/>
      <c r="BA47" s="74"/>
      <c r="BB47" s="74"/>
      <c r="BC47" s="74"/>
      <c r="BD47" s="74"/>
      <c r="BE47" s="74"/>
      <c r="BF47" s="74"/>
      <c r="BG47" s="74"/>
      <c r="BH47" s="74"/>
      <c r="BI47" s="74"/>
      <c r="BJ47" s="74"/>
      <c r="BK47" s="74"/>
      <c r="BL47" s="74"/>
      <c r="BM47" s="74"/>
      <c r="BN47" s="74"/>
      <c r="BO47" s="74"/>
    </row>
    <row r="48" spans="1:67" ht="13.5" customHeight="1" x14ac:dyDescent="0.25">
      <c r="A48" s="358" t="s">
        <v>874</v>
      </c>
      <c r="B48" s="359" t="s">
        <v>1184</v>
      </c>
      <c r="C48" s="558" t="e">
        <f>0.86*C47/1000</f>
        <v>#DIV/0!</v>
      </c>
      <c r="D48" s="377" t="e">
        <f>0.86*D47/1000</f>
        <v>#DIV/0!</v>
      </c>
      <c r="E48" s="676" t="e">
        <f>0.86*E47/1000</f>
        <v>#DIV/0!</v>
      </c>
      <c r="F48" s="74"/>
      <c r="G48" s="379" t="s">
        <v>874</v>
      </c>
      <c r="H48" s="380" t="s">
        <v>1184</v>
      </c>
      <c r="I48" s="723" t="e">
        <f t="shared" ref="I48:O48" si="61">0.86*I47/1000</f>
        <v>#DIV/0!</v>
      </c>
      <c r="J48" s="680" t="e">
        <f t="shared" si="61"/>
        <v>#DIV/0!</v>
      </c>
      <c r="K48" s="724" t="e">
        <f t="shared" si="61"/>
        <v>#DIV/0!</v>
      </c>
      <c r="L48" s="723" t="e">
        <f t="shared" ref="L48" si="62">0.86*L47/1000</f>
        <v>#DIV/0!</v>
      </c>
      <c r="M48" s="683" t="e">
        <f t="shared" si="61"/>
        <v>#DIV/0!</v>
      </c>
      <c r="N48" s="681" t="e">
        <f t="shared" si="61"/>
        <v>#DIV/0!</v>
      </c>
      <c r="O48" s="723" t="e">
        <f t="shared" si="61"/>
        <v>#DIV/0!</v>
      </c>
      <c r="P48" s="717" t="e">
        <f t="shared" si="46"/>
        <v>#DIV/0!</v>
      </c>
      <c r="Q48" s="718" t="e">
        <f t="shared" ref="Q48" si="63">O48*($Q$35/$O$35)</f>
        <v>#DIV/0!</v>
      </c>
      <c r="R48" s="723" t="e">
        <f t="shared" ref="R48" si="64">0.86*R47/1000</f>
        <v>#DIV/0!</v>
      </c>
      <c r="S48" s="725" t="e">
        <f>0.86*S47/1000</f>
        <v>#DIV/0!</v>
      </c>
      <c r="T48" s="726" t="e">
        <f>0.86*T47/1000</f>
        <v>#DIV/0!</v>
      </c>
      <c r="U48" s="723" t="e">
        <f t="shared" ref="U48:W48" si="65">0.86*U47/1000</f>
        <v>#DIV/0!</v>
      </c>
      <c r="V48" s="680">
        <f t="shared" si="65"/>
        <v>0</v>
      </c>
      <c r="W48" s="686">
        <f t="shared" si="65"/>
        <v>0</v>
      </c>
      <c r="X48" s="723" t="e">
        <f t="shared" ref="X48:Z48" si="66">0.86*X47/1000</f>
        <v>#DIV/0!</v>
      </c>
      <c r="Y48" s="680">
        <f t="shared" si="66"/>
        <v>0</v>
      </c>
      <c r="Z48" s="686">
        <f t="shared" si="66"/>
        <v>0</v>
      </c>
      <c r="AA48" s="723" t="e">
        <f t="shared" ref="AA48:AC48" si="67">0.86*AA47/1000</f>
        <v>#DIV/0!</v>
      </c>
      <c r="AB48" s="680">
        <f t="shared" si="67"/>
        <v>0</v>
      </c>
      <c r="AC48" s="686">
        <f t="shared" si="67"/>
        <v>0</v>
      </c>
      <c r="AD48" s="723" t="e">
        <f t="shared" ref="AD48:AF48" si="68">0.86*AD47/1000</f>
        <v>#DIV/0!</v>
      </c>
      <c r="AE48" s="680">
        <f t="shared" si="68"/>
        <v>0</v>
      </c>
      <c r="AF48" s="686">
        <f t="shared" si="68"/>
        <v>0</v>
      </c>
      <c r="AG48" s="723" t="e">
        <f t="shared" ref="AG48:AH48" si="69">0.86*AG47/1000</f>
        <v>#DIV/0!</v>
      </c>
      <c r="AH48" s="680">
        <f t="shared" si="69"/>
        <v>0</v>
      </c>
      <c r="AI48" s="686">
        <f>0.86*AI47/1000</f>
        <v>0</v>
      </c>
      <c r="AJ48" s="723" t="e">
        <f t="shared" ref="AJ48" si="70">0.86*AJ47/1000</f>
        <v>#DIV/0!</v>
      </c>
      <c r="AK48" s="680" t="e">
        <f t="shared" ref="AK48" si="71">0.86*AK47/1000</f>
        <v>#DIV/0!</v>
      </c>
      <c r="AL48" s="686">
        <f t="shared" ref="AL48:AM48" si="72">0.86*AL47/1000</f>
        <v>0</v>
      </c>
      <c r="AM48" s="723" t="e">
        <f t="shared" si="72"/>
        <v>#DIV/0!</v>
      </c>
      <c r="AN48" s="680" t="e">
        <f t="shared" ref="AN48" si="73">0.86*AN47/1000</f>
        <v>#DIV/0!</v>
      </c>
      <c r="AO48" s="686" t="e">
        <f t="shared" ref="AO48:AP48" si="74">0.86*AO47/1000</f>
        <v>#DIV/0!</v>
      </c>
      <c r="AP48" s="723" t="e">
        <f t="shared" si="74"/>
        <v>#DIV/0!</v>
      </c>
      <c r="AQ48" s="680" t="e">
        <f t="shared" ref="AQ48" si="75">0.86*AQ47/1000</f>
        <v>#DIV/0!</v>
      </c>
      <c r="AR48" s="686" t="e">
        <f t="shared" ref="AR48" si="76">0.86*AR47/1000</f>
        <v>#DIV/0!</v>
      </c>
      <c r="AS48" s="74"/>
      <c r="AT48" s="419"/>
      <c r="AU48" s="74"/>
      <c r="AV48" s="74"/>
      <c r="AW48" s="74"/>
      <c r="AX48" s="74"/>
      <c r="AY48" s="74"/>
      <c r="AZ48" s="74"/>
      <c r="BA48" s="74"/>
      <c r="BB48" s="74"/>
      <c r="BC48" s="74"/>
      <c r="BD48" s="74"/>
      <c r="BE48" s="74"/>
      <c r="BF48" s="74"/>
      <c r="BG48" s="74"/>
      <c r="BH48" s="74"/>
      <c r="BI48" s="74"/>
      <c r="BJ48" s="74"/>
      <c r="BK48" s="74"/>
      <c r="BL48" s="74"/>
      <c r="BM48" s="74"/>
      <c r="BN48" s="74"/>
      <c r="BO48" s="74"/>
    </row>
    <row r="49" spans="1:67" ht="13.5" customHeight="1" thickBot="1" x14ac:dyDescent="0.3">
      <c r="A49" s="385" t="s">
        <v>874</v>
      </c>
      <c r="B49" s="386" t="s">
        <v>1181</v>
      </c>
      <c r="C49" s="689"/>
      <c r="D49" s="690"/>
      <c r="E49" s="590"/>
      <c r="F49" s="74"/>
      <c r="G49" s="362" t="s">
        <v>874</v>
      </c>
      <c r="H49" s="388" t="s">
        <v>1181</v>
      </c>
      <c r="I49" s="390"/>
      <c r="J49" s="401"/>
      <c r="K49" s="694"/>
      <c r="L49" s="390"/>
      <c r="M49" s="401"/>
      <c r="N49" s="694"/>
      <c r="O49" s="390"/>
      <c r="P49" s="401"/>
      <c r="Q49" s="667"/>
      <c r="R49" s="390"/>
      <c r="S49" s="401"/>
      <c r="T49" s="667"/>
      <c r="U49" s="390"/>
      <c r="V49" s="401"/>
      <c r="W49" s="669"/>
      <c r="X49" s="390"/>
      <c r="Y49" s="401"/>
      <c r="Z49" s="667"/>
      <c r="AA49" s="390"/>
      <c r="AB49" s="401"/>
      <c r="AC49" s="669"/>
      <c r="AD49" s="390"/>
      <c r="AE49" s="401"/>
      <c r="AF49" s="667"/>
      <c r="AG49" s="390"/>
      <c r="AH49" s="401"/>
      <c r="AI49" s="669"/>
      <c r="AJ49" s="390"/>
      <c r="AK49" s="701"/>
      <c r="AL49" s="727"/>
      <c r="AM49" s="390"/>
      <c r="AN49" s="698"/>
      <c r="AO49" s="704"/>
      <c r="AP49" s="390"/>
      <c r="AQ49" s="698"/>
      <c r="AR49" s="667"/>
      <c r="AS49" s="74"/>
      <c r="AT49" s="317"/>
      <c r="AU49" s="74"/>
      <c r="AV49" s="74"/>
      <c r="AW49" s="74"/>
      <c r="AX49" s="74"/>
      <c r="AY49" s="74"/>
      <c r="AZ49" s="74"/>
      <c r="BA49" s="74"/>
      <c r="BB49" s="74"/>
      <c r="BC49" s="74"/>
      <c r="BD49" s="74"/>
      <c r="BE49" s="74"/>
      <c r="BF49" s="74"/>
      <c r="BG49" s="74"/>
      <c r="BH49" s="74"/>
      <c r="BI49" s="74"/>
      <c r="BJ49" s="74"/>
      <c r="BK49" s="74"/>
      <c r="BL49" s="74"/>
      <c r="BM49" s="74"/>
      <c r="BN49" s="74"/>
      <c r="BO49" s="74"/>
    </row>
    <row r="50" spans="1:67" ht="37.5" customHeight="1" x14ac:dyDescent="0.25">
      <c r="A50" s="332" t="s">
        <v>1589</v>
      </c>
      <c r="B50" s="322" t="s">
        <v>842</v>
      </c>
      <c r="C50" s="333" t="e">
        <f>IF(C137=0,0,B137/C137*D137)*0.024*$D$147</f>
        <v>#N/A</v>
      </c>
      <c r="D50" s="706" t="e">
        <f>C50*($D$35/$C$35)</f>
        <v>#N/A</v>
      </c>
      <c r="E50" s="707" t="e">
        <f>C50*($E$38/$C$38)</f>
        <v>#N/A</v>
      </c>
      <c r="F50" s="74"/>
      <c r="G50" s="332" t="s">
        <v>1589</v>
      </c>
      <c r="H50" s="326" t="s">
        <v>842</v>
      </c>
      <c r="I50" s="335" t="e">
        <f>IF($C137=0,0,$B137/$C137*$D137)*0.024*G$147</f>
        <v>#N/A</v>
      </c>
      <c r="J50" s="610" t="e">
        <f>I50*($J$38/$I$38)</f>
        <v>#N/A</v>
      </c>
      <c r="K50" s="708" t="e">
        <f>I50*($K$38/$I$38)</f>
        <v>#N/A</v>
      </c>
      <c r="L50" s="335" t="e">
        <f>IF($C137=0,0,$B137/$C137*$D137)*0.024*H$147</f>
        <v>#N/A</v>
      </c>
      <c r="M50" s="709" t="e">
        <f>L50*($M$38/$L$38)</f>
        <v>#N/A</v>
      </c>
      <c r="N50" s="708" t="e">
        <f>L50*($N$38/$L$38)</f>
        <v>#N/A</v>
      </c>
      <c r="O50" s="335" t="e">
        <f>IF($C137=0,0,$B137/$C137*$D137)*0.024*I$147</f>
        <v>#N/A</v>
      </c>
      <c r="P50" s="711" t="e">
        <f>O50*($P$38/$O$38)</f>
        <v>#N/A</v>
      </c>
      <c r="Q50" s="712" t="e">
        <f>O50*($Q$38/$O$38)</f>
        <v>#N/A</v>
      </c>
      <c r="R50" s="335" t="e">
        <f>IF($C137=0,0,$B137/$C137*$D137)*0.024*J$147</f>
        <v>#N/A</v>
      </c>
      <c r="S50" s="711" t="e">
        <f>R50*($S$38/$R$38)</f>
        <v>#N/A</v>
      </c>
      <c r="T50" s="712" t="e">
        <f>R50*($T$38/$R$38)</f>
        <v>#N/A</v>
      </c>
      <c r="U50" s="335" t="e">
        <f>IF($C137=0,0,$B137/$C137*$D137)*0.024*K$147</f>
        <v>#N/A</v>
      </c>
      <c r="V50" s="711">
        <f>IFERROR(U50*($V$38/$U$38),0)</f>
        <v>0</v>
      </c>
      <c r="W50" s="712">
        <f>IFERROR(U50*($W$38/$U$38),0)</f>
        <v>0</v>
      </c>
      <c r="X50" s="335" t="e">
        <f>IF($C137=0,0,$B137/$C137*$D137)*0.024*L$147</f>
        <v>#N/A</v>
      </c>
      <c r="Y50" s="711">
        <f>IFERROR(X50*($Y$38/$X$38),0)</f>
        <v>0</v>
      </c>
      <c r="Z50" s="712">
        <f>IFERROR(X50*($Z$38/$X$38),0)</f>
        <v>0</v>
      </c>
      <c r="AA50" s="335" t="e">
        <f>IF($C137=0,0,$B137/$C137*$D137)*0.024*M$147</f>
        <v>#N/A</v>
      </c>
      <c r="AB50" s="711">
        <f>IFERROR(AA50*($AB$38/$AA$38),0)</f>
        <v>0</v>
      </c>
      <c r="AC50" s="712">
        <f>IFERROR(AA50*($AC$38/$AA$38),0)</f>
        <v>0</v>
      </c>
      <c r="AD50" s="335" t="e">
        <f>IF($C137=0,0,$B137/$C137*$D137)*0.024*N$147</f>
        <v>#N/A</v>
      </c>
      <c r="AE50" s="711">
        <f>IFERROR(AD50*($AE$38/$AD$38),0)</f>
        <v>0</v>
      </c>
      <c r="AF50" s="712">
        <f>IFERROR(AD50*($AF$35/$AD$35),)</f>
        <v>0</v>
      </c>
      <c r="AG50" s="335" t="e">
        <f>IF($C137=0,0,$B137/$C137*$D137)*0.024*O$147</f>
        <v>#N/A</v>
      </c>
      <c r="AH50" s="720">
        <f>IFERROR(AG50*($AH$35/$AG$35),0)</f>
        <v>0</v>
      </c>
      <c r="AI50" s="721">
        <f>IFERROR(AG50*($AI$35/$AG$35),0)</f>
        <v>0</v>
      </c>
      <c r="AJ50" s="335" t="e">
        <f>IF($C137=0,0,$B137/$C137*$D137)*0.024*P$147</f>
        <v>#N/A</v>
      </c>
      <c r="AK50" s="711" t="e">
        <f>AJ50*($AK$38/$AJ$38)</f>
        <v>#N/A</v>
      </c>
      <c r="AL50" s="712">
        <f>IFERROR(AJ50*($AL$38/$AJ$38),)</f>
        <v>0</v>
      </c>
      <c r="AM50" s="335" t="e">
        <f>IF($C137=0,0,$B137/$C137*$D137)*0.024*Q$147</f>
        <v>#N/A</v>
      </c>
      <c r="AN50" s="711" t="e">
        <f>AM50*($AN$38/$AM$38)</f>
        <v>#N/A</v>
      </c>
      <c r="AO50" s="712" t="e">
        <f>AM50*($AO$38/$AM$38)</f>
        <v>#N/A</v>
      </c>
      <c r="AP50" s="335" t="e">
        <f>IF($C137=0,0,$B137/$C137*$D137)*0.024*R$147</f>
        <v>#N/A</v>
      </c>
      <c r="AQ50" s="711" t="e">
        <f>AP50*($AQ$38/$AP$38)</f>
        <v>#N/A</v>
      </c>
      <c r="AR50" s="712" t="e">
        <f>AP50*($AR$38/$AP$38)</f>
        <v>#N/A</v>
      </c>
      <c r="AS50" s="74"/>
      <c r="AT50" s="722"/>
      <c r="AU50" s="675"/>
      <c r="AV50" s="74"/>
      <c r="AW50" s="74"/>
      <c r="AX50" s="74"/>
      <c r="AY50" s="74"/>
      <c r="AZ50" s="74"/>
      <c r="BA50" s="74"/>
      <c r="BB50" s="74"/>
      <c r="BC50" s="74"/>
      <c r="BD50" s="74"/>
      <c r="BE50" s="74"/>
      <c r="BF50" s="74"/>
      <c r="BG50" s="74"/>
      <c r="BH50" s="74"/>
      <c r="BI50" s="74"/>
      <c r="BJ50" s="74"/>
      <c r="BK50" s="74"/>
      <c r="BL50" s="74"/>
      <c r="BM50" s="74"/>
      <c r="BN50" s="74"/>
      <c r="BO50" s="74"/>
    </row>
    <row r="51" spans="1:67" ht="13.5" customHeight="1" x14ac:dyDescent="0.25">
      <c r="A51" s="358" t="s">
        <v>874</v>
      </c>
      <c r="B51" s="359" t="s">
        <v>1184</v>
      </c>
      <c r="C51" s="558" t="e">
        <f>0.86*C50/1000</f>
        <v>#N/A</v>
      </c>
      <c r="D51" s="377" t="e">
        <f>0.86*D50/1000</f>
        <v>#N/A</v>
      </c>
      <c r="E51" s="676" t="e">
        <f>0.86*E50/1000</f>
        <v>#N/A</v>
      </c>
      <c r="F51" s="74"/>
      <c r="G51" s="379" t="s">
        <v>874</v>
      </c>
      <c r="H51" s="380" t="s">
        <v>1184</v>
      </c>
      <c r="I51" s="723" t="e">
        <f t="shared" ref="I51:O51" si="77">0.86*I50/1000</f>
        <v>#N/A</v>
      </c>
      <c r="J51" s="680" t="e">
        <f t="shared" si="77"/>
        <v>#N/A</v>
      </c>
      <c r="K51" s="724" t="e">
        <f t="shared" si="77"/>
        <v>#N/A</v>
      </c>
      <c r="L51" s="723" t="e">
        <f t="shared" si="77"/>
        <v>#N/A</v>
      </c>
      <c r="M51" s="683" t="e">
        <f t="shared" si="77"/>
        <v>#N/A</v>
      </c>
      <c r="N51" s="681" t="e">
        <f t="shared" si="77"/>
        <v>#N/A</v>
      </c>
      <c r="O51" s="723" t="e">
        <f t="shared" si="77"/>
        <v>#N/A</v>
      </c>
      <c r="P51" s="717" t="e">
        <f t="shared" ref="P51" si="78">O51*($P$35/$O$35)</f>
        <v>#N/A</v>
      </c>
      <c r="Q51" s="718" t="e">
        <f t="shared" ref="Q51" si="79">O51*($Q$35/$O$35)</f>
        <v>#N/A</v>
      </c>
      <c r="R51" s="723" t="e">
        <f t="shared" ref="R51" si="80">0.86*R50/1000</f>
        <v>#N/A</v>
      </c>
      <c r="S51" s="725" t="e">
        <f>0.86*S50/1000</f>
        <v>#N/A</v>
      </c>
      <c r="T51" s="726" t="e">
        <f>0.86*T50/1000</f>
        <v>#N/A</v>
      </c>
      <c r="U51" s="723" t="e">
        <f t="shared" ref="U51:AH51" si="81">0.86*U50/1000</f>
        <v>#N/A</v>
      </c>
      <c r="V51" s="680">
        <f t="shared" si="81"/>
        <v>0</v>
      </c>
      <c r="W51" s="686">
        <f t="shared" si="81"/>
        <v>0</v>
      </c>
      <c r="X51" s="723" t="e">
        <f t="shared" si="81"/>
        <v>#N/A</v>
      </c>
      <c r="Y51" s="680">
        <f t="shared" si="81"/>
        <v>0</v>
      </c>
      <c r="Z51" s="686">
        <f t="shared" si="81"/>
        <v>0</v>
      </c>
      <c r="AA51" s="723" t="e">
        <f t="shared" si="81"/>
        <v>#N/A</v>
      </c>
      <c r="AB51" s="680">
        <f t="shared" si="81"/>
        <v>0</v>
      </c>
      <c r="AC51" s="686">
        <f t="shared" si="81"/>
        <v>0</v>
      </c>
      <c r="AD51" s="723" t="e">
        <f t="shared" si="81"/>
        <v>#N/A</v>
      </c>
      <c r="AE51" s="680">
        <f t="shared" si="81"/>
        <v>0</v>
      </c>
      <c r="AF51" s="686">
        <f t="shared" si="81"/>
        <v>0</v>
      </c>
      <c r="AG51" s="723" t="e">
        <f t="shared" si="81"/>
        <v>#N/A</v>
      </c>
      <c r="AH51" s="680">
        <f t="shared" si="81"/>
        <v>0</v>
      </c>
      <c r="AI51" s="686">
        <f>0.86*AI50/1000</f>
        <v>0</v>
      </c>
      <c r="AJ51" s="723" t="e">
        <f t="shared" ref="AJ51:AR51" si="82">0.86*AJ50/1000</f>
        <v>#N/A</v>
      </c>
      <c r="AK51" s="680" t="e">
        <f t="shared" si="82"/>
        <v>#N/A</v>
      </c>
      <c r="AL51" s="686">
        <f t="shared" si="82"/>
        <v>0</v>
      </c>
      <c r="AM51" s="723" t="e">
        <f t="shared" si="82"/>
        <v>#N/A</v>
      </c>
      <c r="AN51" s="680" t="e">
        <f t="shared" si="82"/>
        <v>#N/A</v>
      </c>
      <c r="AO51" s="686" t="e">
        <f t="shared" si="82"/>
        <v>#N/A</v>
      </c>
      <c r="AP51" s="723" t="e">
        <f t="shared" si="82"/>
        <v>#N/A</v>
      </c>
      <c r="AQ51" s="680" t="e">
        <f t="shared" si="82"/>
        <v>#N/A</v>
      </c>
      <c r="AR51" s="686" t="e">
        <f t="shared" si="82"/>
        <v>#N/A</v>
      </c>
      <c r="AS51" s="74"/>
      <c r="AT51" s="419"/>
      <c r="AU51" s="74"/>
      <c r="AV51" s="74"/>
      <c r="AW51" s="74"/>
      <c r="AX51" s="74"/>
      <c r="AY51" s="74"/>
      <c r="AZ51" s="74"/>
      <c r="BA51" s="74"/>
      <c r="BB51" s="74"/>
      <c r="BC51" s="74"/>
      <c r="BD51" s="74"/>
      <c r="BE51" s="74"/>
      <c r="BF51" s="74"/>
      <c r="BG51" s="74"/>
      <c r="BH51" s="74"/>
      <c r="BI51" s="74"/>
      <c r="BJ51" s="74"/>
      <c r="BK51" s="74"/>
      <c r="BL51" s="74"/>
      <c r="BM51" s="74"/>
      <c r="BN51" s="74"/>
      <c r="BO51" s="74"/>
    </row>
    <row r="52" spans="1:67" ht="13.5" customHeight="1" thickBot="1" x14ac:dyDescent="0.3">
      <c r="A52" s="385" t="s">
        <v>874</v>
      </c>
      <c r="B52" s="386" t="s">
        <v>1181</v>
      </c>
      <c r="C52" s="689"/>
      <c r="D52" s="690"/>
      <c r="E52" s="590"/>
      <c r="F52" s="74"/>
      <c r="G52" s="362" t="s">
        <v>874</v>
      </c>
      <c r="H52" s="388" t="s">
        <v>1181</v>
      </c>
      <c r="I52" s="390"/>
      <c r="J52" s="401"/>
      <c r="K52" s="694"/>
      <c r="L52" s="390"/>
      <c r="M52" s="401"/>
      <c r="N52" s="694"/>
      <c r="O52" s="390"/>
      <c r="P52" s="401"/>
      <c r="Q52" s="667"/>
      <c r="R52" s="390"/>
      <c r="S52" s="401"/>
      <c r="T52" s="667"/>
      <c r="U52" s="390"/>
      <c r="V52" s="401"/>
      <c r="W52" s="669"/>
      <c r="X52" s="390"/>
      <c r="Y52" s="401"/>
      <c r="Z52" s="667"/>
      <c r="AA52" s="390"/>
      <c r="AB52" s="401"/>
      <c r="AC52" s="669"/>
      <c r="AD52" s="390"/>
      <c r="AE52" s="401"/>
      <c r="AF52" s="667"/>
      <c r="AG52" s="390"/>
      <c r="AH52" s="401"/>
      <c r="AI52" s="669"/>
      <c r="AJ52" s="390"/>
      <c r="AK52" s="701"/>
      <c r="AL52" s="727"/>
      <c r="AM52" s="390"/>
      <c r="AN52" s="698"/>
      <c r="AO52" s="704"/>
      <c r="AP52" s="390"/>
      <c r="AQ52" s="698"/>
      <c r="AR52" s="667"/>
      <c r="AS52" s="74"/>
      <c r="AT52" s="317"/>
      <c r="AU52" s="74"/>
      <c r="AV52" s="74"/>
      <c r="AW52" s="74"/>
      <c r="AX52" s="74"/>
      <c r="AY52" s="74"/>
      <c r="AZ52" s="74"/>
      <c r="BA52" s="74"/>
      <c r="BB52" s="74"/>
      <c r="BC52" s="74"/>
      <c r="BD52" s="74"/>
      <c r="BE52" s="74"/>
      <c r="BF52" s="74"/>
      <c r="BG52" s="74"/>
      <c r="BH52" s="74"/>
      <c r="BI52" s="74"/>
      <c r="BJ52" s="74"/>
      <c r="BK52" s="74"/>
      <c r="BL52" s="74"/>
      <c r="BM52" s="74"/>
      <c r="BN52" s="74"/>
      <c r="BO52" s="74"/>
    </row>
    <row r="53" spans="1:67" ht="27.75" customHeight="1" x14ac:dyDescent="0.25">
      <c r="A53" s="332" t="s">
        <v>1203</v>
      </c>
      <c r="B53" s="322" t="s">
        <v>842</v>
      </c>
      <c r="C53" s="333" t="e">
        <f>(IF(C138=0,0,B138/C138*D138)+IF(C139=0,0,B139/C139*D139)+IF(C140=0,0,B140/C140*D140))*0.024*$D$147</f>
        <v>#N/A</v>
      </c>
      <c r="D53" s="706" t="e">
        <f>C53*($D$38/$C$38)</f>
        <v>#N/A</v>
      </c>
      <c r="E53" s="707" t="e">
        <f>C53*($E$38/$C$38)</f>
        <v>#N/A</v>
      </c>
      <c r="F53" s="74"/>
      <c r="G53" s="334" t="s">
        <v>1203</v>
      </c>
      <c r="H53" s="326" t="s">
        <v>842</v>
      </c>
      <c r="I53" s="335" t="e">
        <f>(IF(C138=0,0,B138/C138*D138)+IF(C139=0,0,B139/C139*D139)+IF(C140=0,0,B140/C140*D140))*0.024*G$147</f>
        <v>#N/A</v>
      </c>
      <c r="J53" s="610" t="e">
        <f>I53*($J$38/$I$38)</f>
        <v>#N/A</v>
      </c>
      <c r="K53" s="708" t="e">
        <f>I53*($K$38/$I$38)</f>
        <v>#N/A</v>
      </c>
      <c r="L53" s="335" t="e">
        <f>(IF(C138=0,0,B138/C138*D138)+IF(C139=0,0,B139/C139*D139)+IF(C140=0,0,B140/C140*D140))*0.024*H$147</f>
        <v>#N/A</v>
      </c>
      <c r="M53" s="709" t="e">
        <f>L53*($M$38/$L$38)</f>
        <v>#N/A</v>
      </c>
      <c r="N53" s="708" t="e">
        <f>L53*($N$38/$L$38)</f>
        <v>#N/A</v>
      </c>
      <c r="O53" s="335" t="e">
        <f>(IF(C138=0,0,B138/C138*D138)+IF(C139=0,0,B139/C139*D139)+IF(C140=0,0,B140/C140*D140))*0.024*I$147</f>
        <v>#N/A</v>
      </c>
      <c r="P53" s="711" t="e">
        <f>O53*($P$38/$O$38)</f>
        <v>#N/A</v>
      </c>
      <c r="Q53" s="712" t="e">
        <f>O53*($Q$38/$O$38)</f>
        <v>#N/A</v>
      </c>
      <c r="R53" s="335" t="e">
        <f>(IF(C138=0,0,B138/C138*D138)+IF(C139=0,0,B139/C139*D139)+IF(C140=0,0,B140/C140*D140))*0.024*J$147</f>
        <v>#N/A</v>
      </c>
      <c r="S53" s="711" t="e">
        <f>R53*($S$38/$R$38)</f>
        <v>#N/A</v>
      </c>
      <c r="T53" s="712" t="e">
        <f>R53*($T$38/$R$38)</f>
        <v>#N/A</v>
      </c>
      <c r="U53" s="335" t="e">
        <f>(IF(C138=0,0,B138/C138*D138)+IF(C139=0,0,B139/C139*D139)+IF(C140=0,0,B140/C140*D140))*0.024*K$147</f>
        <v>#N/A</v>
      </c>
      <c r="V53" s="711">
        <f>IFERROR(U53*($V$38/$U$38),0)</f>
        <v>0</v>
      </c>
      <c r="W53" s="712">
        <f>IFERROR(U53*($W$38/$U$38),0)</f>
        <v>0</v>
      </c>
      <c r="X53" s="335" t="e">
        <f>(IF(C138=0,0,B138/C138*D138)+IF(C139=0,0,B139/C139*D139)+IF(C140=0,0,B140/C140*D140))*0.024*L$147</f>
        <v>#N/A</v>
      </c>
      <c r="Y53" s="711">
        <f>IFERROR(X53*($Y$38/$X$38),0)</f>
        <v>0</v>
      </c>
      <c r="Z53" s="712">
        <f>IFERROR(X53*($Z$38/$X$38),0)</f>
        <v>0</v>
      </c>
      <c r="AA53" s="335" t="e">
        <f>(IF(C138=0,0,B138/C138*D138)+IF(C139=0,0,B139/C139*D139)+IF(C140=0,0,B140/C140*D140))*0.024*M$147</f>
        <v>#N/A</v>
      </c>
      <c r="AB53" s="711">
        <f>IFERROR(AA53*($AB$38/$AA$38),0)</f>
        <v>0</v>
      </c>
      <c r="AC53" s="712">
        <f>IFERROR(AA53*($AC$38/$AA$38),0)</f>
        <v>0</v>
      </c>
      <c r="AD53" s="335" t="e">
        <f>(IF(C138=0,0,B138/C138*D138)+IF(C139=0,0,B139/C139*D139)+IF(C140=0,0,B140/C140*D140))*0.024*N$147</f>
        <v>#N/A</v>
      </c>
      <c r="AE53" s="711">
        <f>IFERROR(AD53*($AE$38/$AD$38),0)</f>
        <v>0</v>
      </c>
      <c r="AF53" s="712">
        <f>IFERROR(AD53*($AF$35/$AD$35),)</f>
        <v>0</v>
      </c>
      <c r="AG53" s="335" t="e">
        <f>(IF(C138=0,0,B138/C138*D138)+IF(C139=0,0,B139/C139*D139)+IF(C140=0,0,B140/C140*D140))*0.024*O$147</f>
        <v>#N/A</v>
      </c>
      <c r="AH53" s="711">
        <f>IFERROR(AG53*($AH$38/$AG$38),)</f>
        <v>0</v>
      </c>
      <c r="AI53" s="712">
        <f>IFERROR(AG53*($AI$35/$AG$35),0)</f>
        <v>0</v>
      </c>
      <c r="AJ53" s="335" t="e">
        <f>(IF(C138=0,0,B138/C138*D138)+IF(C139=0,0,B139/C139*D139)+IF(C140=0,0,B140/C140*D140))*0.024*P$147</f>
        <v>#N/A</v>
      </c>
      <c r="AK53" s="711" t="e">
        <f>AJ53*($AK$38/$AJ$38)</f>
        <v>#N/A</v>
      </c>
      <c r="AL53" s="712">
        <f>IFERROR(AJ53*($AL$38/$AJ$38),0)</f>
        <v>0</v>
      </c>
      <c r="AM53" s="335" t="e">
        <f>(IF(C138=0,0,B138/C138*D138)+IF(C139=0,0,B139/C139*D139)+IF(C140=0,0,B140/C140*D140))*0.024*Q$147</f>
        <v>#N/A</v>
      </c>
      <c r="AN53" s="711" t="e">
        <f>AM53*($AN$38/$AM$38)</f>
        <v>#N/A</v>
      </c>
      <c r="AO53" s="712" t="e">
        <f>AM53*($AO$38/$AM$38)</f>
        <v>#N/A</v>
      </c>
      <c r="AP53" s="335" t="e">
        <f>(IF(C138=0,0,B138/C138*D138)+IF(C139=0,0,B139/C139*D139)+IF(C140=0,0,B140/C140*D140))*0.024*R$147</f>
        <v>#N/A</v>
      </c>
      <c r="AQ53" s="711" t="e">
        <f>AP53*($AQ$38/$AP$38)</f>
        <v>#N/A</v>
      </c>
      <c r="AR53" s="712" t="e">
        <f>AP53*($AR$38/$AP$38)</f>
        <v>#N/A</v>
      </c>
      <c r="AS53" s="74"/>
      <c r="AT53" s="722"/>
      <c r="AU53" s="675"/>
      <c r="AV53" s="74"/>
      <c r="AW53" s="74"/>
      <c r="AX53" s="74"/>
      <c r="AY53" s="74"/>
      <c r="AZ53" s="74"/>
      <c r="BA53" s="74"/>
      <c r="BB53" s="74"/>
      <c r="BC53" s="74"/>
      <c r="BD53" s="74"/>
      <c r="BE53" s="74"/>
      <c r="BF53" s="74"/>
      <c r="BG53" s="74"/>
      <c r="BH53" s="74"/>
      <c r="BI53" s="74"/>
      <c r="BJ53" s="74"/>
      <c r="BK53" s="74"/>
      <c r="BL53" s="74"/>
      <c r="BM53" s="74"/>
      <c r="BN53" s="74"/>
      <c r="BO53" s="74"/>
    </row>
    <row r="54" spans="1:67" x14ac:dyDescent="0.25">
      <c r="A54" s="358" t="s">
        <v>874</v>
      </c>
      <c r="B54" s="359" t="s">
        <v>1184</v>
      </c>
      <c r="C54" s="558" t="e">
        <f>0.86*C53/1000</f>
        <v>#N/A</v>
      </c>
      <c r="D54" s="377" t="e">
        <f>0.86*D53/1000</f>
        <v>#N/A</v>
      </c>
      <c r="E54" s="676" t="e">
        <f>0.86*E53/1000</f>
        <v>#N/A</v>
      </c>
      <c r="F54" s="74"/>
      <c r="G54" s="379" t="s">
        <v>874</v>
      </c>
      <c r="H54" s="380" t="s">
        <v>1184</v>
      </c>
      <c r="I54" s="728" t="e">
        <f t="shared" ref="I54:O54" si="83">0.86*I53/1000</f>
        <v>#N/A</v>
      </c>
      <c r="J54" s="680" t="e">
        <f t="shared" si="83"/>
        <v>#N/A</v>
      </c>
      <c r="K54" s="713" t="e">
        <f t="shared" si="83"/>
        <v>#N/A</v>
      </c>
      <c r="L54" s="728" t="e">
        <f t="shared" ref="L54" si="84">0.86*L53/1000</f>
        <v>#N/A</v>
      </c>
      <c r="M54" s="683" t="e">
        <f t="shared" si="83"/>
        <v>#N/A</v>
      </c>
      <c r="N54" s="681" t="e">
        <f t="shared" si="83"/>
        <v>#N/A</v>
      </c>
      <c r="O54" s="728" t="e">
        <f t="shared" si="83"/>
        <v>#N/A</v>
      </c>
      <c r="P54" s="717" t="e">
        <f t="shared" si="46"/>
        <v>#N/A</v>
      </c>
      <c r="Q54" s="718" t="e">
        <f t="shared" ref="Q54" si="85">O54*($Q$35/$O$35)</f>
        <v>#N/A</v>
      </c>
      <c r="R54" s="728" t="e">
        <f t="shared" ref="R54" si="86">0.86*R53/1000</f>
        <v>#N/A</v>
      </c>
      <c r="S54" s="725" t="e">
        <f>0.86*S53/1000</f>
        <v>#N/A</v>
      </c>
      <c r="T54" s="726" t="e">
        <f>0.86*T53/1000</f>
        <v>#N/A</v>
      </c>
      <c r="U54" s="728" t="e">
        <f t="shared" ref="U54:W54" si="87">0.86*U53/1000</f>
        <v>#N/A</v>
      </c>
      <c r="V54" s="680">
        <f t="shared" si="87"/>
        <v>0</v>
      </c>
      <c r="W54" s="686">
        <f t="shared" si="87"/>
        <v>0</v>
      </c>
      <c r="X54" s="728" t="e">
        <f t="shared" ref="X54:Z54" si="88">0.86*X53/1000</f>
        <v>#N/A</v>
      </c>
      <c r="Y54" s="680">
        <f t="shared" si="88"/>
        <v>0</v>
      </c>
      <c r="Z54" s="686">
        <f t="shared" si="88"/>
        <v>0</v>
      </c>
      <c r="AA54" s="728" t="e">
        <f t="shared" ref="AA54:AC54" si="89">0.86*AA53/1000</f>
        <v>#N/A</v>
      </c>
      <c r="AB54" s="680">
        <f t="shared" si="89"/>
        <v>0</v>
      </c>
      <c r="AC54" s="686">
        <f t="shared" si="89"/>
        <v>0</v>
      </c>
      <c r="AD54" s="728" t="e">
        <f t="shared" ref="AD54:AF54" si="90">0.86*AD53/1000</f>
        <v>#N/A</v>
      </c>
      <c r="AE54" s="680">
        <f t="shared" si="90"/>
        <v>0</v>
      </c>
      <c r="AF54" s="686">
        <f t="shared" si="90"/>
        <v>0</v>
      </c>
      <c r="AG54" s="728" t="e">
        <f t="shared" ref="AG54:AH54" si="91">0.86*AG53/1000</f>
        <v>#N/A</v>
      </c>
      <c r="AH54" s="680">
        <f t="shared" si="91"/>
        <v>0</v>
      </c>
      <c r="AI54" s="686">
        <f>0.86*AI53/1000</f>
        <v>0</v>
      </c>
      <c r="AJ54" s="728" t="e">
        <f t="shared" ref="AJ54" si="92">0.86*AJ53/1000</f>
        <v>#N/A</v>
      </c>
      <c r="AK54" s="680" t="e">
        <f t="shared" ref="AK54" si="93">0.86*AK53/1000</f>
        <v>#N/A</v>
      </c>
      <c r="AL54" s="686">
        <f t="shared" ref="AL54:AM54" si="94">0.86*AL53/1000</f>
        <v>0</v>
      </c>
      <c r="AM54" s="728" t="e">
        <f t="shared" si="94"/>
        <v>#N/A</v>
      </c>
      <c r="AN54" s="680" t="e">
        <f t="shared" ref="AN54" si="95">0.86*AN53/1000</f>
        <v>#N/A</v>
      </c>
      <c r="AO54" s="686" t="e">
        <f t="shared" ref="AO54:AP54" si="96">0.86*AO53/1000</f>
        <v>#N/A</v>
      </c>
      <c r="AP54" s="728" t="e">
        <f t="shared" si="96"/>
        <v>#N/A</v>
      </c>
      <c r="AQ54" s="680" t="e">
        <f t="shared" ref="AQ54" si="97">0.86*AQ53/1000</f>
        <v>#N/A</v>
      </c>
      <c r="AR54" s="686" t="e">
        <f t="shared" ref="AR54" si="98">0.86*AR53/1000</f>
        <v>#N/A</v>
      </c>
      <c r="AS54" s="74"/>
      <c r="AT54" s="74"/>
      <c r="AU54" s="74"/>
      <c r="AV54" s="74"/>
      <c r="AW54" s="74"/>
      <c r="AX54" s="74"/>
      <c r="AY54" s="74"/>
      <c r="AZ54" s="74"/>
      <c r="BA54" s="74"/>
      <c r="BB54" s="74"/>
      <c r="BC54" s="74"/>
      <c r="BD54" s="74"/>
      <c r="BE54" s="74"/>
      <c r="BF54" s="74"/>
      <c r="BG54" s="74"/>
      <c r="BH54" s="74"/>
      <c r="BI54" s="74"/>
      <c r="BJ54" s="74"/>
      <c r="BK54" s="74"/>
      <c r="BL54" s="74"/>
      <c r="BM54" s="74"/>
      <c r="BN54" s="74"/>
      <c r="BO54" s="74"/>
    </row>
    <row r="55" spans="1:67" ht="15.75" thickBot="1" x14ac:dyDescent="0.3">
      <c r="A55" s="385" t="s">
        <v>874</v>
      </c>
      <c r="B55" s="386" t="s">
        <v>1181</v>
      </c>
      <c r="C55" s="729"/>
      <c r="D55" s="690"/>
      <c r="E55" s="590"/>
      <c r="F55" s="74"/>
      <c r="G55" s="362" t="s">
        <v>874</v>
      </c>
      <c r="H55" s="388" t="s">
        <v>1181</v>
      </c>
      <c r="I55" s="390"/>
      <c r="J55" s="401"/>
      <c r="K55" s="694"/>
      <c r="L55" s="390"/>
      <c r="M55" s="401"/>
      <c r="N55" s="694"/>
      <c r="O55" s="390"/>
      <c r="P55" s="401"/>
      <c r="Q55" s="669"/>
      <c r="R55" s="390"/>
      <c r="S55" s="401"/>
      <c r="T55" s="667"/>
      <c r="U55" s="390"/>
      <c r="V55" s="401"/>
      <c r="W55" s="669"/>
      <c r="X55" s="390"/>
      <c r="Y55" s="401"/>
      <c r="Z55" s="667"/>
      <c r="AA55" s="390"/>
      <c r="AB55" s="401"/>
      <c r="AC55" s="669"/>
      <c r="AD55" s="390"/>
      <c r="AE55" s="401"/>
      <c r="AF55" s="667"/>
      <c r="AG55" s="390"/>
      <c r="AH55" s="401"/>
      <c r="AI55" s="669"/>
      <c r="AJ55" s="390"/>
      <c r="AK55" s="698"/>
      <c r="AL55" s="699"/>
      <c r="AM55" s="390"/>
      <c r="AN55" s="698"/>
      <c r="AO55" s="699"/>
      <c r="AP55" s="390"/>
      <c r="AQ55" s="698"/>
      <c r="AR55" s="667"/>
      <c r="AS55" s="74"/>
      <c r="AT55" s="74"/>
      <c r="AU55" s="74"/>
      <c r="AV55" s="74"/>
      <c r="AW55" s="74"/>
      <c r="AX55" s="74"/>
      <c r="AY55" s="74"/>
      <c r="AZ55" s="74"/>
      <c r="BA55" s="74"/>
      <c r="BB55" s="74"/>
      <c r="BC55" s="74"/>
      <c r="BD55" s="74"/>
      <c r="BE55" s="74"/>
      <c r="BF55" s="74"/>
      <c r="BG55" s="74"/>
      <c r="BH55" s="74"/>
      <c r="BI55" s="74"/>
      <c r="BJ55" s="74"/>
      <c r="BK55" s="74"/>
      <c r="BL55" s="74"/>
      <c r="BM55" s="74"/>
      <c r="BN55" s="74"/>
      <c r="BO55" s="74"/>
    </row>
    <row r="56" spans="1:67" ht="32.25" customHeight="1" x14ac:dyDescent="0.25">
      <c r="A56" s="332" t="s">
        <v>1204</v>
      </c>
      <c r="B56" s="322" t="s">
        <v>842</v>
      </c>
      <c r="C56" s="333" t="e">
        <f>(IF(C142=0,0,B142/C142*D142)+IF(C141=0,0,B141/C141*D141))*0.024*$D$147</f>
        <v>#N/A</v>
      </c>
      <c r="D56" s="706" t="e">
        <f>C56*($D$38/$C$38)</f>
        <v>#N/A</v>
      </c>
      <c r="E56" s="707" t="e">
        <f>C56*($E$38/$C$38)</f>
        <v>#N/A</v>
      </c>
      <c r="F56" s="74"/>
      <c r="G56" s="334" t="s">
        <v>1204</v>
      </c>
      <c r="H56" s="326" t="s">
        <v>842</v>
      </c>
      <c r="I56" s="335" t="e">
        <f>(IF(C142=0,0,B142/C142*D142)+IF(C141=0,0,B141/C141*D141))*0.024*G$147</f>
        <v>#N/A</v>
      </c>
      <c r="J56" s="610" t="e">
        <f>I56*($J$38/$I$38)</f>
        <v>#N/A</v>
      </c>
      <c r="K56" s="708" t="e">
        <f>I56*($K$35/$I$35)</f>
        <v>#N/A</v>
      </c>
      <c r="L56" s="335" t="e">
        <f>(IF(C142=0,0,B142/C142*D142)+IF(C141=0,0,B141/C141*D141))*0.024*H$147</f>
        <v>#N/A</v>
      </c>
      <c r="M56" s="709" t="e">
        <f>L56*($M$38/$L$38)</f>
        <v>#N/A</v>
      </c>
      <c r="N56" s="708" t="e">
        <f>L56*($N$38/$L$38)</f>
        <v>#N/A</v>
      </c>
      <c r="O56" s="335" t="e">
        <f>(IF(C142=0,0,B142/C142*D142)+IF(C141=0,0,B141/C141*D141))*0.024*I$147</f>
        <v>#N/A</v>
      </c>
      <c r="P56" s="711" t="e">
        <f>O56*($P$38/$O$38)</f>
        <v>#N/A</v>
      </c>
      <c r="Q56" s="712" t="e">
        <f>O56*($Q$38/$O$38)</f>
        <v>#N/A</v>
      </c>
      <c r="R56" s="335" t="e">
        <f>(IF(C142=0,0,B142/C142*D142)+IF(C141=0,0,B141/C141*D141))*0.024*J$147</f>
        <v>#N/A</v>
      </c>
      <c r="S56" s="711" t="e">
        <f>R56*($S$38/$R$38)</f>
        <v>#N/A</v>
      </c>
      <c r="T56" s="712" t="e">
        <f>R56*($T$38/$R$38)</f>
        <v>#N/A</v>
      </c>
      <c r="U56" s="335" t="e">
        <f>(IF(C142=0,0,B142/C142*D142)+IF(C141=0,0,B141/C141*D141))*0.024*K$147</f>
        <v>#N/A</v>
      </c>
      <c r="V56" s="711">
        <f>IFERROR(U56*($V$38/$U$38),0)</f>
        <v>0</v>
      </c>
      <c r="W56" s="712">
        <f>IFERROR(U56*($W$38/$U$38),0)</f>
        <v>0</v>
      </c>
      <c r="X56" s="335" t="e">
        <f>(IF(C142=0,0,B142/C142*D142)+IF(C141=0,0,B141/C141*D141))*0.024*L$147</f>
        <v>#N/A</v>
      </c>
      <c r="Y56" s="711">
        <f>IFERROR(X56*($Y$38/$X$38),0)</f>
        <v>0</v>
      </c>
      <c r="Z56" s="712">
        <f>IFERROR(X56*($Z$38/$X$38),0)</f>
        <v>0</v>
      </c>
      <c r="AA56" s="335" t="e">
        <f>(IF(C142=0,0,B142/C142*D142)+IF(C141=0,0,B141/C141*D141))*0.024*M$147</f>
        <v>#N/A</v>
      </c>
      <c r="AB56" s="711">
        <f>IFERROR(AA56*($AB$38/$AA$38),0)</f>
        <v>0</v>
      </c>
      <c r="AC56" s="712">
        <f>IFERROR(AA56*($AC$38/$AA$38),0)</f>
        <v>0</v>
      </c>
      <c r="AD56" s="335" t="e">
        <f>(IF(C142=0,0,B142/C142*D142)+IF(C141=0,0,B141/C141*D141))*0.024*N$147</f>
        <v>#N/A</v>
      </c>
      <c r="AE56" s="711">
        <f>IFERROR(AD56*($AE$38/$AD$38),0)</f>
        <v>0</v>
      </c>
      <c r="AF56" s="712">
        <f>IFERROR(AD56*($AF$35/$AD$35),)</f>
        <v>0</v>
      </c>
      <c r="AG56" s="335" t="e">
        <f>(IF(C142=0,0,B142/C142*D142)+IF(C141=0,0,B141/C141*D141))*0.024*O$147</f>
        <v>#N/A</v>
      </c>
      <c r="AH56" s="711">
        <f>IFERROR(AG56*($AH$38/$AG$38),0)</f>
        <v>0</v>
      </c>
      <c r="AI56" s="712">
        <f>IFERROR(AG56*($AI$35/$AG$35),0)</f>
        <v>0</v>
      </c>
      <c r="AJ56" s="335" t="e">
        <f>(IF(C142=0,0,B142/C142*D142)+IF(C141=0,0,B141/C141*D141))*0.024*P$147</f>
        <v>#N/A</v>
      </c>
      <c r="AK56" s="711" t="e">
        <f>AJ56*($AK$38/$AJ$38)</f>
        <v>#N/A</v>
      </c>
      <c r="AL56" s="712" t="e">
        <f>AJ56*($AL$38/$AJ$38)</f>
        <v>#N/A</v>
      </c>
      <c r="AM56" s="335" t="e">
        <f>(IF(C142=0,0,B142/C142*D142)+IF(C141=0,0,B141/C141*D141))*0.024*Q$147</f>
        <v>#N/A</v>
      </c>
      <c r="AN56" s="711" t="e">
        <f>AM56*($AN$38/$AM$38)</f>
        <v>#N/A</v>
      </c>
      <c r="AO56" s="712" t="e">
        <f>AM56*($AO$38/$AM$38)</f>
        <v>#N/A</v>
      </c>
      <c r="AP56" s="335" t="e">
        <f>(IF(C142=0,0,B142/C142*D142)+IF(C141=0,0,B141/C141*D141))*0.024*R$147</f>
        <v>#N/A</v>
      </c>
      <c r="AQ56" s="711" t="e">
        <f>AP56*($AQ$38/$AP$38)</f>
        <v>#N/A</v>
      </c>
      <c r="AR56" s="712" t="e">
        <f>AP56*($AR$38/$AP$38)</f>
        <v>#N/A</v>
      </c>
      <c r="AS56" s="74"/>
      <c r="AT56" s="74"/>
      <c r="AU56" s="74"/>
      <c r="AV56" s="74"/>
      <c r="AW56" s="74"/>
      <c r="AX56" s="74"/>
      <c r="AY56" s="74"/>
      <c r="AZ56" s="74"/>
      <c r="BA56" s="74"/>
      <c r="BB56" s="74"/>
      <c r="BC56" s="74"/>
      <c r="BD56" s="74"/>
      <c r="BE56" s="74"/>
      <c r="BF56" s="74"/>
      <c r="BG56" s="74"/>
      <c r="BH56" s="74"/>
      <c r="BI56" s="74"/>
      <c r="BJ56" s="74"/>
      <c r="BK56" s="74"/>
      <c r="BL56" s="74"/>
      <c r="BM56" s="74"/>
      <c r="BN56" s="74"/>
      <c r="BO56" s="74"/>
    </row>
    <row r="57" spans="1:67" x14ac:dyDescent="0.25">
      <c r="A57" s="358" t="s">
        <v>874</v>
      </c>
      <c r="B57" s="359" t="s">
        <v>1184</v>
      </c>
      <c r="C57" s="558" t="e">
        <f>0.86*C56/1000</f>
        <v>#N/A</v>
      </c>
      <c r="D57" s="377" t="e">
        <f>0.86*D56/1000</f>
        <v>#N/A</v>
      </c>
      <c r="E57" s="676" t="e">
        <f>0.86*E56/1000</f>
        <v>#N/A</v>
      </c>
      <c r="F57" s="74"/>
      <c r="G57" s="379" t="s">
        <v>874</v>
      </c>
      <c r="H57" s="380" t="s">
        <v>1184</v>
      </c>
      <c r="I57" s="728" t="e">
        <f t="shared" ref="I57:O57" si="99">0.86*I56/1000</f>
        <v>#N/A</v>
      </c>
      <c r="J57" s="680" t="e">
        <f t="shared" si="99"/>
        <v>#N/A</v>
      </c>
      <c r="K57" s="713" t="e">
        <f t="shared" si="99"/>
        <v>#N/A</v>
      </c>
      <c r="L57" s="728" t="e">
        <f t="shared" ref="L57" si="100">0.86*L56/1000</f>
        <v>#N/A</v>
      </c>
      <c r="M57" s="683" t="e">
        <f t="shared" si="99"/>
        <v>#N/A</v>
      </c>
      <c r="N57" s="681" t="e">
        <f t="shared" si="99"/>
        <v>#N/A</v>
      </c>
      <c r="O57" s="728" t="e">
        <f t="shared" si="99"/>
        <v>#N/A</v>
      </c>
      <c r="P57" s="717" t="e">
        <f t="shared" si="46"/>
        <v>#N/A</v>
      </c>
      <c r="Q57" s="718" t="e">
        <f t="shared" ref="Q57" si="101">O57*($Q$35/$O$35)</f>
        <v>#N/A</v>
      </c>
      <c r="R57" s="728" t="e">
        <f t="shared" ref="R57" si="102">0.86*R56/1000</f>
        <v>#N/A</v>
      </c>
      <c r="S57" s="725" t="e">
        <f>0.86*S56/1000</f>
        <v>#N/A</v>
      </c>
      <c r="T57" s="726" t="e">
        <f>0.86*T56/1000</f>
        <v>#N/A</v>
      </c>
      <c r="U57" s="728" t="e">
        <f t="shared" ref="U57:W57" si="103">0.86*U56/1000</f>
        <v>#N/A</v>
      </c>
      <c r="V57" s="680">
        <f t="shared" si="103"/>
        <v>0</v>
      </c>
      <c r="W57" s="686">
        <f t="shared" si="103"/>
        <v>0</v>
      </c>
      <c r="X57" s="728" t="e">
        <f t="shared" ref="X57:Z57" si="104">0.86*X56/1000</f>
        <v>#N/A</v>
      </c>
      <c r="Y57" s="680">
        <f t="shared" si="104"/>
        <v>0</v>
      </c>
      <c r="Z57" s="686">
        <f t="shared" si="104"/>
        <v>0</v>
      </c>
      <c r="AA57" s="728" t="e">
        <f t="shared" ref="AA57:AC57" si="105">0.86*AA56/1000</f>
        <v>#N/A</v>
      </c>
      <c r="AB57" s="680">
        <f t="shared" si="105"/>
        <v>0</v>
      </c>
      <c r="AC57" s="686">
        <f t="shared" si="105"/>
        <v>0</v>
      </c>
      <c r="AD57" s="728" t="e">
        <f t="shared" ref="AD57:AF57" si="106">0.86*AD56/1000</f>
        <v>#N/A</v>
      </c>
      <c r="AE57" s="680">
        <f t="shared" si="106"/>
        <v>0</v>
      </c>
      <c r="AF57" s="686">
        <f t="shared" si="106"/>
        <v>0</v>
      </c>
      <c r="AG57" s="728" t="e">
        <f t="shared" ref="AG57:AH57" si="107">0.86*AG56/1000</f>
        <v>#N/A</v>
      </c>
      <c r="AH57" s="680">
        <f t="shared" si="107"/>
        <v>0</v>
      </c>
      <c r="AI57" s="686">
        <f>0.86*AI56/1000</f>
        <v>0</v>
      </c>
      <c r="AJ57" s="728" t="e">
        <f t="shared" ref="AJ57" si="108">0.86*AJ56/1000</f>
        <v>#N/A</v>
      </c>
      <c r="AK57" s="680" t="e">
        <f t="shared" ref="AK57" si="109">0.86*AK56/1000</f>
        <v>#N/A</v>
      </c>
      <c r="AL57" s="686" t="e">
        <f t="shared" ref="AL57:AM57" si="110">0.86*AL56/1000</f>
        <v>#N/A</v>
      </c>
      <c r="AM57" s="728" t="e">
        <f t="shared" si="110"/>
        <v>#N/A</v>
      </c>
      <c r="AN57" s="680" t="e">
        <f t="shared" ref="AN57" si="111">0.86*AN56/1000</f>
        <v>#N/A</v>
      </c>
      <c r="AO57" s="686" t="e">
        <f t="shared" ref="AO57:AP57" si="112">0.86*AO56/1000</f>
        <v>#N/A</v>
      </c>
      <c r="AP57" s="728" t="e">
        <f t="shared" si="112"/>
        <v>#N/A</v>
      </c>
      <c r="AQ57" s="680" t="e">
        <f t="shared" ref="AQ57" si="113">0.86*AQ56/1000</f>
        <v>#N/A</v>
      </c>
      <c r="AR57" s="686" t="e">
        <f t="shared" ref="AR57" si="114">0.86*AR56/1000</f>
        <v>#N/A</v>
      </c>
      <c r="AS57" s="74"/>
      <c r="AT57" s="74"/>
      <c r="AU57" s="74"/>
      <c r="AV57" s="74"/>
      <c r="AW57" s="74"/>
      <c r="AX57" s="74"/>
      <c r="AY57" s="74"/>
      <c r="AZ57" s="74"/>
      <c r="BA57" s="74"/>
      <c r="BB57" s="74"/>
      <c r="BC57" s="74"/>
      <c r="BD57" s="74"/>
      <c r="BE57" s="74"/>
      <c r="BF57" s="74"/>
      <c r="BG57" s="74"/>
      <c r="BH57" s="74"/>
      <c r="BI57" s="74"/>
      <c r="BJ57" s="74"/>
      <c r="BK57" s="74"/>
      <c r="BL57" s="74"/>
      <c r="BM57" s="74"/>
      <c r="BN57" s="74"/>
      <c r="BO57" s="74"/>
    </row>
    <row r="58" spans="1:67" ht="15.75" thickBot="1" x14ac:dyDescent="0.3">
      <c r="A58" s="385" t="s">
        <v>874</v>
      </c>
      <c r="B58" s="386" t="s">
        <v>1181</v>
      </c>
      <c r="C58" s="689"/>
      <c r="D58" s="690"/>
      <c r="E58" s="590"/>
      <c r="F58" s="74"/>
      <c r="G58" s="730" t="s">
        <v>874</v>
      </c>
      <c r="H58" s="363" t="s">
        <v>1181</v>
      </c>
      <c r="I58" s="391"/>
      <c r="J58" s="276"/>
      <c r="K58" s="666"/>
      <c r="L58" s="391"/>
      <c r="M58" s="276"/>
      <c r="N58" s="668"/>
      <c r="O58" s="391"/>
      <c r="P58" s="401"/>
      <c r="Q58" s="667"/>
      <c r="R58" s="391"/>
      <c r="S58" s="276"/>
      <c r="T58" s="668"/>
      <c r="U58" s="391"/>
      <c r="V58" s="276"/>
      <c r="W58" s="696"/>
      <c r="X58" s="391"/>
      <c r="Y58" s="276"/>
      <c r="Z58" s="668"/>
      <c r="AA58" s="391"/>
      <c r="AB58" s="276"/>
      <c r="AC58" s="696"/>
      <c r="AD58" s="391"/>
      <c r="AE58" s="276"/>
      <c r="AF58" s="668"/>
      <c r="AG58" s="391"/>
      <c r="AH58" s="276"/>
      <c r="AI58" s="696"/>
      <c r="AJ58" s="391"/>
      <c r="AK58" s="698"/>
      <c r="AL58" s="699"/>
      <c r="AM58" s="391"/>
      <c r="AN58" s="698"/>
      <c r="AO58" s="699"/>
      <c r="AP58" s="391"/>
      <c r="AQ58" s="698"/>
      <c r="AR58" s="667"/>
      <c r="AS58" s="74"/>
      <c r="AT58" s="74"/>
      <c r="AU58" s="74"/>
      <c r="AV58" s="74"/>
      <c r="AW58" s="74"/>
      <c r="AX58" s="74"/>
      <c r="AY58" s="74"/>
      <c r="AZ58" s="74"/>
      <c r="BA58" s="74"/>
      <c r="BB58" s="74"/>
      <c r="BC58" s="74"/>
      <c r="BD58" s="74"/>
      <c r="BE58" s="74"/>
      <c r="BF58" s="74"/>
      <c r="BG58" s="74"/>
      <c r="BH58" s="74"/>
      <c r="BI58" s="74"/>
      <c r="BJ58" s="74"/>
      <c r="BK58" s="74"/>
      <c r="BL58" s="74"/>
      <c r="BM58" s="74"/>
      <c r="BN58" s="74"/>
      <c r="BO58" s="74"/>
    </row>
    <row r="59" spans="1:67" ht="27" customHeight="1" x14ac:dyDescent="0.25">
      <c r="A59" s="332" t="s">
        <v>1205</v>
      </c>
      <c r="B59" s="322" t="s">
        <v>842</v>
      </c>
      <c r="C59" s="333" t="e">
        <f>IF(C143=0,0,B143/C143*D143)*0.024*$D$147</f>
        <v>#N/A</v>
      </c>
      <c r="D59" s="706" t="e">
        <f>C59*($D$38/$C$38)</f>
        <v>#N/A</v>
      </c>
      <c r="E59" s="707" t="e">
        <f>C59*($E$38/$C$38)</f>
        <v>#N/A</v>
      </c>
      <c r="F59" s="74"/>
      <c r="G59" s="334" t="s">
        <v>1205</v>
      </c>
      <c r="H59" s="326" t="s">
        <v>842</v>
      </c>
      <c r="I59" s="343" t="e">
        <f>IF($C143=0,0,$B143/$C143*$D143)*0.024*G$147</f>
        <v>#N/A</v>
      </c>
      <c r="J59" s="610" t="e">
        <f>I59*($J$38/$I$38)</f>
        <v>#N/A</v>
      </c>
      <c r="K59" s="708" t="e">
        <f>I59*($K$38/$I$38)</f>
        <v>#N/A</v>
      </c>
      <c r="L59" s="335" t="e">
        <f>IF($C143=0,0,$B143/$C143*$D143)*0.024*H$147</f>
        <v>#N/A</v>
      </c>
      <c r="M59" s="709" t="e">
        <f>L59*($M$38/$L$38)</f>
        <v>#N/A</v>
      </c>
      <c r="N59" s="708" t="e">
        <f>L59*($N$35/$L$35)</f>
        <v>#N/A</v>
      </c>
      <c r="O59" s="335" t="e">
        <f>IF($C143=0,0,$B143/$C143*$D143)*0.024*I$147</f>
        <v>#N/A</v>
      </c>
      <c r="P59" s="711" t="e">
        <f>O59*($P$38/$O$38)</f>
        <v>#N/A</v>
      </c>
      <c r="Q59" s="712" t="e">
        <f>O59*($Q$38/$O$38)</f>
        <v>#N/A</v>
      </c>
      <c r="R59" s="335" t="e">
        <f>IF($C143=0,0,$B143/$C143*$D143)*0.024*J$147</f>
        <v>#N/A</v>
      </c>
      <c r="S59" s="711" t="e">
        <f>R59*($S$38/$R$38)</f>
        <v>#N/A</v>
      </c>
      <c r="T59" s="712" t="e">
        <f>R59*($T$38/$R$38)</f>
        <v>#N/A</v>
      </c>
      <c r="U59" s="343" t="e">
        <f>IF($C143=0,0,$B143/$C143*$D143)*0.024*K$147</f>
        <v>#N/A</v>
      </c>
      <c r="V59" s="711">
        <f>IFERROR(U59*($V$38/$U$38),0)</f>
        <v>0</v>
      </c>
      <c r="W59" s="712">
        <f>IFERROR(U59*($W$38/$U$38),0)</f>
        <v>0</v>
      </c>
      <c r="X59" s="343" t="e">
        <f>IF($C143=0,0,$B143/$C143*$D143)*0.024*L$147</f>
        <v>#N/A</v>
      </c>
      <c r="Y59" s="711">
        <f>IFERROR(X59*($Y$38/$X$38),0)</f>
        <v>0</v>
      </c>
      <c r="Z59" s="712">
        <f>IFERROR(X59*($Z$38/$X$38),0)</f>
        <v>0</v>
      </c>
      <c r="AA59" s="343" t="e">
        <f>IF($C143=0,0,$B143/$C143*$D143)*0.024*M$147</f>
        <v>#N/A</v>
      </c>
      <c r="AB59" s="711">
        <f>IFERROR(AA59*($AB$38/$AA$38),0)</f>
        <v>0</v>
      </c>
      <c r="AC59" s="712">
        <f>IFERROR(AA59*($AC$38/$AA$38),0)</f>
        <v>0</v>
      </c>
      <c r="AD59" s="343" t="e">
        <f>IF($C143=0,0,$B143/$C143*$D143)*0.024*N$147</f>
        <v>#N/A</v>
      </c>
      <c r="AE59" s="711">
        <f>IFERROR(AD59*($AE$38/$AD$38),)</f>
        <v>0</v>
      </c>
      <c r="AF59" s="712">
        <f>IFERROR(AD59*($AF$35/$AD$35),)</f>
        <v>0</v>
      </c>
      <c r="AG59" s="343" t="e">
        <f>IF($C143=0,0,$B143/$C143*$D143)*0.024*O$147</f>
        <v>#N/A</v>
      </c>
      <c r="AH59" s="711">
        <f>IFERROR(AG59*($AH$38/$AG$38),)</f>
        <v>0</v>
      </c>
      <c r="AI59" s="712">
        <f>IFERROR(AG59*($AI$35/$AG$35),0)</f>
        <v>0</v>
      </c>
      <c r="AJ59" s="335" t="e">
        <f>IF($C143=0,0,$B143/$C143*$D143)*0.024*P$147</f>
        <v>#N/A</v>
      </c>
      <c r="AK59" s="711" t="e">
        <f>AJ59*($AK$38/$AJ$38)</f>
        <v>#N/A</v>
      </c>
      <c r="AL59" s="712" t="e">
        <f>AJ59*($AL$38/$AJ$38)</f>
        <v>#N/A</v>
      </c>
      <c r="AM59" s="335" t="e">
        <f>IF($C143=0,0,$B143/$C143*$D143)*0.024*Q$147</f>
        <v>#N/A</v>
      </c>
      <c r="AN59" s="711" t="e">
        <f>AM59*($AN$38/$AM$38)</f>
        <v>#N/A</v>
      </c>
      <c r="AO59" s="712" t="e">
        <f>AM59*($AO$38/$AM$38)</f>
        <v>#N/A</v>
      </c>
      <c r="AP59" s="335" t="e">
        <f>IF($C143=0,0,$B143/$C143*$D143)*0.024*R$147</f>
        <v>#N/A</v>
      </c>
      <c r="AQ59" s="711" t="e">
        <f>AP59*($AQ$38/$AP$38)</f>
        <v>#N/A</v>
      </c>
      <c r="AR59" s="712" t="e">
        <f>AP59*($AR$38/$AP$38)</f>
        <v>#N/A</v>
      </c>
      <c r="AS59" s="74"/>
      <c r="AT59" s="74"/>
      <c r="AU59" s="74"/>
      <c r="AV59" s="74"/>
      <c r="AW59" s="74"/>
      <c r="AX59" s="74"/>
      <c r="AY59" s="74"/>
      <c r="AZ59" s="74"/>
      <c r="BA59" s="74"/>
      <c r="BB59" s="74"/>
      <c r="BC59" s="74"/>
      <c r="BD59" s="74"/>
      <c r="BE59" s="74"/>
      <c r="BF59" s="74"/>
      <c r="BG59" s="74"/>
      <c r="BH59" s="74"/>
      <c r="BI59" s="74"/>
      <c r="BJ59" s="74"/>
      <c r="BK59" s="74"/>
      <c r="BL59" s="74"/>
      <c r="BM59" s="74"/>
      <c r="BN59" s="74"/>
      <c r="BO59" s="74"/>
    </row>
    <row r="60" spans="1:67" x14ac:dyDescent="0.25">
      <c r="A60" s="358" t="s">
        <v>874</v>
      </c>
      <c r="B60" s="359" t="s">
        <v>1184</v>
      </c>
      <c r="C60" s="731"/>
      <c r="D60" s="377" t="e">
        <f>0.86*D59/1000</f>
        <v>#N/A</v>
      </c>
      <c r="E60" s="676" t="e">
        <f>0.86*E59/1000</f>
        <v>#N/A</v>
      </c>
      <c r="F60" s="74"/>
      <c r="G60" s="379" t="s">
        <v>874</v>
      </c>
      <c r="H60" s="380" t="s">
        <v>1184</v>
      </c>
      <c r="I60" s="728" t="e">
        <f t="shared" ref="I60:W60" si="115">0.86*I59/1000</f>
        <v>#N/A</v>
      </c>
      <c r="J60" s="680" t="e">
        <f t="shared" si="115"/>
        <v>#N/A</v>
      </c>
      <c r="K60" s="713" t="e">
        <f t="shared" si="115"/>
        <v>#N/A</v>
      </c>
      <c r="L60" s="728" t="e">
        <f t="shared" ref="L60" si="116">0.86*L59/1000</f>
        <v>#N/A</v>
      </c>
      <c r="M60" s="683" t="e">
        <f t="shared" si="115"/>
        <v>#N/A</v>
      </c>
      <c r="N60" s="681" t="e">
        <f t="shared" si="115"/>
        <v>#N/A</v>
      </c>
      <c r="O60" s="728" t="e">
        <f t="shared" si="115"/>
        <v>#N/A</v>
      </c>
      <c r="P60" s="683" t="e">
        <f t="shared" si="115"/>
        <v>#N/A</v>
      </c>
      <c r="Q60" s="681" t="e">
        <f t="shared" si="115"/>
        <v>#N/A</v>
      </c>
      <c r="R60" s="728" t="e">
        <f t="shared" si="115"/>
        <v>#N/A</v>
      </c>
      <c r="S60" s="725" t="e">
        <f t="shared" si="115"/>
        <v>#N/A</v>
      </c>
      <c r="T60" s="726" t="e">
        <f t="shared" si="115"/>
        <v>#N/A</v>
      </c>
      <c r="U60" s="728" t="e">
        <f t="shared" si="115"/>
        <v>#N/A</v>
      </c>
      <c r="V60" s="680">
        <f t="shared" si="115"/>
        <v>0</v>
      </c>
      <c r="W60" s="686">
        <f t="shared" si="115"/>
        <v>0</v>
      </c>
      <c r="X60" s="728" t="e">
        <f t="shared" ref="X60:Z60" si="117">0.86*X59/1000</f>
        <v>#N/A</v>
      </c>
      <c r="Y60" s="680">
        <f t="shared" si="117"/>
        <v>0</v>
      </c>
      <c r="Z60" s="686">
        <f t="shared" si="117"/>
        <v>0</v>
      </c>
      <c r="AA60" s="728" t="e">
        <f t="shared" ref="AA60:AC60" si="118">0.86*AA59/1000</f>
        <v>#N/A</v>
      </c>
      <c r="AB60" s="680">
        <f t="shared" si="118"/>
        <v>0</v>
      </c>
      <c r="AC60" s="686">
        <f t="shared" si="118"/>
        <v>0</v>
      </c>
      <c r="AD60" s="728" t="e">
        <f t="shared" ref="AD60:AF60" si="119">0.86*AD59/1000</f>
        <v>#N/A</v>
      </c>
      <c r="AE60" s="680">
        <f t="shared" si="119"/>
        <v>0</v>
      </c>
      <c r="AF60" s="686">
        <f t="shared" si="119"/>
        <v>0</v>
      </c>
      <c r="AG60" s="728" t="e">
        <f t="shared" ref="AG60:AH60" si="120">0.86*AG59/1000</f>
        <v>#N/A</v>
      </c>
      <c r="AH60" s="680">
        <f t="shared" si="120"/>
        <v>0</v>
      </c>
      <c r="AI60" s="686">
        <f>0.86*AI59/1000</f>
        <v>0</v>
      </c>
      <c r="AJ60" s="728" t="e">
        <f t="shared" ref="AJ60" si="121">0.86*AJ59/1000</f>
        <v>#N/A</v>
      </c>
      <c r="AK60" s="680" t="e">
        <f t="shared" ref="AK60" si="122">0.86*AK59/1000</f>
        <v>#N/A</v>
      </c>
      <c r="AL60" s="686" t="e">
        <f t="shared" ref="AL60:AM60" si="123">0.86*AL59/1000</f>
        <v>#N/A</v>
      </c>
      <c r="AM60" s="728" t="e">
        <f t="shared" si="123"/>
        <v>#N/A</v>
      </c>
      <c r="AN60" s="680" t="e">
        <f t="shared" ref="AN60" si="124">0.86*AN59/1000</f>
        <v>#N/A</v>
      </c>
      <c r="AO60" s="686" t="e">
        <f t="shared" ref="AO60:AP60" si="125">0.86*AO59/1000</f>
        <v>#N/A</v>
      </c>
      <c r="AP60" s="728" t="e">
        <f t="shared" si="125"/>
        <v>#N/A</v>
      </c>
      <c r="AQ60" s="680" t="e">
        <f t="shared" ref="AQ60" si="126">0.86*AQ59/1000</f>
        <v>#N/A</v>
      </c>
      <c r="AR60" s="686" t="e">
        <f t="shared" ref="AR60" si="127">0.86*AR59/1000</f>
        <v>#N/A</v>
      </c>
      <c r="AS60" s="74"/>
      <c r="AT60" s="74"/>
      <c r="AU60" s="74"/>
      <c r="AV60" s="74"/>
      <c r="AW60" s="74"/>
      <c r="AX60" s="74"/>
      <c r="AY60" s="74"/>
      <c r="AZ60" s="74"/>
      <c r="BA60" s="74"/>
      <c r="BB60" s="74"/>
      <c r="BC60" s="74"/>
      <c r="BD60" s="74"/>
      <c r="BE60" s="74"/>
      <c r="BF60" s="74"/>
      <c r="BG60" s="74"/>
      <c r="BH60" s="74"/>
      <c r="BI60" s="74"/>
      <c r="BJ60" s="74"/>
      <c r="BK60" s="74"/>
      <c r="BL60" s="74"/>
      <c r="BM60" s="74"/>
      <c r="BN60" s="74"/>
      <c r="BO60" s="74"/>
    </row>
    <row r="61" spans="1:67" ht="15.75" thickBot="1" x14ac:dyDescent="0.3">
      <c r="A61" s="385" t="s">
        <v>874</v>
      </c>
      <c r="B61" s="386" t="s">
        <v>1181</v>
      </c>
      <c r="C61" s="689"/>
      <c r="D61" s="690"/>
      <c r="E61" s="590"/>
      <c r="F61" s="74"/>
      <c r="G61" s="730" t="s">
        <v>874</v>
      </c>
      <c r="H61" s="363" t="s">
        <v>1181</v>
      </c>
      <c r="I61" s="391"/>
      <c r="J61" s="276"/>
      <c r="K61" s="666"/>
      <c r="L61" s="391"/>
      <c r="M61" s="276"/>
      <c r="N61" s="668"/>
      <c r="O61" s="695"/>
      <c r="P61" s="276"/>
      <c r="Q61" s="696"/>
      <c r="R61" s="391"/>
      <c r="S61" s="276"/>
      <c r="T61" s="668"/>
      <c r="U61" s="695"/>
      <c r="V61" s="276"/>
      <c r="W61" s="696"/>
      <c r="X61" s="391"/>
      <c r="Y61" s="276"/>
      <c r="Z61" s="668"/>
      <c r="AA61" s="695"/>
      <c r="AB61" s="276"/>
      <c r="AC61" s="696"/>
      <c r="AD61" s="391"/>
      <c r="AE61" s="276"/>
      <c r="AF61" s="668"/>
      <c r="AG61" s="695"/>
      <c r="AH61" s="276"/>
      <c r="AI61" s="696"/>
      <c r="AJ61" s="392"/>
      <c r="AK61" s="698"/>
      <c r="AL61" s="699"/>
      <c r="AM61" s="392"/>
      <c r="AN61" s="698"/>
      <c r="AO61" s="699"/>
      <c r="AP61" s="700"/>
      <c r="AQ61" s="701"/>
      <c r="AR61" s="668"/>
      <c r="AS61" s="74"/>
      <c r="AT61" s="74"/>
      <c r="AU61" s="74"/>
      <c r="AV61" s="74"/>
      <c r="AW61" s="74"/>
      <c r="AX61" s="74"/>
      <c r="AY61" s="74"/>
      <c r="AZ61" s="74"/>
      <c r="BA61" s="74"/>
      <c r="BB61" s="74"/>
      <c r="BC61" s="74"/>
      <c r="BD61" s="74"/>
      <c r="BE61" s="74"/>
      <c r="BF61" s="74"/>
      <c r="BG61" s="74"/>
      <c r="BH61" s="74"/>
      <c r="BI61" s="74"/>
      <c r="BJ61" s="74"/>
      <c r="BK61" s="74"/>
      <c r="BL61" s="74"/>
      <c r="BM61" s="74"/>
      <c r="BN61" s="74"/>
      <c r="BO61" s="74"/>
    </row>
    <row r="62" spans="1:67" ht="24.75" customHeight="1" x14ac:dyDescent="0.25">
      <c r="A62" s="329" t="s">
        <v>1198</v>
      </c>
      <c r="B62" s="322" t="s">
        <v>842</v>
      </c>
      <c r="C62" s="324" t="e">
        <f>(D151*D152*'Ввод исходных данных'!$D$22*0.28)*D147*0.024+D154*D192+D161</f>
        <v>#N/A</v>
      </c>
      <c r="D62" s="672" t="e">
        <f>C62*(($D$35+$D$71)/($C$35+$C$71))</f>
        <v>#N/A</v>
      </c>
      <c r="E62" s="672" t="e">
        <f>$C62*(($E$35+$E$71)/($C$35+$C$71))</f>
        <v>#N/A</v>
      </c>
      <c r="F62" s="74"/>
      <c r="G62" s="344" t="s">
        <v>1198</v>
      </c>
      <c r="H62" s="326" t="s">
        <v>842</v>
      </c>
      <c r="I62" s="328" t="e">
        <f>($D$151*$D$152*'Ввод исходных данных'!$D$22*0.28)*G$147*0.024+G192*$D$154+G161</f>
        <v>#N/A</v>
      </c>
      <c r="J62" s="672" t="e">
        <f>I62*((J$35+J$71)/(I$35+I$71))</f>
        <v>#N/A</v>
      </c>
      <c r="K62" s="672">
        <f>IFERROR(I62*((K$35+K$71)/(I$35+I$71)),0)</f>
        <v>0</v>
      </c>
      <c r="L62" s="328" t="e">
        <f>($D$151*$D$152*'Ввод исходных данных'!$D$22*0.28)*H$147*0.024+H192*$D$154+H161</f>
        <v>#N/A</v>
      </c>
      <c r="M62" s="672" t="e">
        <f>L62*((M$35+M$71)/(L$35+L$71))</f>
        <v>#N/A</v>
      </c>
      <c r="N62" s="672">
        <f>IFERROR(L62*((N$35+N$71)/(L$35+L$71)),0)</f>
        <v>0</v>
      </c>
      <c r="O62" s="328" t="e">
        <f>($D$151*$D$152*'Ввод исходных данных'!$D$22*0.28)*I$147*0.024+I192*$D$154+I161</f>
        <v>#N/A</v>
      </c>
      <c r="P62" s="672" t="e">
        <f>O62*((P$35+P$71)/(O$35+O$71))</f>
        <v>#N/A</v>
      </c>
      <c r="Q62" s="672">
        <f>IFERROR(O62*((Q$35+Q$71)/(O$35+O$71)),0)</f>
        <v>0</v>
      </c>
      <c r="R62" s="328" t="e">
        <f>($D$151*$D$152*'Ввод исходных данных'!$D$22*0.28)*J$147*0.024+J192*$D$154+J161</f>
        <v>#N/A</v>
      </c>
      <c r="S62" s="672" t="e">
        <f>R62*((S$35+S$71)/(R$35+R$71))</f>
        <v>#N/A</v>
      </c>
      <c r="T62" s="672">
        <f>IFERROR(R62*((T$35+T$71)/(R$35+R$71)),0)</f>
        <v>0</v>
      </c>
      <c r="U62" s="328" t="e">
        <f>($D$151*$D$152*'Ввод исходных данных'!$D$22*0.28)*K$147*0.024+K192*$D$154+K161</f>
        <v>#N/A</v>
      </c>
      <c r="V62" s="672">
        <f>IFERROR(U62*((V$35+V$71)/(U$35+U$71)),0)</f>
        <v>0</v>
      </c>
      <c r="W62" s="672">
        <f>IFERROR(U62*((W$35+W$71)/(U$35+U$71)),0)</f>
        <v>0</v>
      </c>
      <c r="X62" s="328" t="e">
        <f>($D$151*$D$152*'Ввод исходных данных'!$D$22*0.28)*L$147*0.024+L192*$D$154+L161</f>
        <v>#N/A</v>
      </c>
      <c r="Y62" s="672">
        <f>IFERROR(X62*((Y$35+Y$71)/(X$35+X$71)),0)</f>
        <v>0</v>
      </c>
      <c r="Z62" s="672">
        <f>IFERROR(X62*((Z$35+Z$71)/(X$35+X$71)),0)</f>
        <v>0</v>
      </c>
      <c r="AA62" s="328" t="e">
        <f>($D$151*$D$152*'Ввод исходных данных'!$D$22*0.28)*M$147*0.024+M192*$D$154+M161</f>
        <v>#N/A</v>
      </c>
      <c r="AB62" s="672">
        <f>IFERROR(AA62*((AB$35+AB$71)/(AA$35+AA$71)),0)</f>
        <v>0</v>
      </c>
      <c r="AC62" s="672">
        <f>IFERROR(AA62*((AC$35+AC$71)/(AA$35+AA$71)),0)</f>
        <v>0</v>
      </c>
      <c r="AD62" s="328" t="e">
        <f>($D$151*$D$152*'Ввод исходных данных'!$D$22*0.28)*N$147*0.024+N192*$D$154+N161</f>
        <v>#N/A</v>
      </c>
      <c r="AE62" s="672">
        <f>IFERROR(AD62*((AE$35+AE$71)/(AD$35+AD$71)),0)</f>
        <v>0</v>
      </c>
      <c r="AF62" s="672">
        <f>IFERROR(AD62*((AF$35+AF$71)/(AD$35+AD$71)),0)</f>
        <v>0</v>
      </c>
      <c r="AG62" s="328" t="e">
        <f>($D$151*$D$152*'Ввод исходных данных'!$D$22*0.28)*O$147*0.024+O192*$D$154+O161</f>
        <v>#N/A</v>
      </c>
      <c r="AH62" s="672">
        <f>IFERROR(AG62*((AH$35+AH$71)/(AG$35+AG$71)),0)</f>
        <v>0</v>
      </c>
      <c r="AI62" s="672">
        <f>IFERROR(AG62*((AI$35+AI$71)/(AG$35+AG$71)),0)</f>
        <v>0</v>
      </c>
      <c r="AJ62" s="328" t="e">
        <f>($D$151*$D$152*'Ввод исходных данных'!$D$22*0.28)*P$147*0.024+P192*$D$154+P161</f>
        <v>#N/A</v>
      </c>
      <c r="AK62" s="672">
        <f>IFERROR(AJ62*((AK$35+AK$71)/(AJ$35+AJ$71)),0)</f>
        <v>0</v>
      </c>
      <c r="AL62" s="672">
        <f>IFERROR(AJ62*((AL$35+AL$71)/(AJ$35+AJ$71)),0)</f>
        <v>0</v>
      </c>
      <c r="AM62" s="328" t="e">
        <f>($D$151*$D$152*'Ввод исходных данных'!$D$22*0.28)*Q$147*0.024+Q192*$D$154+Q161</f>
        <v>#N/A</v>
      </c>
      <c r="AN62" s="672">
        <f>IFERROR(AM62*((AN$35+AN$71)/(AM$35+AM$71)),0)</f>
        <v>0</v>
      </c>
      <c r="AO62" s="672">
        <f>IFERROR(AM62*((AO$35+AO$71)/(AM$35+AM$71)),0)</f>
        <v>0</v>
      </c>
      <c r="AP62" s="328" t="e">
        <f>($D$151*$D$152*'Ввод исходных данных'!$D$22*0.28)*R$147*0.024+R192*$D$154+R161</f>
        <v>#N/A</v>
      </c>
      <c r="AQ62" s="672">
        <f>IFERROR(AP62*((AQ$35+AQ$71)/(AP$35+AP$71)),0)</f>
        <v>0</v>
      </c>
      <c r="AR62" s="672">
        <f>IFERROR(AP62*((AR$35+AR$71)/(AP$35+AP$71)),0)</f>
        <v>0</v>
      </c>
      <c r="AS62" s="74"/>
      <c r="AT62" s="74"/>
      <c r="AU62" s="74"/>
      <c r="AV62" s="74"/>
      <c r="AW62" s="74"/>
      <c r="AX62" s="74"/>
      <c r="AY62" s="74"/>
      <c r="AZ62" s="74"/>
      <c r="BA62" s="74"/>
      <c r="BB62" s="74"/>
      <c r="BC62" s="74"/>
      <c r="BD62" s="74"/>
      <c r="BE62" s="74"/>
      <c r="BF62" s="74"/>
      <c r="BG62" s="74"/>
      <c r="BH62" s="74"/>
      <c r="BI62" s="74"/>
      <c r="BJ62" s="74"/>
      <c r="BK62" s="74"/>
      <c r="BL62" s="74"/>
      <c r="BM62" s="74"/>
      <c r="BN62" s="74"/>
      <c r="BO62" s="74"/>
    </row>
    <row r="63" spans="1:67" x14ac:dyDescent="0.25">
      <c r="A63" s="358" t="s">
        <v>874</v>
      </c>
      <c r="B63" s="359" t="s">
        <v>1184</v>
      </c>
      <c r="C63" s="658" t="e">
        <f>0.86*C62/1000</f>
        <v>#N/A</v>
      </c>
      <c r="D63" s="377" t="e">
        <f>0.86*D62/1000</f>
        <v>#N/A</v>
      </c>
      <c r="E63" s="732" t="e">
        <f>0.86*E62/1000</f>
        <v>#N/A</v>
      </c>
      <c r="F63" s="74"/>
      <c r="G63" s="379" t="s">
        <v>874</v>
      </c>
      <c r="H63" s="380" t="s">
        <v>1184</v>
      </c>
      <c r="I63" s="728" t="e">
        <f t="shared" ref="I63:O63" si="128">0.86*I62/1000</f>
        <v>#N/A</v>
      </c>
      <c r="J63" s="680" t="e">
        <f t="shared" si="128"/>
        <v>#N/A</v>
      </c>
      <c r="K63" s="713">
        <f t="shared" si="128"/>
        <v>0</v>
      </c>
      <c r="L63" s="733" t="e">
        <f t="shared" si="128"/>
        <v>#N/A</v>
      </c>
      <c r="M63" s="683" t="e">
        <f t="shared" si="128"/>
        <v>#N/A</v>
      </c>
      <c r="N63" s="681">
        <f t="shared" si="128"/>
        <v>0</v>
      </c>
      <c r="O63" s="370" t="e">
        <f t="shared" si="128"/>
        <v>#N/A</v>
      </c>
      <c r="P63" s="717" t="e">
        <f t="shared" ref="P63:P66" si="129">O63*($P$35/$O$35)</f>
        <v>#N/A</v>
      </c>
      <c r="Q63" s="718" t="e">
        <f t="shared" ref="Q63" si="130">O63*($Q$35/$O$35)</f>
        <v>#N/A</v>
      </c>
      <c r="R63" s="685" t="e">
        <f>0.86*R62/1000</f>
        <v>#N/A</v>
      </c>
      <c r="S63" s="725" t="e">
        <f>0.86*S62/1000</f>
        <v>#N/A</v>
      </c>
      <c r="T63" s="726">
        <f>0.86*T62/1000</f>
        <v>0</v>
      </c>
      <c r="U63" s="370" t="e">
        <f>0.86*U62/1000</f>
        <v>#N/A</v>
      </c>
      <c r="V63" s="680">
        <f t="shared" ref="V63:W63" si="131">0.86*V62/1000</f>
        <v>0</v>
      </c>
      <c r="W63" s="686">
        <f t="shared" si="131"/>
        <v>0</v>
      </c>
      <c r="X63" s="370" t="e">
        <f>0.86*X62/1000</f>
        <v>#N/A</v>
      </c>
      <c r="Y63" s="680">
        <f t="shared" ref="Y63:Z63" si="132">0.86*Y62/1000</f>
        <v>0</v>
      </c>
      <c r="Z63" s="686">
        <f t="shared" si="132"/>
        <v>0</v>
      </c>
      <c r="AA63" s="370" t="e">
        <f>0.86*AA62/1000</f>
        <v>#N/A</v>
      </c>
      <c r="AB63" s="680">
        <f t="shared" ref="AB63:AC63" si="133">0.86*AB62/1000</f>
        <v>0</v>
      </c>
      <c r="AC63" s="686">
        <f t="shared" si="133"/>
        <v>0</v>
      </c>
      <c r="AD63" s="370" t="e">
        <f>0.86*AD62/1000</f>
        <v>#N/A</v>
      </c>
      <c r="AE63" s="680">
        <f t="shared" ref="AE63:AF63" si="134">0.86*AE62/1000</f>
        <v>0</v>
      </c>
      <c r="AF63" s="686">
        <f t="shared" si="134"/>
        <v>0</v>
      </c>
      <c r="AG63" s="370" t="e">
        <f>0.86*AG62/1000</f>
        <v>#N/A</v>
      </c>
      <c r="AH63" s="680">
        <f t="shared" ref="AH63" si="135">0.86*AH62/1000</f>
        <v>0</v>
      </c>
      <c r="AI63" s="686">
        <f>0.86*AI62/1000</f>
        <v>0</v>
      </c>
      <c r="AJ63" s="682" t="e">
        <f>0.86*AJ62/1000</f>
        <v>#N/A</v>
      </c>
      <c r="AK63" s="680">
        <f t="shared" ref="AK63" si="136">0.86*AK62/1000</f>
        <v>0</v>
      </c>
      <c r="AL63" s="686">
        <f t="shared" ref="AL63" si="137">0.86*AL62/1000</f>
        <v>0</v>
      </c>
      <c r="AM63" s="685" t="e">
        <f>0.86*AM62/1000</f>
        <v>#N/A</v>
      </c>
      <c r="AN63" s="680">
        <f t="shared" ref="AN63" si="138">0.86*AN62/1000</f>
        <v>0</v>
      </c>
      <c r="AO63" s="686">
        <f t="shared" ref="AO63" si="139">0.86*AO62/1000</f>
        <v>0</v>
      </c>
      <c r="AP63" s="685" t="e">
        <f>0.86*AP62/1000</f>
        <v>#N/A</v>
      </c>
      <c r="AQ63" s="680">
        <f t="shared" ref="AQ63" si="140">0.86*AQ62/1000</f>
        <v>0</v>
      </c>
      <c r="AR63" s="686">
        <f t="shared" ref="AR63" si="141">0.86*AR62/1000</f>
        <v>0</v>
      </c>
      <c r="AS63" s="74"/>
      <c r="AT63" s="74"/>
      <c r="AU63" s="74"/>
      <c r="AV63" s="74"/>
      <c r="AW63" s="74"/>
      <c r="AX63" s="74"/>
      <c r="AY63" s="74"/>
      <c r="AZ63" s="74"/>
      <c r="BA63" s="74"/>
      <c r="BB63" s="74"/>
      <c r="BC63" s="74"/>
      <c r="BD63" s="74"/>
      <c r="BE63" s="74"/>
      <c r="BF63" s="74"/>
      <c r="BG63" s="74"/>
      <c r="BH63" s="74"/>
      <c r="BI63" s="74"/>
      <c r="BJ63" s="74"/>
      <c r="BK63" s="74"/>
      <c r="BL63" s="74"/>
      <c r="BM63" s="74"/>
      <c r="BN63" s="74"/>
      <c r="BO63" s="74"/>
    </row>
    <row r="64" spans="1:67" ht="15.75" thickBot="1" x14ac:dyDescent="0.3">
      <c r="A64" s="385" t="s">
        <v>874</v>
      </c>
      <c r="B64" s="386" t="s">
        <v>1181</v>
      </c>
      <c r="C64" s="620"/>
      <c r="D64" s="690"/>
      <c r="E64" s="734"/>
      <c r="F64" s="74"/>
      <c r="G64" s="362" t="s">
        <v>874</v>
      </c>
      <c r="H64" s="388" t="s">
        <v>1181</v>
      </c>
      <c r="I64" s="390"/>
      <c r="J64" s="401"/>
      <c r="K64" s="694"/>
      <c r="L64" s="390"/>
      <c r="M64" s="401"/>
      <c r="N64" s="667"/>
      <c r="O64" s="403"/>
      <c r="P64" s="401"/>
      <c r="Q64" s="669"/>
      <c r="R64" s="390"/>
      <c r="S64" s="401"/>
      <c r="T64" s="667"/>
      <c r="U64" s="403"/>
      <c r="V64" s="401"/>
      <c r="W64" s="669"/>
      <c r="X64" s="390"/>
      <c r="Y64" s="401"/>
      <c r="Z64" s="667"/>
      <c r="AA64" s="403"/>
      <c r="AB64" s="401"/>
      <c r="AC64" s="669"/>
      <c r="AD64" s="390"/>
      <c r="AE64" s="401"/>
      <c r="AF64" s="667"/>
      <c r="AG64" s="403"/>
      <c r="AH64" s="401"/>
      <c r="AI64" s="669"/>
      <c r="AJ64" s="392"/>
      <c r="AK64" s="698"/>
      <c r="AL64" s="699"/>
      <c r="AM64" s="392"/>
      <c r="AN64" s="698"/>
      <c r="AO64" s="699"/>
      <c r="AP64" s="392"/>
      <c r="AQ64" s="698"/>
      <c r="AR64" s="667"/>
      <c r="AS64" s="74"/>
      <c r="AT64" s="74"/>
      <c r="AU64" s="74"/>
      <c r="AV64" s="74"/>
      <c r="AW64" s="74"/>
      <c r="AX64" s="74"/>
      <c r="AY64" s="74"/>
      <c r="AZ64" s="74"/>
      <c r="BA64" s="74"/>
      <c r="BB64" s="74"/>
      <c r="BC64" s="74"/>
      <c r="BD64" s="74"/>
      <c r="BE64" s="74"/>
      <c r="BF64" s="74"/>
      <c r="BG64" s="74"/>
      <c r="BH64" s="74"/>
      <c r="BI64" s="74"/>
      <c r="BJ64" s="74"/>
      <c r="BK64" s="74"/>
      <c r="BL64" s="74"/>
      <c r="BM64" s="74"/>
      <c r="BN64" s="74"/>
      <c r="BO64" s="74"/>
    </row>
    <row r="65" spans="1:67" ht="45.75" customHeight="1" x14ac:dyDescent="0.25">
      <c r="A65" s="671" t="s">
        <v>1206</v>
      </c>
      <c r="B65" s="650" t="s">
        <v>842</v>
      </c>
      <c r="C65" s="324" t="e">
        <f>(C62+C38-C71*$D$156)*($D$158-1)</f>
        <v>#N/A</v>
      </c>
      <c r="D65" s="672" t="e">
        <f>C65*(($D$35+$D$71)/($C$35+$C$71))</f>
        <v>#N/A</v>
      </c>
      <c r="E65" s="672" t="e">
        <f>$C65*(($E$35+$E$71)/($C$35+$C$71))</f>
        <v>#N/A</v>
      </c>
      <c r="F65" s="74"/>
      <c r="G65" s="735" t="s">
        <v>1206</v>
      </c>
      <c r="H65" s="736" t="s">
        <v>842</v>
      </c>
      <c r="I65" s="347" t="e">
        <f>(I62+I38-I71*$D$156)*($D$158-1)</f>
        <v>#N/A</v>
      </c>
      <c r="J65" s="672" t="e">
        <f>I65*((J$35+J$71)/(I$35+I$71))</f>
        <v>#N/A</v>
      </c>
      <c r="K65" s="672">
        <f>IFERROR(I65*((K$35+K$71)/(I$35+I$71)),0)</f>
        <v>0</v>
      </c>
      <c r="L65" s="349" t="e">
        <f>(L62+L38-L71*$D$156)*($D$158-1)</f>
        <v>#N/A</v>
      </c>
      <c r="M65" s="672" t="e">
        <f>L65*((M$35+M$71)/(L$35+L$71))</f>
        <v>#N/A</v>
      </c>
      <c r="N65" s="672">
        <f>IFERROR(L65*((N$35+N$71)/(L$35+L$71)),0)</f>
        <v>0</v>
      </c>
      <c r="O65" s="737" t="e">
        <f>(O62+O38-O71*$D$156)*($D$158-1)</f>
        <v>#N/A</v>
      </c>
      <c r="P65" s="672" t="e">
        <f>O65*((P$35+P$71)/(O$35+O$71))</f>
        <v>#N/A</v>
      </c>
      <c r="Q65" s="672">
        <f>IFERROR(O65*((Q$35+Q$71)/(O$35+O$71)),0)</f>
        <v>0</v>
      </c>
      <c r="R65" s="737" t="e">
        <f>(R62+R38-R71*$D$156)*($D$158-1)</f>
        <v>#N/A</v>
      </c>
      <c r="S65" s="672" t="e">
        <f>R65*((S$35+S$71)/(R$35+R$71))</f>
        <v>#N/A</v>
      </c>
      <c r="T65" s="672">
        <f>IFERROR(R65*((T$35+T$71)/(R$35+R$71)),0)</f>
        <v>0</v>
      </c>
      <c r="U65" s="374" t="e">
        <f>(U62+U38-U71*$D$156)*($D$158-1)</f>
        <v>#N/A</v>
      </c>
      <c r="V65" s="672">
        <f>IFERROR(U65*((V$35+V$71)/(U$35+U$71)),0)</f>
        <v>0</v>
      </c>
      <c r="W65" s="672">
        <f>IFERROR(U65*((W$35+W$71)/(U$35+U$71)),0)</f>
        <v>0</v>
      </c>
      <c r="X65" s="738" t="e">
        <f>(X62+X38-X71*$D$156)*($D$158-1)</f>
        <v>#N/A</v>
      </c>
      <c r="Y65" s="672">
        <f>IFERROR(X65*((Y$35+Y$71)/(X$35+X$71)),0)</f>
        <v>0</v>
      </c>
      <c r="Z65" s="672">
        <f>IFERROR(X65*((Z$35+Z$71)/(X$35+X$71)),0)</f>
        <v>0</v>
      </c>
      <c r="AA65" s="739" t="e">
        <f>(AA62+AA38-AA71*$D$156)*($D$158-1)</f>
        <v>#N/A</v>
      </c>
      <c r="AB65" s="672">
        <f>IFERROR(AA65*((AB$35+AB$71)/(AA$35+AA$71)),0)</f>
        <v>0</v>
      </c>
      <c r="AC65" s="672">
        <f>IFERROR(AA65*((AC$35+AC$71)/(AA$35+AA$71)),0)</f>
        <v>0</v>
      </c>
      <c r="AD65" s="739" t="e">
        <f>(AD62+AD38-AD71*$D$156)*($D$158-1)</f>
        <v>#N/A</v>
      </c>
      <c r="AE65" s="672">
        <f>IFERROR(AD65*((AE$35+AE$71)/(AD$35+AD$71)),0)</f>
        <v>0</v>
      </c>
      <c r="AF65" s="672">
        <f>IFERROR(AD65*((AF$35+AF$71)/(AD$35+AD$71)),0)</f>
        <v>0</v>
      </c>
      <c r="AG65" s="739" t="e">
        <f>(AG62+AG38-AG71*$D$156)*($D$158-1)</f>
        <v>#N/A</v>
      </c>
      <c r="AH65" s="672">
        <f>IFERROR(AG65*((AH$35+AH$71)/(AG$35+AG$71)),0)</f>
        <v>0</v>
      </c>
      <c r="AI65" s="672">
        <f>IFERROR(AG65*((AI$35+AI$71)/(AG$35+AG$71)),0)</f>
        <v>0</v>
      </c>
      <c r="AJ65" s="737" t="e">
        <f>(AJ62+AJ38-AJ71*$D$156)*($D$158-1)</f>
        <v>#N/A</v>
      </c>
      <c r="AK65" s="672">
        <f>IFERROR(AJ65*((AK$35+AK$71)/(AJ$35+AJ$71)),0)</f>
        <v>0</v>
      </c>
      <c r="AL65" s="672">
        <f>IFERROR(AJ65*((AL$35+AL$71)/(AJ$35+AJ$71)),0)</f>
        <v>0</v>
      </c>
      <c r="AM65" s="347" t="e">
        <f>(AM62+AM38-AM71*$D$156)*($D$158-1)</f>
        <v>#N/A</v>
      </c>
      <c r="AN65" s="672">
        <f>IFERROR(AM65*((AN$35+AN$71)/(AM$35+AM$71)),0)</f>
        <v>0</v>
      </c>
      <c r="AO65" s="672">
        <f>IFERROR(AM65*((AO$35+AO$71)/(AM$35+AM$71)),0)</f>
        <v>0</v>
      </c>
      <c r="AP65" s="740" t="e">
        <f>(AP62+AP38-AP71*$D$156)*($D$158-1)</f>
        <v>#N/A</v>
      </c>
      <c r="AQ65" s="672">
        <f>IFERROR(AP65*((AQ$35+AQ$71)/(AP$35+AP$71)),0)</f>
        <v>0</v>
      </c>
      <c r="AR65" s="672">
        <f>IFERROR(AP65*((AR$35+AR$71)/(AP$35+AP$71)),0)</f>
        <v>0</v>
      </c>
      <c r="AS65" s="74"/>
      <c r="AT65" s="74"/>
      <c r="AU65" s="74"/>
      <c r="AV65" s="74"/>
      <c r="AW65" s="74"/>
      <c r="AX65" s="74"/>
      <c r="AY65" s="74"/>
      <c r="AZ65" s="74"/>
      <c r="BA65" s="74"/>
      <c r="BB65" s="74"/>
      <c r="BC65" s="74"/>
      <c r="BD65" s="74"/>
      <c r="BE65" s="74"/>
      <c r="BF65" s="74"/>
      <c r="BG65" s="74"/>
      <c r="BH65" s="74"/>
      <c r="BI65" s="74"/>
      <c r="BJ65" s="74"/>
      <c r="BK65" s="74"/>
      <c r="BL65" s="74"/>
      <c r="BM65" s="74"/>
      <c r="BN65" s="74"/>
      <c r="BO65" s="74"/>
    </row>
    <row r="66" spans="1:67" x14ac:dyDescent="0.25">
      <c r="A66" s="358" t="s">
        <v>874</v>
      </c>
      <c r="B66" s="359" t="s">
        <v>1184</v>
      </c>
      <c r="C66" s="658" t="e">
        <f>0.86*C65/1000</f>
        <v>#N/A</v>
      </c>
      <c r="D66" s="377" t="e">
        <f>0.86*D65/1000</f>
        <v>#N/A</v>
      </c>
      <c r="E66" s="732" t="e">
        <f>0.86*E65/1000</f>
        <v>#N/A</v>
      </c>
      <c r="F66" s="74"/>
      <c r="G66" s="379" t="s">
        <v>874</v>
      </c>
      <c r="H66" s="380" t="s">
        <v>1184</v>
      </c>
      <c r="I66" s="723" t="e">
        <f t="shared" ref="I66:O66" si="142">0.86*I65/1000</f>
        <v>#N/A</v>
      </c>
      <c r="J66" s="680" t="e">
        <f t="shared" si="142"/>
        <v>#N/A</v>
      </c>
      <c r="K66" s="724">
        <f t="shared" si="142"/>
        <v>0</v>
      </c>
      <c r="L66" s="741" t="e">
        <f t="shared" si="142"/>
        <v>#N/A</v>
      </c>
      <c r="M66" s="683" t="e">
        <f t="shared" si="142"/>
        <v>#N/A</v>
      </c>
      <c r="N66" s="681">
        <f t="shared" si="142"/>
        <v>0</v>
      </c>
      <c r="O66" s="728" t="e">
        <f t="shared" si="142"/>
        <v>#N/A</v>
      </c>
      <c r="P66" s="717" t="e">
        <f t="shared" si="129"/>
        <v>#N/A</v>
      </c>
      <c r="Q66" s="718" t="e">
        <f t="shared" ref="Q66" si="143">O66*($Q$35/$O$35)</f>
        <v>#N/A</v>
      </c>
      <c r="R66" s="742" t="e">
        <f>0.86*R65/1000</f>
        <v>#N/A</v>
      </c>
      <c r="S66" s="725" t="e">
        <f>0.86*S65/1000</f>
        <v>#N/A</v>
      </c>
      <c r="T66" s="726">
        <f>0.86*T65/1000</f>
        <v>0</v>
      </c>
      <c r="U66" s="685" t="e">
        <f>0.86*U65/1000</f>
        <v>#N/A</v>
      </c>
      <c r="V66" s="680">
        <f t="shared" ref="V66:W66" si="144">0.86*V65/1000</f>
        <v>0</v>
      </c>
      <c r="W66" s="686">
        <f t="shared" si="144"/>
        <v>0</v>
      </c>
      <c r="X66" s="743" t="e">
        <f>0.86*X65/1000</f>
        <v>#N/A</v>
      </c>
      <c r="Y66" s="680">
        <f t="shared" ref="Y66:Z66" si="145">0.86*Y65/1000</f>
        <v>0</v>
      </c>
      <c r="Z66" s="686">
        <f t="shared" si="145"/>
        <v>0</v>
      </c>
      <c r="AA66" s="370" t="e">
        <f>0.86*AA65/1000</f>
        <v>#N/A</v>
      </c>
      <c r="AB66" s="680">
        <f t="shared" ref="AB66:AC66" si="146">0.86*AB65/1000</f>
        <v>0</v>
      </c>
      <c r="AC66" s="686">
        <f t="shared" si="146"/>
        <v>0</v>
      </c>
      <c r="AD66" s="370" t="e">
        <f>0.86*AD65/1000</f>
        <v>#N/A</v>
      </c>
      <c r="AE66" s="680">
        <f t="shared" ref="AE66:AF66" si="147">0.86*AE65/1000</f>
        <v>0</v>
      </c>
      <c r="AF66" s="686">
        <f t="shared" si="147"/>
        <v>0</v>
      </c>
      <c r="AG66" s="370" t="e">
        <f>0.86*AG65/1000</f>
        <v>#N/A</v>
      </c>
      <c r="AH66" s="680">
        <f t="shared" ref="AH66" si="148">0.86*AH65/1000</f>
        <v>0</v>
      </c>
      <c r="AI66" s="686">
        <f>0.86*AI65/1000</f>
        <v>0</v>
      </c>
      <c r="AJ66" s="723" t="e">
        <f t="shared" ref="AJ66" si="149">0.86*AJ65/1000</f>
        <v>#N/A</v>
      </c>
      <c r="AK66" s="680">
        <f t="shared" ref="AK66" si="150">0.86*AK65/1000</f>
        <v>0</v>
      </c>
      <c r="AL66" s="724">
        <f t="shared" ref="AL66" si="151">0.86*AL65/1000</f>
        <v>0</v>
      </c>
      <c r="AM66" s="682" t="e">
        <f>0.86*AM65/1000</f>
        <v>#N/A</v>
      </c>
      <c r="AN66" s="680">
        <f t="shared" ref="AN66" si="152">0.86*AN65/1000</f>
        <v>0</v>
      </c>
      <c r="AO66" s="686">
        <f t="shared" ref="AO66" si="153">0.86*AO65/1000</f>
        <v>0</v>
      </c>
      <c r="AP66" s="688" t="e">
        <f>0.86*AP65/1000</f>
        <v>#N/A</v>
      </c>
      <c r="AQ66" s="680">
        <f t="shared" ref="AQ66" si="154">0.86*AQ65/1000</f>
        <v>0</v>
      </c>
      <c r="AR66" s="686">
        <f t="shared" ref="AR66" si="155">0.86*AR65/1000</f>
        <v>0</v>
      </c>
      <c r="AS66" s="74"/>
      <c r="AT66" s="74"/>
      <c r="AU66" s="74"/>
      <c r="AV66" s="74"/>
      <c r="AW66" s="74"/>
      <c r="AX66" s="74"/>
      <c r="AY66" s="74"/>
      <c r="AZ66" s="74"/>
      <c r="BA66" s="74"/>
      <c r="BB66" s="74"/>
      <c r="BC66" s="74"/>
      <c r="BD66" s="74"/>
      <c r="BE66" s="74"/>
      <c r="BF66" s="74"/>
      <c r="BG66" s="74"/>
      <c r="BH66" s="74"/>
      <c r="BI66" s="74"/>
      <c r="BJ66" s="74"/>
      <c r="BK66" s="74"/>
      <c r="BL66" s="74"/>
      <c r="BM66" s="74"/>
      <c r="BN66" s="74"/>
      <c r="BO66" s="74"/>
    </row>
    <row r="67" spans="1:67" ht="18" customHeight="1" thickBot="1" x14ac:dyDescent="0.3">
      <c r="A67" s="385" t="s">
        <v>874</v>
      </c>
      <c r="B67" s="386" t="s">
        <v>1181</v>
      </c>
      <c r="C67" s="620"/>
      <c r="D67" s="690"/>
      <c r="E67" s="734" t="e">
        <f>(E65/$E$35)*100</f>
        <v>#N/A</v>
      </c>
      <c r="F67" s="74"/>
      <c r="G67" s="362" t="s">
        <v>874</v>
      </c>
      <c r="H67" s="388" t="s">
        <v>1181</v>
      </c>
      <c r="I67" s="390"/>
      <c r="J67" s="401"/>
      <c r="K67" s="694"/>
      <c r="L67" s="403"/>
      <c r="M67" s="401"/>
      <c r="N67" s="667"/>
      <c r="O67" s="403"/>
      <c r="P67" s="401"/>
      <c r="Q67" s="669"/>
      <c r="R67" s="390"/>
      <c r="S67" s="401"/>
      <c r="T67" s="667"/>
      <c r="U67" s="392"/>
      <c r="V67" s="698"/>
      <c r="W67" s="699"/>
      <c r="X67" s="403"/>
      <c r="Y67" s="401"/>
      <c r="Z67" s="667"/>
      <c r="AA67" s="403"/>
      <c r="AB67" s="401"/>
      <c r="AC67" s="669"/>
      <c r="AD67" s="390"/>
      <c r="AE67" s="401"/>
      <c r="AF67" s="667"/>
      <c r="AG67" s="403"/>
      <c r="AH67" s="401"/>
      <c r="AI67" s="669"/>
      <c r="AJ67" s="392"/>
      <c r="AK67" s="698"/>
      <c r="AL67" s="699"/>
      <c r="AM67" s="700"/>
      <c r="AN67" s="701"/>
      <c r="AO67" s="702"/>
      <c r="AP67" s="700"/>
      <c r="AQ67" s="701"/>
      <c r="AR67" s="668"/>
      <c r="AS67" s="74"/>
      <c r="AT67" s="74"/>
      <c r="AU67" s="74"/>
      <c r="AV67" s="74"/>
      <c r="AW67" s="74"/>
      <c r="AX67" s="74"/>
      <c r="AY67" s="74"/>
      <c r="AZ67" s="74"/>
      <c r="BA67" s="74"/>
      <c r="BB67" s="74"/>
      <c r="BC67" s="74"/>
      <c r="BD67" s="74"/>
      <c r="BE67" s="74"/>
      <c r="BF67" s="74"/>
      <c r="BG67" s="74"/>
      <c r="BH67" s="74"/>
      <c r="BI67" s="74"/>
      <c r="BJ67" s="74"/>
      <c r="BK67" s="74"/>
      <c r="BL67" s="74"/>
      <c r="BM67" s="74"/>
      <c r="BN67" s="74"/>
      <c r="BO67" s="74"/>
    </row>
    <row r="68" spans="1:67" ht="45.6" customHeight="1" x14ac:dyDescent="0.25">
      <c r="A68" s="671" t="s">
        <v>1200</v>
      </c>
      <c r="B68" s="650" t="s">
        <v>842</v>
      </c>
      <c r="C68" s="348" t="e">
        <f>C71*(1-$D$156)</f>
        <v>#DIV/0!</v>
      </c>
      <c r="D68" s="672" t="e">
        <f>C68*(($D$35+$D$71)/($C$35+$C$71))</f>
        <v>#DIV/0!</v>
      </c>
      <c r="E68" s="672" t="e">
        <f>$C68*(($E$35+$E$71)/($C$35+$C$71))</f>
        <v>#DIV/0!</v>
      </c>
      <c r="F68" s="74"/>
      <c r="G68" s="735" t="s">
        <v>1200</v>
      </c>
      <c r="H68" s="736" t="s">
        <v>842</v>
      </c>
      <c r="I68" s="327" t="e">
        <f>I71*(1-$D$156)</f>
        <v>#DIV/0!</v>
      </c>
      <c r="J68" s="672" t="e">
        <f>I68*((J$35+J$71)/(I$35+I$71))</f>
        <v>#DIV/0!</v>
      </c>
      <c r="K68" s="672">
        <f>IFERROR(I68*((K$35+K$71)/(I$35+I$71)),0)</f>
        <v>0</v>
      </c>
      <c r="L68" s="349" t="e">
        <f>L71*(1-$D$156)</f>
        <v>#DIV/0!</v>
      </c>
      <c r="M68" s="672" t="e">
        <f>L68*((M$35+M$71)/(L$35+L$71))</f>
        <v>#DIV/0!</v>
      </c>
      <c r="N68" s="672">
        <f>IFERROR(L68*((N$35+N$71)/(L$35+L$71)),0)</f>
        <v>0</v>
      </c>
      <c r="O68" s="347" t="e">
        <f>O71*(1-$D$156)</f>
        <v>#DIV/0!</v>
      </c>
      <c r="P68" s="672" t="e">
        <f>O68*((P$35+P$71)/(O$35+O$71))</f>
        <v>#DIV/0!</v>
      </c>
      <c r="Q68" s="672">
        <f>IFERROR(O68*((Q$35+Q$71)/(O$35+O$71)),0)</f>
        <v>0</v>
      </c>
      <c r="R68" s="349" t="e">
        <f>R71*(1-$D$156)</f>
        <v>#DIV/0!</v>
      </c>
      <c r="S68" s="672" t="e">
        <f>R68*((S$35+S$71)/(R$35+R$71))</f>
        <v>#DIV/0!</v>
      </c>
      <c r="T68" s="672">
        <f>IFERROR(R68*((T$35+T$71)/(R$35+R$71)),0)</f>
        <v>0</v>
      </c>
      <c r="U68" s="744" t="e">
        <f>U71*(1-$D$156)</f>
        <v>#N/A</v>
      </c>
      <c r="V68" s="672">
        <f>IFERROR(U68*((V$35+V$71)/(U$35+U$71)),0)</f>
        <v>0</v>
      </c>
      <c r="W68" s="672">
        <f>IFERROR(U68*((W$35+W$71)/(U$35+U$71)),0)</f>
        <v>0</v>
      </c>
      <c r="X68" s="739" t="e">
        <f>X71*(1-$D$156)</f>
        <v>#N/A</v>
      </c>
      <c r="Y68" s="672">
        <f>IFERROR(X68*((Y$35+Y$71)/(X$35+X$71)),0)</f>
        <v>0</v>
      </c>
      <c r="Z68" s="672">
        <f>IFERROR(X68*((Z$35+Z$71)/(X$35+X$71)),0)</f>
        <v>0</v>
      </c>
      <c r="AA68" s="739" t="e">
        <f>AA71*(1-$D$156)</f>
        <v>#N/A</v>
      </c>
      <c r="AB68" s="672">
        <f>IFERROR(AA68*((AB$35+AB$71)/(AA$35+AA$71)),0)</f>
        <v>0</v>
      </c>
      <c r="AC68" s="672">
        <f>IFERROR(AA68*((AC$35+AC$71)/(AA$35+AA$71)),0)</f>
        <v>0</v>
      </c>
      <c r="AD68" s="739" t="e">
        <f>AD71*(1-$D$156)</f>
        <v>#N/A</v>
      </c>
      <c r="AE68" s="672">
        <f>IFERROR(AD68*((AE$35+AE$71)/(AD$35+AD$71)),0)</f>
        <v>0</v>
      </c>
      <c r="AF68" s="672">
        <f>IFERROR(AD68*((AF$35+AF$71)/(AD$35+AD$71)),0)</f>
        <v>0</v>
      </c>
      <c r="AG68" s="745" t="e">
        <f>AG71*(1-$D$156)</f>
        <v>#N/A</v>
      </c>
      <c r="AH68" s="672">
        <f>IFERROR(AG68*((AH$35+AH$71)/(AG$35+AG$71)),0)</f>
        <v>0</v>
      </c>
      <c r="AI68" s="672">
        <f>IFERROR(AG68*((AI$35+AI$71)/(AG$35+AG$71)),0)</f>
        <v>0</v>
      </c>
      <c r="AJ68" s="327" t="e">
        <f>AJ71*(1-$D$156)</f>
        <v>#DIV/0!</v>
      </c>
      <c r="AK68" s="672">
        <f>IFERROR(AJ68*((AK$35+AK$71)/(AJ$35+AJ$71)),0)</f>
        <v>0</v>
      </c>
      <c r="AL68" s="672">
        <f>IFERROR(AJ68*((AL$35+AL$71)/(AJ$35+AJ$71)),0)</f>
        <v>0</v>
      </c>
      <c r="AM68" s="327" t="e">
        <f>AM71*(1-$D$156)</f>
        <v>#DIV/0!</v>
      </c>
      <c r="AN68" s="672">
        <f>IFERROR(AM68*((AN$35+AN$71)/(AM$35+AM$71)),0)</f>
        <v>0</v>
      </c>
      <c r="AO68" s="672">
        <f>IFERROR(AM68*((AO$35+AO$71)/(AM$35+AM$71)),0)</f>
        <v>0</v>
      </c>
      <c r="AP68" s="746" t="e">
        <f>AP71*(1-$D$156)</f>
        <v>#DIV/0!</v>
      </c>
      <c r="AQ68" s="672">
        <f>IFERROR(AP68*((AQ$35+AQ$71)/(AP$35+AP$71)),0)</f>
        <v>0</v>
      </c>
      <c r="AR68" s="672">
        <f>IFERROR(AP68*((AR$35+AR$71)/(AP$35+AP$71)),0)</f>
        <v>0</v>
      </c>
      <c r="AS68" s="74"/>
      <c r="AT68" s="74"/>
      <c r="AU68" s="74"/>
      <c r="AV68" s="74"/>
      <c r="AW68" s="74"/>
      <c r="AX68" s="74"/>
      <c r="AY68" s="74"/>
      <c r="AZ68" s="74"/>
      <c r="BA68" s="74"/>
      <c r="BB68" s="74"/>
      <c r="BC68" s="74"/>
      <c r="BD68" s="74"/>
      <c r="BE68" s="74"/>
      <c r="BF68" s="74"/>
      <c r="BG68" s="74"/>
      <c r="BH68" s="74"/>
      <c r="BI68" s="74"/>
      <c r="BJ68" s="74"/>
      <c r="BK68" s="74"/>
      <c r="BL68" s="74"/>
      <c r="BM68" s="74"/>
      <c r="BN68" s="74"/>
      <c r="BO68" s="74"/>
    </row>
    <row r="69" spans="1:67" x14ac:dyDescent="0.25">
      <c r="A69" s="358" t="s">
        <v>874</v>
      </c>
      <c r="B69" s="359" t="s">
        <v>1184</v>
      </c>
      <c r="C69" s="361" t="e">
        <f>0.86*C68/1000</f>
        <v>#DIV/0!</v>
      </c>
      <c r="D69" s="367" t="e">
        <f>0.86*D68/1000</f>
        <v>#DIV/0!</v>
      </c>
      <c r="E69" s="747" t="e">
        <f>0.86*E68/1000</f>
        <v>#DIV/0!</v>
      </c>
      <c r="F69" s="74"/>
      <c r="G69" s="379" t="s">
        <v>874</v>
      </c>
      <c r="H69" s="380" t="s">
        <v>1184</v>
      </c>
      <c r="I69" s="748" t="e">
        <f>0.86*I68/1000</f>
        <v>#DIV/0!</v>
      </c>
      <c r="J69" s="749" t="e">
        <f t="shared" ref="J69:M69" si="156">0.86*J68/1000</f>
        <v>#DIV/0!</v>
      </c>
      <c r="K69" s="750">
        <f t="shared" si="156"/>
        <v>0</v>
      </c>
      <c r="L69" s="741" t="e">
        <f>0.86*L68/1000</f>
        <v>#DIV/0!</v>
      </c>
      <c r="M69" s="749" t="e">
        <f t="shared" si="156"/>
        <v>#DIV/0!</v>
      </c>
      <c r="N69" s="750">
        <f t="shared" ref="N69" si="157">0.86*N68/1000</f>
        <v>0</v>
      </c>
      <c r="O69" s="682" t="e">
        <f>0.86*O68/1000</f>
        <v>#DIV/0!</v>
      </c>
      <c r="P69" s="749" t="e">
        <f t="shared" ref="P69" si="158">0.86*P68/1000</f>
        <v>#DIV/0!</v>
      </c>
      <c r="Q69" s="750">
        <f t="shared" ref="Q69" si="159">0.86*Q68/1000</f>
        <v>0</v>
      </c>
      <c r="R69" s="743" t="e">
        <f>0.86*R68/1000</f>
        <v>#DIV/0!</v>
      </c>
      <c r="S69" s="749" t="e">
        <f t="shared" ref="S69" si="160">0.86*S68/1000</f>
        <v>#DIV/0!</v>
      </c>
      <c r="T69" s="750">
        <f t="shared" ref="T69" si="161">0.86*T68/1000</f>
        <v>0</v>
      </c>
      <c r="U69" s="751" t="e">
        <f>0.86*U68/1000</f>
        <v>#N/A</v>
      </c>
      <c r="V69" s="680">
        <f t="shared" ref="V69:W69" si="162">0.86*V68/1000</f>
        <v>0</v>
      </c>
      <c r="W69" s="686">
        <f t="shared" si="162"/>
        <v>0</v>
      </c>
      <c r="X69" s="370" t="e">
        <f>0.86*X68/1000</f>
        <v>#N/A</v>
      </c>
      <c r="Y69" s="680">
        <f t="shared" ref="Y69:Z69" si="163">0.86*Y68/1000</f>
        <v>0</v>
      </c>
      <c r="Z69" s="686">
        <f t="shared" si="163"/>
        <v>0</v>
      </c>
      <c r="AA69" s="370" t="e">
        <f>0.86*AA68/1000</f>
        <v>#N/A</v>
      </c>
      <c r="AB69" s="680">
        <f t="shared" ref="AB69:AC69" si="164">0.86*AB68/1000</f>
        <v>0</v>
      </c>
      <c r="AC69" s="686">
        <f t="shared" si="164"/>
        <v>0</v>
      </c>
      <c r="AD69" s="370" t="e">
        <f>0.86*AD68/1000</f>
        <v>#N/A</v>
      </c>
      <c r="AE69" s="680">
        <f t="shared" ref="AE69:AF69" si="165">0.86*AE68/1000</f>
        <v>0</v>
      </c>
      <c r="AF69" s="686">
        <f t="shared" si="165"/>
        <v>0</v>
      </c>
      <c r="AG69" s="370" t="e">
        <f>0.86*AG68/1000</f>
        <v>#N/A</v>
      </c>
      <c r="AH69" s="680">
        <f t="shared" ref="AH69" si="166">0.86*AH68/1000</f>
        <v>0</v>
      </c>
      <c r="AI69" s="686">
        <f>0.86*AI68/1000</f>
        <v>0</v>
      </c>
      <c r="AJ69" s="682" t="e">
        <f>0.86*AJ68/1000</f>
        <v>#DIV/0!</v>
      </c>
      <c r="AK69" s="749">
        <f t="shared" ref="AK69" si="167">0.86*AK68/1000</f>
        <v>0</v>
      </c>
      <c r="AL69" s="724">
        <f t="shared" ref="AL69" si="168">0.86*AL68/1000</f>
        <v>0</v>
      </c>
      <c r="AM69" s="723" t="e">
        <f>0.86*AM68/1000</f>
        <v>#DIV/0!</v>
      </c>
      <c r="AN69" s="680">
        <f t="shared" ref="AN69:AO69" si="169">0.86*AN68/1000</f>
        <v>0</v>
      </c>
      <c r="AO69" s="752">
        <f t="shared" si="169"/>
        <v>0</v>
      </c>
      <c r="AP69" s="753" t="e">
        <f>0.86*AP68/1000</f>
        <v>#DIV/0!</v>
      </c>
      <c r="AQ69" s="680">
        <f t="shared" ref="AQ69:AR69" si="170">0.86*AQ68/1000</f>
        <v>0</v>
      </c>
      <c r="AR69" s="752">
        <f t="shared" si="170"/>
        <v>0</v>
      </c>
      <c r="AS69" s="74"/>
      <c r="AT69" s="74"/>
      <c r="AU69" s="74"/>
      <c r="AV69" s="74"/>
      <c r="AW69" s="74"/>
      <c r="AX69" s="74"/>
      <c r="AY69" s="74"/>
      <c r="AZ69" s="74"/>
      <c r="BA69" s="74"/>
      <c r="BB69" s="74"/>
      <c r="BC69" s="74"/>
      <c r="BD69" s="74"/>
      <c r="BE69" s="74"/>
      <c r="BF69" s="74"/>
      <c r="BG69" s="74"/>
      <c r="BH69" s="74"/>
      <c r="BI69" s="74"/>
      <c r="BJ69" s="74"/>
      <c r="BK69" s="74"/>
      <c r="BL69" s="74"/>
      <c r="BM69" s="74"/>
      <c r="BN69" s="74"/>
      <c r="BO69" s="74"/>
    </row>
    <row r="70" spans="1:67" ht="15" customHeight="1" thickBot="1" x14ac:dyDescent="0.3">
      <c r="A70" s="385" t="s">
        <v>874</v>
      </c>
      <c r="B70" s="386" t="s">
        <v>1181</v>
      </c>
      <c r="C70" s="754" t="e">
        <f>(C68/$C$35)*100</f>
        <v>#DIV/0!</v>
      </c>
      <c r="D70" s="755" t="e">
        <f>(D68/$E$35)*100</f>
        <v>#DIV/0!</v>
      </c>
      <c r="E70" s="734" t="e">
        <f>(E68/$E$35)*100</f>
        <v>#DIV/0!</v>
      </c>
      <c r="F70" s="74"/>
      <c r="G70" s="362" t="s">
        <v>874</v>
      </c>
      <c r="H70" s="388" t="s">
        <v>1181</v>
      </c>
      <c r="I70" s="756" t="e">
        <f>(I68/I35)*100</f>
        <v>#DIV/0!</v>
      </c>
      <c r="J70" s="757" t="e">
        <f t="shared" ref="J70:K70" si="171">(J68/J35)*100</f>
        <v>#DIV/0!</v>
      </c>
      <c r="K70" s="758" t="e">
        <f t="shared" si="171"/>
        <v>#N/A</v>
      </c>
      <c r="L70" s="756" t="e">
        <f>(L68/L35)*100</f>
        <v>#DIV/0!</v>
      </c>
      <c r="M70" s="757" t="e">
        <f t="shared" ref="M70" si="172">(M68/M35)*100</f>
        <v>#DIV/0!</v>
      </c>
      <c r="N70" s="758" t="e">
        <f t="shared" ref="N70" si="173">(N68/N35)*100</f>
        <v>#N/A</v>
      </c>
      <c r="O70" s="756" t="e">
        <f>(O68/O35)*100</f>
        <v>#DIV/0!</v>
      </c>
      <c r="P70" s="757" t="e">
        <f t="shared" ref="P70" si="174">(P68/P35)*100</f>
        <v>#DIV/0!</v>
      </c>
      <c r="Q70" s="758" t="e">
        <f t="shared" ref="Q70" si="175">(Q68/Q35)*100</f>
        <v>#N/A</v>
      </c>
      <c r="R70" s="756" t="e">
        <f>(R68/R35)*100</f>
        <v>#DIV/0!</v>
      </c>
      <c r="S70" s="757" t="e">
        <f t="shared" ref="S70" si="176">(S68/S35)*100</f>
        <v>#DIV/0!</v>
      </c>
      <c r="T70" s="758" t="e">
        <f t="shared" ref="T70" si="177">(T68/T35)*100</f>
        <v>#N/A</v>
      </c>
      <c r="U70" s="403"/>
      <c r="V70" s="401"/>
      <c r="W70" s="669"/>
      <c r="X70" s="390"/>
      <c r="Y70" s="401"/>
      <c r="Z70" s="667"/>
      <c r="AA70" s="403"/>
      <c r="AB70" s="401"/>
      <c r="AC70" s="669"/>
      <c r="AD70" s="390"/>
      <c r="AE70" s="401"/>
      <c r="AF70" s="667"/>
      <c r="AG70" s="403"/>
      <c r="AH70" s="401"/>
      <c r="AI70" s="669"/>
      <c r="AJ70" s="390"/>
      <c r="AK70" s="401"/>
      <c r="AL70" s="667"/>
      <c r="AM70" s="390"/>
      <c r="AN70" s="401"/>
      <c r="AO70" s="667"/>
      <c r="AP70" s="390"/>
      <c r="AQ70" s="692"/>
      <c r="AR70" s="667"/>
      <c r="AS70" s="74"/>
      <c r="AT70" s="74"/>
      <c r="AU70" s="74"/>
      <c r="AV70" s="74"/>
      <c r="AW70" s="74"/>
      <c r="AX70" s="74"/>
      <c r="AY70" s="74"/>
      <c r="AZ70" s="74"/>
      <c r="BA70" s="74"/>
      <c r="BB70" s="74"/>
      <c r="BC70" s="74"/>
      <c r="BD70" s="74"/>
      <c r="BE70" s="74"/>
      <c r="BF70" s="74"/>
      <c r="BG70" s="74"/>
      <c r="BH70" s="74"/>
      <c r="BI70" s="74"/>
      <c r="BJ70" s="74"/>
      <c r="BK70" s="74"/>
      <c r="BL70" s="74"/>
      <c r="BM70" s="74"/>
      <c r="BN70" s="74"/>
      <c r="BO70" s="74"/>
    </row>
    <row r="71" spans="1:67" ht="26.1" customHeight="1" x14ac:dyDescent="0.25">
      <c r="A71" s="350" t="s">
        <v>1202</v>
      </c>
      <c r="B71" s="351" t="s">
        <v>842</v>
      </c>
      <c r="C71" s="352" t="e">
        <f>D148*D150*D146*0.024*D157</f>
        <v>#DIV/0!</v>
      </c>
      <c r="D71" s="759" t="e">
        <f>C71</f>
        <v>#DIV/0!</v>
      </c>
      <c r="E71" s="760" t="e">
        <f>C71</f>
        <v>#DIV/0!</v>
      </c>
      <c r="F71" s="419"/>
      <c r="G71" s="344" t="s">
        <v>1202</v>
      </c>
      <c r="H71" s="346" t="s">
        <v>842</v>
      </c>
      <c r="I71" s="353" t="e">
        <f>$D$148*D150*'Ввод исходных данных'!I252*0.024*$D$157</f>
        <v>#DIV/0!</v>
      </c>
      <c r="J71" s="761">
        <f>IF('Ввод исходных данных'!D186&lt;&gt;0,I71,0)</f>
        <v>0</v>
      </c>
      <c r="K71" s="708">
        <f>J71</f>
        <v>0</v>
      </c>
      <c r="L71" s="353" t="e">
        <f>$D$148*D150*'Ввод исходных данных'!I253*0.024*$D$157</f>
        <v>#DIV/0!</v>
      </c>
      <c r="M71" s="761">
        <f>IF('Ввод исходных данных'!D187&lt;&gt;0,L71,0)</f>
        <v>0</v>
      </c>
      <c r="N71" s="708">
        <f>M71</f>
        <v>0</v>
      </c>
      <c r="O71" s="353" t="e">
        <f>$D$148*D150*'Ввод исходных данных'!I254*0.024*$D$157</f>
        <v>#DIV/0!</v>
      </c>
      <c r="P71" s="761">
        <f>IF('Ввод исходных данных'!D188&lt;&gt;0,O71,0)</f>
        <v>0</v>
      </c>
      <c r="Q71" s="708">
        <f>P71</f>
        <v>0</v>
      </c>
      <c r="R71" s="353" t="e">
        <f>$D$148*D150*'Ввод исходных данных'!I255*0.024*$D$157</f>
        <v>#DIV/0!</v>
      </c>
      <c r="S71" s="761">
        <f>IF('Ввод исходных данных'!D189&lt;&gt;0,R71,0)</f>
        <v>0</v>
      </c>
      <c r="T71" s="708">
        <f>S71</f>
        <v>0</v>
      </c>
      <c r="U71" s="353" t="e">
        <f>IF(U38=0,0,$D$148*D150*'Ввод исходных данных'!I256*0.024*$D$157)</f>
        <v>#N/A</v>
      </c>
      <c r="V71" s="761">
        <f>IF('Ввод исходных данных'!D186&lt;&gt;0,U71,0)</f>
        <v>0</v>
      </c>
      <c r="W71" s="708">
        <f>V71</f>
        <v>0</v>
      </c>
      <c r="X71" s="353" t="e">
        <f>IF(X38=0,0,$D$148*D150*'Ввод исходных данных'!I257*0.024*$D$157)</f>
        <v>#N/A</v>
      </c>
      <c r="Y71" s="761">
        <f>IF('Ввод исходных данных'!D190&lt;&gt;0,X71,0)</f>
        <v>0</v>
      </c>
      <c r="Z71" s="708">
        <f>Y71</f>
        <v>0</v>
      </c>
      <c r="AA71" s="353" t="e">
        <f>IF(AA38=0,0,$D$148*D150*'Ввод исходных данных'!I258*0.024*$D$157)</f>
        <v>#N/A</v>
      </c>
      <c r="AB71" s="761">
        <f>IF('Ввод исходных данных'!D191&lt;&gt;0,AA71,0)</f>
        <v>0</v>
      </c>
      <c r="AC71" s="708">
        <f>AB71</f>
        <v>0</v>
      </c>
      <c r="AD71" s="353" t="e">
        <f>IF(AD38=0,0,$D$148*D150*'Ввод исходных данных'!I259*0.024*$D$157)</f>
        <v>#N/A</v>
      </c>
      <c r="AE71" s="761">
        <f>IF('Ввод исходных данных'!D192&lt;&gt;0,AD71,0)</f>
        <v>0</v>
      </c>
      <c r="AF71" s="708">
        <f>AE71</f>
        <v>0</v>
      </c>
      <c r="AG71" s="353" t="e">
        <f>IF(AG38=0,0,$D$148*D150*'Ввод исходных данных'!I260*0.024*$D$157)</f>
        <v>#N/A</v>
      </c>
      <c r="AH71" s="761">
        <f>IF('Ввод исходных данных'!D193&lt;&gt;0,AG71,0)</f>
        <v>0</v>
      </c>
      <c r="AI71" s="708">
        <f>AH71</f>
        <v>0</v>
      </c>
      <c r="AJ71" s="353" t="e">
        <f>$D$148*D150*'Ввод исходных данных'!I261*0.024*$D$157</f>
        <v>#DIV/0!</v>
      </c>
      <c r="AK71" s="761">
        <f>IF('Ввод исходных данных'!D194&lt;&gt;0,AJ71,0)</f>
        <v>0</v>
      </c>
      <c r="AL71" s="708">
        <f>AK71</f>
        <v>0</v>
      </c>
      <c r="AM71" s="353" t="e">
        <f>$D$148*D150*'Ввод исходных данных'!I262*0.024*$D$157</f>
        <v>#DIV/0!</v>
      </c>
      <c r="AN71" s="761">
        <f>IF('Ввод исходных данных'!D195&lt;&gt;0,AM71,0)</f>
        <v>0</v>
      </c>
      <c r="AO71" s="708">
        <f>AN71</f>
        <v>0</v>
      </c>
      <c r="AP71" s="353" t="e">
        <f>$D$148*D150*'Ввод исходных данных'!I263*0.024*$D$157</f>
        <v>#DIV/0!</v>
      </c>
      <c r="AQ71" s="762">
        <f>IF('Ввод исходных данных'!D196&lt;&gt;0,AP71,0)</f>
        <v>0</v>
      </c>
      <c r="AR71" s="708">
        <f>AQ71</f>
        <v>0</v>
      </c>
      <c r="AS71" s="74"/>
      <c r="AT71" s="74"/>
      <c r="AU71" s="74"/>
      <c r="AV71" s="74"/>
      <c r="AW71" s="74"/>
      <c r="AX71" s="74"/>
      <c r="AY71" s="74"/>
      <c r="AZ71" s="74"/>
      <c r="BA71" s="74"/>
      <c r="BB71" s="74"/>
      <c r="BC71" s="74"/>
      <c r="BD71" s="74"/>
      <c r="BE71" s="74"/>
      <c r="BF71" s="74"/>
      <c r="BG71" s="74"/>
      <c r="BH71" s="74"/>
      <c r="BI71" s="74"/>
      <c r="BJ71" s="74"/>
      <c r="BK71" s="74"/>
      <c r="BL71" s="74"/>
      <c r="BM71" s="74"/>
      <c r="BN71" s="74"/>
      <c r="BO71" s="74"/>
    </row>
    <row r="72" spans="1:67" ht="17.100000000000001" customHeight="1" thickBot="1" x14ac:dyDescent="0.3">
      <c r="A72" s="358" t="s">
        <v>874</v>
      </c>
      <c r="B72" s="359" t="s">
        <v>1184</v>
      </c>
      <c r="C72" s="361" t="e">
        <f>0.86*C71/1000</f>
        <v>#DIV/0!</v>
      </c>
      <c r="D72" s="361" t="e">
        <f>0.86*D71/1000</f>
        <v>#DIV/0!</v>
      </c>
      <c r="E72" s="361" t="e">
        <f>0.86*E71/1000</f>
        <v>#DIV/0!</v>
      </c>
      <c r="F72" s="74"/>
      <c r="G72" s="362" t="s">
        <v>874</v>
      </c>
      <c r="H72" s="363" t="s">
        <v>1184</v>
      </c>
      <c r="I72" s="365" t="e">
        <f>0.86*I71/1000</f>
        <v>#DIV/0!</v>
      </c>
      <c r="J72" s="364">
        <f t="shared" ref="J72:K72" si="178">0.86*J71/1000</f>
        <v>0</v>
      </c>
      <c r="K72" s="763">
        <f t="shared" si="178"/>
        <v>0</v>
      </c>
      <c r="L72" s="365" t="e">
        <f>0.86*L71/1000</f>
        <v>#DIV/0!</v>
      </c>
      <c r="M72" s="364">
        <f t="shared" ref="M72" si="179">0.86*M71/1000</f>
        <v>0</v>
      </c>
      <c r="N72" s="763">
        <f t="shared" ref="N72" si="180">0.86*N71/1000</f>
        <v>0</v>
      </c>
      <c r="O72" s="366" t="e">
        <f>0.86*O71/1000</f>
        <v>#DIV/0!</v>
      </c>
      <c r="P72" s="364">
        <f t="shared" ref="P72" si="181">0.86*P71/1000</f>
        <v>0</v>
      </c>
      <c r="Q72" s="763">
        <f t="shared" ref="Q72" si="182">0.86*Q71/1000</f>
        <v>0</v>
      </c>
      <c r="R72" s="367" t="e">
        <f>0.86*R71/1000</f>
        <v>#DIV/0!</v>
      </c>
      <c r="S72" s="764">
        <f t="shared" ref="S72" si="183">0.86*S71/1000</f>
        <v>0</v>
      </c>
      <c r="T72" s="765">
        <f t="shared" ref="T72" si="184">0.86*T71/1000</f>
        <v>0</v>
      </c>
      <c r="U72" s="368" t="e">
        <f>0.86*U71/1000</f>
        <v>#N/A</v>
      </c>
      <c r="V72" s="680">
        <f t="shared" ref="V72:W72" si="185">0.86*V71/1000</f>
        <v>0</v>
      </c>
      <c r="W72" s="686">
        <f t="shared" si="185"/>
        <v>0</v>
      </c>
      <c r="X72" s="369" t="e">
        <f>0.86*X71/1000</f>
        <v>#N/A</v>
      </c>
      <c r="Y72" s="680">
        <f t="shared" ref="Y72:Z72" si="186">0.86*Y71/1000</f>
        <v>0</v>
      </c>
      <c r="Z72" s="686">
        <f t="shared" si="186"/>
        <v>0</v>
      </c>
      <c r="AA72" s="367" t="e">
        <f>0.86*AA71/1000</f>
        <v>#N/A</v>
      </c>
      <c r="AB72" s="680">
        <f t="shared" ref="AB72:AC72" si="187">0.86*AB71/1000</f>
        <v>0</v>
      </c>
      <c r="AC72" s="686">
        <f t="shared" si="187"/>
        <v>0</v>
      </c>
      <c r="AD72" s="369" t="e">
        <f>0.86*AD71/1000</f>
        <v>#N/A</v>
      </c>
      <c r="AE72" s="766">
        <f t="shared" ref="AE72:AF72" si="188">0.86*AE71/1000</f>
        <v>0</v>
      </c>
      <c r="AF72" s="767">
        <f t="shared" si="188"/>
        <v>0</v>
      </c>
      <c r="AG72" s="369" t="e">
        <f>0.86*AG71/1000</f>
        <v>#N/A</v>
      </c>
      <c r="AH72" s="766">
        <f t="shared" ref="AH72:AI72" si="189">0.86*AH71/1000</f>
        <v>0</v>
      </c>
      <c r="AI72" s="767">
        <f t="shared" si="189"/>
        <v>0</v>
      </c>
      <c r="AJ72" s="366" t="e">
        <f>0.86*AJ71/1000</f>
        <v>#DIV/0!</v>
      </c>
      <c r="AK72" s="364">
        <f t="shared" ref="AK72:AL72" si="190">0.86*AK71/1000</f>
        <v>0</v>
      </c>
      <c r="AL72" s="763">
        <f t="shared" si="190"/>
        <v>0</v>
      </c>
      <c r="AM72" s="366" t="e">
        <f>0.86*AM71/1000</f>
        <v>#DIV/0!</v>
      </c>
      <c r="AN72" s="364">
        <f t="shared" ref="AN72:AO72" si="191">0.86*AN71/1000</f>
        <v>0</v>
      </c>
      <c r="AO72" s="763">
        <f t="shared" si="191"/>
        <v>0</v>
      </c>
      <c r="AP72" s="371" t="e">
        <f>0.86*AP71/1000</f>
        <v>#DIV/0!</v>
      </c>
      <c r="AQ72" s="440">
        <f t="shared" ref="AQ72:AR72" si="192">0.86*AQ71/1000</f>
        <v>0</v>
      </c>
      <c r="AR72" s="768">
        <f t="shared" si="192"/>
        <v>0</v>
      </c>
      <c r="AS72" s="74"/>
      <c r="AT72" s="74"/>
      <c r="AU72" s="74"/>
      <c r="AV72" s="74"/>
      <c r="AW72" s="74"/>
      <c r="AX72" s="74"/>
      <c r="AY72" s="74"/>
      <c r="AZ72" s="74"/>
      <c r="BA72" s="74"/>
      <c r="BB72" s="74"/>
      <c r="BC72" s="74"/>
      <c r="BD72" s="74"/>
      <c r="BE72" s="74"/>
      <c r="BF72" s="74"/>
      <c r="BG72" s="74"/>
      <c r="BH72" s="74"/>
      <c r="BI72" s="74"/>
      <c r="BJ72" s="74"/>
      <c r="BK72" s="74"/>
      <c r="BL72" s="74"/>
      <c r="BM72" s="74"/>
      <c r="BN72" s="74"/>
      <c r="BO72" s="74"/>
    </row>
    <row r="73" spans="1:67" ht="45" customHeight="1" x14ac:dyDescent="0.25">
      <c r="A73" s="329" t="s">
        <v>1207</v>
      </c>
      <c r="B73" s="322" t="s">
        <v>842</v>
      </c>
      <c r="C73" s="769"/>
      <c r="D73" s="770" t="e">
        <f>D35-$C$35</f>
        <v>#N/A</v>
      </c>
      <c r="E73" s="771" t="e">
        <f>E35-$C$35</f>
        <v>#VALUE!</v>
      </c>
      <c r="F73" s="74"/>
      <c r="G73" s="344" t="s">
        <v>1207</v>
      </c>
      <c r="H73" s="326" t="s">
        <v>842</v>
      </c>
      <c r="I73" s="373"/>
      <c r="J73" s="610" t="e">
        <f>J35-I35</f>
        <v>#N/A</v>
      </c>
      <c r="K73" s="608" t="e">
        <f>K35-I35</f>
        <v>#N/A</v>
      </c>
      <c r="L73" s="373"/>
      <c r="M73" s="610" t="e">
        <f>M35-L35</f>
        <v>#N/A</v>
      </c>
      <c r="N73" s="608" t="e">
        <f>N35-L35</f>
        <v>#N/A</v>
      </c>
      <c r="O73" s="373"/>
      <c r="P73" s="772" t="e">
        <f>P35-O35</f>
        <v>#N/A</v>
      </c>
      <c r="Q73" s="612" t="e">
        <f>Q35-O35</f>
        <v>#N/A</v>
      </c>
      <c r="R73" s="373"/>
      <c r="S73" s="772" t="e">
        <f>S35-R35</f>
        <v>#N/A</v>
      </c>
      <c r="T73" s="612" t="e">
        <f>T35-R35</f>
        <v>#N/A</v>
      </c>
      <c r="U73" s="374"/>
      <c r="V73" s="773" t="e">
        <f>V35-U35</f>
        <v>#N/A</v>
      </c>
      <c r="W73" s="774" t="e">
        <f>W35-U35</f>
        <v>#N/A</v>
      </c>
      <c r="X73" s="373"/>
      <c r="Y73" s="772" t="e">
        <f>Y35-X35</f>
        <v>#N/A</v>
      </c>
      <c r="Z73" s="612" t="e">
        <f>Z35-X35</f>
        <v>#N/A</v>
      </c>
      <c r="AA73" s="373"/>
      <c r="AB73" s="772" t="e">
        <f>AB35-AA35</f>
        <v>#N/A</v>
      </c>
      <c r="AC73" s="612" t="e">
        <f>AC35-AA35</f>
        <v>#N/A</v>
      </c>
      <c r="AD73" s="396"/>
      <c r="AE73" s="775" t="e">
        <f>AE35-AD35</f>
        <v>#N/A</v>
      </c>
      <c r="AF73" s="776" t="e">
        <f>AF35-AD35</f>
        <v>#N/A</v>
      </c>
      <c r="AG73" s="395"/>
      <c r="AH73" s="775" t="e">
        <f>AH35-AG35</f>
        <v>#N/A</v>
      </c>
      <c r="AI73" s="776" t="e">
        <f>AI35-AG35</f>
        <v>#N/A</v>
      </c>
      <c r="AJ73" s="373"/>
      <c r="AK73" s="772" t="e">
        <f>AK35-AJ35</f>
        <v>#N/A</v>
      </c>
      <c r="AL73" s="612" t="e">
        <f>AL35-AJ35</f>
        <v>#N/A</v>
      </c>
      <c r="AM73" s="373"/>
      <c r="AN73" s="772" t="e">
        <f>AN35-AM35</f>
        <v>#N/A</v>
      </c>
      <c r="AO73" s="612" t="e">
        <f>AO35-AM35</f>
        <v>#N/A</v>
      </c>
      <c r="AP73" s="373"/>
      <c r="AQ73" s="610" t="e">
        <f>AQ35-AP35</f>
        <v>#N/A</v>
      </c>
      <c r="AR73" s="612" t="e">
        <f>AR35-AP35</f>
        <v>#N/A</v>
      </c>
      <c r="AS73" s="74"/>
      <c r="AT73" s="74"/>
      <c r="AU73" s="74"/>
      <c r="AV73" s="74"/>
      <c r="AW73" s="74"/>
      <c r="AX73" s="74"/>
      <c r="AY73" s="74"/>
      <c r="AZ73" s="74"/>
      <c r="BA73" s="74"/>
      <c r="BB73" s="74"/>
      <c r="BC73" s="74"/>
      <c r="BD73" s="74"/>
      <c r="BE73" s="74"/>
      <c r="BF73" s="74"/>
      <c r="BG73" s="74"/>
      <c r="BH73" s="74"/>
      <c r="BI73" s="74"/>
      <c r="BJ73" s="74"/>
      <c r="BK73" s="74"/>
      <c r="BL73" s="74"/>
      <c r="BM73" s="74"/>
      <c r="BN73" s="74"/>
      <c r="BO73" s="74"/>
    </row>
    <row r="74" spans="1:67" x14ac:dyDescent="0.25">
      <c r="A74" s="358" t="s">
        <v>874</v>
      </c>
      <c r="B74" s="359" t="s">
        <v>1184</v>
      </c>
      <c r="C74" s="378"/>
      <c r="D74" s="377" t="e">
        <f>0.86*D73/1000</f>
        <v>#N/A</v>
      </c>
      <c r="E74" s="659" t="e">
        <f>0.86*E73/1000</f>
        <v>#VALUE!</v>
      </c>
      <c r="F74" s="74"/>
      <c r="G74" s="379" t="s">
        <v>874</v>
      </c>
      <c r="H74" s="380" t="s">
        <v>1184</v>
      </c>
      <c r="I74" s="382"/>
      <c r="J74" s="381" t="e">
        <f>J36-I36</f>
        <v>#N/A</v>
      </c>
      <c r="K74" s="777" t="e">
        <f>K36-I36</f>
        <v>#N/A</v>
      </c>
      <c r="L74" s="382"/>
      <c r="M74" s="778" t="e">
        <f>M36-L36</f>
        <v>#N/A</v>
      </c>
      <c r="N74" s="777" t="e">
        <f>N36-L36</f>
        <v>#N/A</v>
      </c>
      <c r="O74" s="382"/>
      <c r="P74" s="779" t="e">
        <f>P36-O36</f>
        <v>#N/A</v>
      </c>
      <c r="Q74" s="780" t="e">
        <f>Q36-O36</f>
        <v>#N/A</v>
      </c>
      <c r="R74" s="382"/>
      <c r="S74" s="779" t="e">
        <f>S36-R36</f>
        <v>#N/A</v>
      </c>
      <c r="T74" s="780" t="e">
        <f>T36-R36</f>
        <v>#N/A</v>
      </c>
      <c r="U74" s="383"/>
      <c r="V74" s="781" t="e">
        <f>V36-U36</f>
        <v>#N/A</v>
      </c>
      <c r="W74" s="782" t="e">
        <f>W36-U36</f>
        <v>#N/A</v>
      </c>
      <c r="X74" s="382"/>
      <c r="Y74" s="779" t="e">
        <f>Y36-X36</f>
        <v>#N/A</v>
      </c>
      <c r="Z74" s="780" t="e">
        <f>Z36-X36</f>
        <v>#N/A</v>
      </c>
      <c r="AA74" s="382"/>
      <c r="AB74" s="779" t="e">
        <f>AB36-AA36</f>
        <v>#N/A</v>
      </c>
      <c r="AC74" s="780" t="e">
        <f>AC36-AA36</f>
        <v>#N/A</v>
      </c>
      <c r="AD74" s="382"/>
      <c r="AE74" s="779" t="e">
        <f>AE36-AD36</f>
        <v>#N/A</v>
      </c>
      <c r="AF74" s="780" t="e">
        <f>AF36-AD36</f>
        <v>#N/A</v>
      </c>
      <c r="AG74" s="384"/>
      <c r="AH74" s="779" t="e">
        <f>AH36-AG36</f>
        <v>#N/A</v>
      </c>
      <c r="AI74" s="780" t="e">
        <f>AI36-AG36</f>
        <v>#N/A</v>
      </c>
      <c r="AJ74" s="382"/>
      <c r="AK74" s="779" t="e">
        <f>AK36-AJ36</f>
        <v>#N/A</v>
      </c>
      <c r="AL74" s="780" t="e">
        <f>AL36-AJ36</f>
        <v>#N/A</v>
      </c>
      <c r="AM74" s="382"/>
      <c r="AN74" s="779" t="e">
        <f>AN36-AM36</f>
        <v>#N/A</v>
      </c>
      <c r="AO74" s="780" t="e">
        <f>AO36-AM36</f>
        <v>#N/A</v>
      </c>
      <c r="AP74" s="382"/>
      <c r="AQ74" s="381" t="e">
        <f>AQ36-AP36</f>
        <v>#N/A</v>
      </c>
      <c r="AR74" s="780" t="e">
        <f>AR36-AP36</f>
        <v>#N/A</v>
      </c>
      <c r="AS74" s="74"/>
      <c r="AT74" s="74"/>
      <c r="AU74" s="74"/>
      <c r="AV74" s="74"/>
      <c r="AW74" s="74"/>
      <c r="AX74" s="74"/>
      <c r="AY74" s="74"/>
      <c r="AZ74" s="74"/>
      <c r="BA74" s="74"/>
      <c r="BB74" s="74"/>
      <c r="BC74" s="74"/>
      <c r="BD74" s="74"/>
      <c r="BE74" s="74"/>
      <c r="BF74" s="74"/>
      <c r="BG74" s="74"/>
      <c r="BH74" s="74"/>
      <c r="BI74" s="74"/>
      <c r="BJ74" s="74"/>
      <c r="BK74" s="74"/>
      <c r="BL74" s="74"/>
      <c r="BM74" s="74"/>
      <c r="BN74" s="74"/>
      <c r="BO74" s="74"/>
    </row>
    <row r="75" spans="1:67" ht="24.95" customHeight="1" thickBot="1" x14ac:dyDescent="0.3">
      <c r="A75" s="385" t="s">
        <v>874</v>
      </c>
      <c r="B75" s="386" t="s">
        <v>1181</v>
      </c>
      <c r="C75" s="378"/>
      <c r="D75" s="387" t="e">
        <f>(D73/$C$35)*100</f>
        <v>#N/A</v>
      </c>
      <c r="E75" s="783" t="e">
        <f>(E73/$C$35)*100</f>
        <v>#VALUE!</v>
      </c>
      <c r="F75" s="74"/>
      <c r="G75" s="362" t="s">
        <v>874</v>
      </c>
      <c r="H75" s="388" t="s">
        <v>1181</v>
      </c>
      <c r="I75" s="390"/>
      <c r="J75" s="389" t="e">
        <f>(J73/I35)*100</f>
        <v>#N/A</v>
      </c>
      <c r="K75" s="784" t="e">
        <f>(K73/I35)*100</f>
        <v>#N/A</v>
      </c>
      <c r="L75" s="390"/>
      <c r="M75" s="785" t="e">
        <f>(M73/L35)*100</f>
        <v>#N/A</v>
      </c>
      <c r="N75" s="784" t="e">
        <f>(N73/L35)*100</f>
        <v>#N/A</v>
      </c>
      <c r="O75" s="391"/>
      <c r="P75" s="786">
        <f>IFERROR((P73/O35)*100,0)</f>
        <v>0</v>
      </c>
      <c r="Q75" s="787">
        <f>IFERROR((Q73/O35)*100,0)</f>
        <v>0</v>
      </c>
      <c r="R75" s="390"/>
      <c r="S75" s="786">
        <f>IFERROR((S73/R35)*100,0)</f>
        <v>0</v>
      </c>
      <c r="T75" s="787">
        <f>IFERROR((T73/R35)*100,0)</f>
        <v>0</v>
      </c>
      <c r="U75" s="392"/>
      <c r="V75" s="786">
        <f>IFERROR((V73/U35)*100,0)</f>
        <v>0</v>
      </c>
      <c r="W75" s="787">
        <f>IFERROR((W73/U35)*100,0)</f>
        <v>0</v>
      </c>
      <c r="X75" s="390"/>
      <c r="Y75" s="786">
        <f>IFERROR((Y73/X35)*100,0)</f>
        <v>0</v>
      </c>
      <c r="Z75" s="787">
        <f>IFERROR((Z73/X35)*100,0)</f>
        <v>0</v>
      </c>
      <c r="AA75" s="390"/>
      <c r="AB75" s="786">
        <f>IFERROR((AB73/AA35)*100,0)</f>
        <v>0</v>
      </c>
      <c r="AC75" s="787">
        <f>IFERROR((AC73/AA35)*100,0)</f>
        <v>0</v>
      </c>
      <c r="AD75" s="382"/>
      <c r="AE75" s="786">
        <f>IFERROR((AE73/AD35)*100,0)</f>
        <v>0</v>
      </c>
      <c r="AF75" s="787">
        <f>IFERROR((AF73/AD35)*100,0)</f>
        <v>0</v>
      </c>
      <c r="AG75" s="384"/>
      <c r="AH75" s="786">
        <f>IFERROR((AH73/AG35)*100,0)</f>
        <v>0</v>
      </c>
      <c r="AI75" s="787">
        <f>IFERROR((AI73/AG35)*100,0)</f>
        <v>0</v>
      </c>
      <c r="AJ75" s="390"/>
      <c r="AK75" s="786">
        <f>IFERROR((AK73/AJ35)*100,0)</f>
        <v>0</v>
      </c>
      <c r="AL75" s="787">
        <f>IFERROR((AL73/AJ35)*100,0)</f>
        <v>0</v>
      </c>
      <c r="AM75" s="390"/>
      <c r="AN75" s="786">
        <f>IFERROR((AN73/AM35)*100,0)</f>
        <v>0</v>
      </c>
      <c r="AO75" s="787">
        <f>IFERROR((AO73/AM35)*100,0)</f>
        <v>0</v>
      </c>
      <c r="AP75" s="390"/>
      <c r="AQ75" s="389" t="e">
        <f>(AQ73/AP35)*100</f>
        <v>#N/A</v>
      </c>
      <c r="AR75" s="788" t="e">
        <f>(AR73/AP35)*100</f>
        <v>#N/A</v>
      </c>
      <c r="AS75" s="74"/>
      <c r="AT75" s="74"/>
      <c r="AU75" s="74"/>
      <c r="AV75" s="74"/>
      <c r="AW75" s="74"/>
      <c r="AX75" s="74"/>
      <c r="AY75" s="74"/>
      <c r="AZ75" s="74"/>
      <c r="BA75" s="74"/>
      <c r="BB75" s="74"/>
      <c r="BC75" s="74"/>
      <c r="BD75" s="74"/>
      <c r="BE75" s="74"/>
      <c r="BF75" s="74"/>
      <c r="BG75" s="74"/>
      <c r="BH75" s="74"/>
      <c r="BI75" s="74"/>
      <c r="BJ75" s="74"/>
      <c r="BK75" s="74"/>
      <c r="BL75" s="74"/>
      <c r="BM75" s="74"/>
      <c r="BN75" s="74"/>
      <c r="BO75" s="74"/>
    </row>
    <row r="76" spans="1:67" ht="24.75" customHeight="1" x14ac:dyDescent="0.25">
      <c r="A76" s="789" t="s">
        <v>1208</v>
      </c>
      <c r="B76" s="790" t="s">
        <v>1346</v>
      </c>
      <c r="C76" s="791" t="e">
        <f>C35/('Ввод исходных данных'!$G$45++'Ввод исходных данных'!D23)</f>
        <v>#N/A</v>
      </c>
      <c r="D76" s="672" t="e">
        <f>D35/('Ввод исходных данных'!$G$45+'Ввод исходных данных'!$D$23)</f>
        <v>#DIV/0!</v>
      </c>
      <c r="E76" s="792" t="e">
        <f>E35/('Ввод исходных данных'!$G$45+'Ввод исходных данных'!$D$23)</f>
        <v>#VALUE!</v>
      </c>
      <c r="F76" s="74"/>
      <c r="G76" s="735"/>
      <c r="H76" s="736"/>
      <c r="I76" s="394"/>
      <c r="J76" s="793"/>
      <c r="K76" s="794"/>
      <c r="L76" s="395"/>
      <c r="M76" s="793"/>
      <c r="N76" s="795"/>
      <c r="O76" s="373"/>
      <c r="P76" s="796"/>
      <c r="Q76" s="797"/>
      <c r="R76" s="395"/>
      <c r="S76" s="793"/>
      <c r="T76" s="794"/>
      <c r="U76" s="373"/>
      <c r="V76" s="796"/>
      <c r="W76" s="797"/>
      <c r="X76" s="396"/>
      <c r="Y76" s="793"/>
      <c r="Z76" s="794"/>
      <c r="AA76" s="373"/>
      <c r="AB76" s="796"/>
      <c r="AC76" s="797"/>
      <c r="AD76" s="375"/>
      <c r="AE76" s="798"/>
      <c r="AF76" s="799"/>
      <c r="AG76" s="376"/>
      <c r="AH76" s="798"/>
      <c r="AI76" s="800"/>
      <c r="AJ76" s="396"/>
      <c r="AK76" s="793"/>
      <c r="AL76" s="794"/>
      <c r="AM76" s="373"/>
      <c r="AN76" s="796"/>
      <c r="AO76" s="797"/>
      <c r="AP76" s="396"/>
      <c r="AQ76" s="793"/>
      <c r="AR76" s="794"/>
      <c r="AS76" s="74"/>
      <c r="AT76" s="74"/>
      <c r="AU76" s="74"/>
      <c r="AV76" s="74"/>
      <c r="AW76" s="74"/>
      <c r="AX76" s="74"/>
      <c r="AY76" s="74"/>
      <c r="AZ76" s="74"/>
      <c r="BA76" s="74"/>
      <c r="BB76" s="74"/>
      <c r="BC76" s="74"/>
      <c r="BD76" s="74"/>
      <c r="BE76" s="74"/>
      <c r="BF76" s="74"/>
      <c r="BG76" s="74"/>
      <c r="BH76" s="74"/>
      <c r="BI76" s="74"/>
      <c r="BJ76" s="74"/>
      <c r="BK76" s="74"/>
      <c r="BL76" s="74"/>
      <c r="BM76" s="74"/>
      <c r="BN76" s="74"/>
      <c r="BO76" s="74"/>
    </row>
    <row r="77" spans="1:67" ht="15.75" thickBot="1" x14ac:dyDescent="0.3">
      <c r="A77" s="385" t="s">
        <v>874</v>
      </c>
      <c r="B77" s="397" t="s">
        <v>1209</v>
      </c>
      <c r="C77" s="399" t="e">
        <f>C76*0.86/1000</f>
        <v>#N/A</v>
      </c>
      <c r="D77" s="398" t="e">
        <f t="shared" ref="D77:E77" si="193">D76*0.86/1000</f>
        <v>#DIV/0!</v>
      </c>
      <c r="E77" s="801" t="e">
        <f t="shared" si="193"/>
        <v>#VALUE!</v>
      </c>
      <c r="F77" s="74"/>
      <c r="G77" s="362"/>
      <c r="H77" s="400"/>
      <c r="I77" s="402"/>
      <c r="J77" s="401"/>
      <c r="K77" s="667"/>
      <c r="L77" s="403"/>
      <c r="M77" s="401"/>
      <c r="N77" s="669"/>
      <c r="O77" s="404"/>
      <c r="P77" s="692"/>
      <c r="Q77" s="719"/>
      <c r="R77" s="403"/>
      <c r="S77" s="401"/>
      <c r="T77" s="667"/>
      <c r="U77" s="390"/>
      <c r="V77" s="401"/>
      <c r="W77" s="667"/>
      <c r="X77" s="390"/>
      <c r="Y77" s="401"/>
      <c r="Z77" s="667"/>
      <c r="AA77" s="390"/>
      <c r="AB77" s="401"/>
      <c r="AC77" s="667"/>
      <c r="AD77" s="390"/>
      <c r="AE77" s="401"/>
      <c r="AF77" s="667"/>
      <c r="AG77" s="384"/>
      <c r="AH77" s="98"/>
      <c r="AI77" s="802"/>
      <c r="AJ77" s="390"/>
      <c r="AK77" s="401"/>
      <c r="AL77" s="667"/>
      <c r="AM77" s="390"/>
      <c r="AN77" s="401"/>
      <c r="AO77" s="667"/>
      <c r="AP77" s="390"/>
      <c r="AQ77" s="401"/>
      <c r="AR77" s="667"/>
      <c r="AS77" s="74"/>
      <c r="AT77" s="74"/>
      <c r="AU77" s="74"/>
      <c r="AV77" s="74"/>
      <c r="AW77" s="74"/>
      <c r="AX77" s="74"/>
      <c r="AY77" s="74"/>
      <c r="AZ77" s="74"/>
      <c r="BA77" s="74"/>
      <c r="BB77" s="74"/>
      <c r="BC77" s="74"/>
      <c r="BD77" s="74"/>
      <c r="BE77" s="74"/>
      <c r="BF77" s="74"/>
      <c r="BG77" s="74"/>
      <c r="BH77" s="74"/>
      <c r="BI77" s="74"/>
      <c r="BJ77" s="74"/>
      <c r="BK77" s="74"/>
      <c r="BL77" s="74"/>
      <c r="BM77" s="74"/>
      <c r="BN77" s="74"/>
      <c r="BO77" s="74"/>
    </row>
    <row r="78" spans="1:67" x14ac:dyDescent="0.25">
      <c r="A78" s="74"/>
      <c r="B78" s="74"/>
      <c r="C78" s="74"/>
      <c r="D78" s="74"/>
      <c r="E78" s="74"/>
      <c r="F78" s="74"/>
      <c r="G78" s="74"/>
      <c r="H78" s="74"/>
      <c r="I78" s="74"/>
      <c r="J78" s="74"/>
      <c r="K78" s="74"/>
      <c r="L78" s="74"/>
      <c r="M78" s="74"/>
      <c r="N78" s="74"/>
      <c r="O78" s="74"/>
      <c r="P78" s="74"/>
      <c r="Q78" s="74"/>
      <c r="R78" s="74"/>
      <c r="S78" s="74"/>
      <c r="T78" s="74"/>
      <c r="U78" s="74"/>
      <c r="V78" s="74"/>
      <c r="W78" s="74"/>
      <c r="X78" s="74"/>
      <c r="Y78" s="74"/>
      <c r="Z78" s="74"/>
      <c r="AA78" s="74"/>
      <c r="AB78" s="74"/>
      <c r="AC78" s="74"/>
      <c r="AD78" s="74"/>
      <c r="AE78" s="74"/>
      <c r="AF78" s="74"/>
      <c r="AG78" s="74"/>
      <c r="AH78" s="74"/>
      <c r="AI78" s="74"/>
      <c r="AJ78" s="74"/>
      <c r="AK78" s="74"/>
      <c r="AL78" s="74"/>
      <c r="AM78" s="74"/>
      <c r="AN78" s="74"/>
      <c r="AO78" s="74"/>
      <c r="AP78" s="74"/>
      <c r="AQ78" s="74"/>
      <c r="AR78" s="74"/>
      <c r="AS78" s="74"/>
      <c r="AT78" s="74"/>
      <c r="AU78" s="74"/>
      <c r="AV78" s="74"/>
      <c r="AW78" s="74"/>
      <c r="AX78" s="74"/>
      <c r="AY78" s="74"/>
      <c r="AZ78" s="74"/>
      <c r="BA78" s="74"/>
      <c r="BB78" s="74"/>
      <c r="BC78" s="74"/>
      <c r="BD78" s="74"/>
      <c r="BE78" s="74"/>
      <c r="BF78" s="74"/>
      <c r="BG78" s="74"/>
      <c r="BH78" s="74"/>
      <c r="BI78" s="74"/>
      <c r="BJ78" s="74"/>
      <c r="BK78" s="74"/>
      <c r="BL78" s="74"/>
      <c r="BM78" s="74"/>
      <c r="BN78" s="74"/>
      <c r="BO78" s="74"/>
    </row>
    <row r="79" spans="1:67" ht="84.95" customHeight="1" x14ac:dyDescent="0.25">
      <c r="A79" s="405" t="s">
        <v>1196</v>
      </c>
      <c r="B79" s="406" t="s">
        <v>1198</v>
      </c>
      <c r="C79" s="406" t="s">
        <v>1289</v>
      </c>
      <c r="D79" s="406" t="s">
        <v>1200</v>
      </c>
      <c r="E79" s="74"/>
      <c r="F79" s="74"/>
      <c r="G79" s="74"/>
      <c r="H79" s="74"/>
      <c r="I79" s="74"/>
      <c r="J79" s="74"/>
      <c r="K79" s="74"/>
      <c r="L79" s="74"/>
      <c r="M79" s="74"/>
      <c r="N79" s="74"/>
      <c r="O79" s="74"/>
      <c r="P79" s="74"/>
      <c r="Q79" s="74"/>
      <c r="R79" s="74"/>
      <c r="S79" s="74"/>
      <c r="T79" s="74"/>
      <c r="U79" s="74"/>
      <c r="V79" s="74"/>
      <c r="W79" s="74"/>
      <c r="X79" s="74"/>
      <c r="Y79" s="74"/>
      <c r="Z79" s="74"/>
      <c r="AA79" s="74"/>
      <c r="AB79" s="74"/>
      <c r="AC79" s="74"/>
      <c r="AD79" s="74"/>
      <c r="AE79" s="74"/>
      <c r="AF79" s="74"/>
      <c r="AG79" s="74"/>
      <c r="AH79" s="74"/>
      <c r="AI79" s="74"/>
      <c r="AJ79" s="74"/>
      <c r="AK79" s="74"/>
      <c r="AL79" s="74"/>
      <c r="AM79" s="74"/>
      <c r="AN79" s="74"/>
      <c r="AO79" s="74"/>
      <c r="AP79" s="74"/>
      <c r="AQ79" s="74"/>
      <c r="AR79" s="74"/>
      <c r="AS79" s="74"/>
      <c r="AT79" s="74"/>
      <c r="AU79" s="74"/>
      <c r="AV79" s="74"/>
      <c r="AW79" s="74"/>
      <c r="AX79" s="74"/>
      <c r="AY79" s="74"/>
      <c r="AZ79" s="74"/>
      <c r="BA79" s="74"/>
      <c r="BB79" s="74"/>
      <c r="BC79" s="74"/>
      <c r="BD79" s="74"/>
      <c r="BE79" s="74"/>
      <c r="BF79" s="74"/>
      <c r="BG79" s="74"/>
      <c r="BH79" s="74"/>
      <c r="BI79" s="74"/>
      <c r="BJ79" s="74"/>
      <c r="BK79" s="74"/>
      <c r="BL79" s="74"/>
      <c r="BM79" s="74"/>
      <c r="BN79" s="74"/>
      <c r="BO79" s="74"/>
    </row>
    <row r="80" spans="1:67" x14ac:dyDescent="0.25">
      <c r="A80" s="407" t="e">
        <f>C38</f>
        <v>#N/A</v>
      </c>
      <c r="B80" s="408" t="e">
        <f>C62</f>
        <v>#N/A</v>
      </c>
      <c r="C80" s="408" t="e">
        <f>C65</f>
        <v>#N/A</v>
      </c>
      <c r="D80" s="409" t="e">
        <f>C68</f>
        <v>#DIV/0!</v>
      </c>
      <c r="E80" s="74"/>
      <c r="F80" s="74"/>
      <c r="G80" s="74"/>
      <c r="H80" s="74"/>
      <c r="I80" s="74"/>
      <c r="J80" s="74"/>
      <c r="K80" s="74"/>
      <c r="L80" s="74"/>
      <c r="M80" s="74"/>
      <c r="N80" s="74"/>
      <c r="O80" s="74"/>
      <c r="P80" s="74"/>
      <c r="Q80" s="74"/>
      <c r="R80" s="74"/>
      <c r="S80" s="74"/>
      <c r="T80" s="74"/>
      <c r="U80" s="74"/>
      <c r="V80" s="74"/>
      <c r="W80" s="74"/>
      <c r="X80" s="74"/>
      <c r="Y80" s="74"/>
      <c r="Z80" s="74"/>
      <c r="AA80" s="74"/>
      <c r="AB80" s="74"/>
      <c r="AC80" s="74"/>
      <c r="AD80" s="74"/>
      <c r="AE80" s="74"/>
      <c r="AF80" s="74"/>
      <c r="AG80" s="74"/>
      <c r="AH80" s="74"/>
      <c r="AI80" s="74"/>
      <c r="AJ80" s="74"/>
      <c r="AK80" s="74"/>
      <c r="AL80" s="74"/>
      <c r="AM80" s="74"/>
      <c r="AN80" s="74"/>
      <c r="AO80" s="74"/>
      <c r="AP80" s="74"/>
      <c r="AQ80" s="74"/>
      <c r="AR80" s="74"/>
      <c r="AS80" s="74"/>
      <c r="AT80" s="74"/>
      <c r="AU80" s="74"/>
      <c r="AV80" s="74"/>
      <c r="AW80" s="74"/>
      <c r="AX80" s="74"/>
      <c r="AY80" s="74"/>
      <c r="AZ80" s="74"/>
      <c r="BA80" s="74"/>
      <c r="BB80" s="74"/>
      <c r="BC80" s="74"/>
      <c r="BD80" s="74"/>
      <c r="BE80" s="74"/>
      <c r="BF80" s="74"/>
      <c r="BG80" s="74"/>
      <c r="BH80" s="74"/>
      <c r="BI80" s="74"/>
      <c r="BJ80" s="74"/>
      <c r="BK80" s="74"/>
      <c r="BL80" s="74"/>
      <c r="BM80" s="74"/>
      <c r="BN80" s="74"/>
      <c r="BO80" s="74"/>
    </row>
    <row r="81" spans="1:67" ht="283.5" customHeight="1" x14ac:dyDescent="0.25">
      <c r="A81" s="74"/>
      <c r="B81" s="74"/>
      <c r="C81" s="74"/>
      <c r="D81" s="74"/>
      <c r="E81" s="74"/>
      <c r="F81" s="74"/>
      <c r="G81" s="74"/>
      <c r="H81" s="74"/>
      <c r="I81" s="74"/>
      <c r="J81" s="74"/>
      <c r="K81" s="74"/>
      <c r="L81" s="74"/>
      <c r="M81" s="74"/>
      <c r="N81" s="74"/>
      <c r="O81" s="74"/>
      <c r="P81" s="74"/>
      <c r="Q81" s="74"/>
      <c r="R81" s="74"/>
      <c r="S81" s="74"/>
      <c r="T81" s="74"/>
      <c r="U81" s="74"/>
      <c r="V81" s="74"/>
      <c r="W81" s="74"/>
      <c r="X81" s="74"/>
      <c r="Y81" s="74"/>
      <c r="Z81" s="74"/>
      <c r="AA81" s="74"/>
      <c r="AB81" s="74"/>
      <c r="AC81" s="74"/>
      <c r="AD81" s="74"/>
      <c r="AE81" s="74"/>
      <c r="AF81" s="74"/>
      <c r="AG81" s="74"/>
      <c r="AH81" s="74"/>
      <c r="AI81" s="74"/>
      <c r="AJ81" s="74"/>
      <c r="AK81" s="74"/>
      <c r="AL81" s="74"/>
      <c r="AM81" s="74"/>
      <c r="AN81" s="74"/>
      <c r="AO81" s="74"/>
      <c r="AP81" s="74"/>
      <c r="AQ81" s="74"/>
      <c r="AR81" s="74"/>
      <c r="AS81" s="74"/>
      <c r="AT81" s="74"/>
      <c r="AU81" s="74"/>
      <c r="AV81" s="74"/>
      <c r="AW81" s="74"/>
      <c r="AX81" s="74"/>
      <c r="AY81" s="74"/>
      <c r="AZ81" s="74"/>
      <c r="BA81" s="74"/>
      <c r="BB81" s="74"/>
      <c r="BC81" s="74"/>
      <c r="BD81" s="74"/>
      <c r="BE81" s="74"/>
      <c r="BF81" s="74"/>
      <c r="BG81" s="74"/>
      <c r="BH81" s="74"/>
      <c r="BI81" s="74"/>
      <c r="BJ81" s="74"/>
      <c r="BK81" s="74"/>
      <c r="BL81" s="74"/>
      <c r="BM81" s="74"/>
      <c r="BN81" s="74"/>
      <c r="BO81" s="74"/>
    </row>
    <row r="82" spans="1:67" ht="33.6" customHeight="1" thickBot="1" x14ac:dyDescent="0.3">
      <c r="A82" s="1806" t="s">
        <v>1210</v>
      </c>
      <c r="B82" s="1806"/>
      <c r="C82" s="1806"/>
      <c r="D82" s="1806"/>
      <c r="E82" s="410"/>
      <c r="F82" s="410"/>
      <c r="G82" s="411" t="s">
        <v>1211</v>
      </c>
      <c r="H82" s="412"/>
      <c r="I82" s="412"/>
      <c r="J82" s="412"/>
      <c r="K82" s="412"/>
      <c r="L82" s="412"/>
      <c r="M82" s="412"/>
      <c r="N82" s="412"/>
      <c r="O82" s="412"/>
      <c r="P82" s="412"/>
      <c r="Q82" s="410"/>
      <c r="R82" s="410"/>
      <c r="S82" s="410"/>
      <c r="T82" s="410"/>
      <c r="U82" s="410"/>
      <c r="V82" s="410"/>
      <c r="W82" s="410"/>
      <c r="X82" s="410"/>
      <c r="Y82" s="410"/>
      <c r="Z82" s="410"/>
      <c r="AA82" s="410"/>
      <c r="AB82" s="410"/>
      <c r="AC82" s="410"/>
      <c r="AD82" s="410"/>
      <c r="AE82" s="410"/>
      <c r="AF82" s="410"/>
      <c r="AG82" s="410"/>
      <c r="AH82" s="410"/>
      <c r="AI82" s="410"/>
      <c r="AJ82" s="410"/>
      <c r="AK82" s="410"/>
      <c r="AL82" s="410"/>
      <c r="AM82" s="410"/>
      <c r="AN82" s="410"/>
      <c r="AO82" s="410"/>
      <c r="AP82" s="410"/>
      <c r="AQ82" s="410"/>
      <c r="AR82" s="74"/>
      <c r="AS82" s="74"/>
      <c r="AT82" s="74"/>
      <c r="AU82" s="74"/>
      <c r="AV82" s="74"/>
      <c r="AW82" s="74"/>
      <c r="AX82" s="74"/>
      <c r="AY82" s="74"/>
      <c r="AZ82" s="74"/>
      <c r="BA82" s="74"/>
      <c r="BB82" s="74"/>
      <c r="BC82" s="74"/>
      <c r="BD82" s="74"/>
      <c r="BE82" s="74"/>
      <c r="BF82" s="74"/>
      <c r="BG82" s="74"/>
      <c r="BH82" s="74"/>
      <c r="BI82" s="74"/>
      <c r="BJ82" s="74"/>
      <c r="BK82" s="74"/>
      <c r="BL82" s="74"/>
      <c r="BM82" s="74"/>
      <c r="BN82" s="74"/>
      <c r="BO82" s="74"/>
    </row>
    <row r="83" spans="1:67" ht="38.450000000000003" customHeight="1" x14ac:dyDescent="0.25">
      <c r="A83" s="1799" t="s">
        <v>834</v>
      </c>
      <c r="B83" s="1791" t="s">
        <v>1174</v>
      </c>
      <c r="C83" s="1768" t="s">
        <v>1175</v>
      </c>
      <c r="D83" s="1770" t="s">
        <v>1176</v>
      </c>
      <c r="E83" s="74"/>
      <c r="F83" s="74"/>
      <c r="G83" s="1787" t="s">
        <v>834</v>
      </c>
      <c r="H83" s="1789" t="s">
        <v>1174</v>
      </c>
      <c r="I83" s="1763" t="s">
        <v>488</v>
      </c>
      <c r="J83" s="1764"/>
      <c r="K83" s="1763" t="s">
        <v>489</v>
      </c>
      <c r="L83" s="1764"/>
      <c r="M83" s="1763" t="s">
        <v>490</v>
      </c>
      <c r="N83" s="1764"/>
      <c r="O83" s="1763" t="s">
        <v>491</v>
      </c>
      <c r="P83" s="1764"/>
      <c r="Q83" s="1763" t="s">
        <v>805</v>
      </c>
      <c r="R83" s="1764"/>
      <c r="S83" s="1763" t="s">
        <v>806</v>
      </c>
      <c r="T83" s="1764"/>
      <c r="U83" s="1763" t="s">
        <v>807</v>
      </c>
      <c r="V83" s="1764"/>
      <c r="W83" s="1763" t="s">
        <v>808</v>
      </c>
      <c r="X83" s="1764"/>
      <c r="Y83" s="1763" t="s">
        <v>809</v>
      </c>
      <c r="Z83" s="1764"/>
      <c r="AA83" s="1763" t="s">
        <v>482</v>
      </c>
      <c r="AB83" s="1764"/>
      <c r="AC83" s="1763" t="s">
        <v>486</v>
      </c>
      <c r="AD83" s="1764"/>
      <c r="AE83" s="1763" t="s">
        <v>487</v>
      </c>
      <c r="AF83" s="1764"/>
      <c r="AG83" s="74"/>
      <c r="AH83" s="74"/>
      <c r="AI83" s="74"/>
      <c r="AJ83" s="74"/>
      <c r="AK83" s="74"/>
      <c r="AL83" s="74"/>
      <c r="AM83" s="74"/>
      <c r="AN83" s="74"/>
      <c r="AO83" s="74"/>
      <c r="AP83" s="74"/>
      <c r="AQ83" s="74"/>
      <c r="AR83" s="74"/>
      <c r="AS83" s="74"/>
      <c r="AT83" s="74"/>
      <c r="AU83" s="74"/>
      <c r="AV83" s="74"/>
      <c r="AW83" s="74"/>
      <c r="AX83" s="74"/>
      <c r="AY83" s="74"/>
      <c r="AZ83" s="74"/>
      <c r="BA83" s="74"/>
      <c r="BB83" s="74"/>
      <c r="BC83" s="74"/>
      <c r="BD83" s="74"/>
      <c r="BE83" s="74"/>
      <c r="BF83" s="74"/>
      <c r="BG83" s="74"/>
      <c r="BH83" s="74"/>
      <c r="BI83" s="74"/>
      <c r="BJ83" s="74"/>
      <c r="BK83" s="74"/>
      <c r="BL83" s="74"/>
      <c r="BM83" s="74"/>
      <c r="BN83" s="74"/>
      <c r="BO83" s="74"/>
    </row>
    <row r="84" spans="1:67" ht="35.450000000000003" customHeight="1" thickBot="1" x14ac:dyDescent="0.3">
      <c r="A84" s="1800"/>
      <c r="B84" s="1792"/>
      <c r="C84" s="1769"/>
      <c r="D84" s="1771"/>
      <c r="E84" s="74"/>
      <c r="F84" s="74"/>
      <c r="G84" s="1788"/>
      <c r="H84" s="1790"/>
      <c r="I84" s="518" t="s">
        <v>1175</v>
      </c>
      <c r="J84" s="803" t="s">
        <v>1176</v>
      </c>
      <c r="K84" s="518" t="s">
        <v>1175</v>
      </c>
      <c r="L84" s="803" t="s">
        <v>1176</v>
      </c>
      <c r="M84" s="518" t="s">
        <v>1175</v>
      </c>
      <c r="N84" s="803" t="s">
        <v>1176</v>
      </c>
      <c r="O84" s="518" t="s">
        <v>1175</v>
      </c>
      <c r="P84" s="803" t="s">
        <v>1176</v>
      </c>
      <c r="Q84" s="518" t="s">
        <v>1175</v>
      </c>
      <c r="R84" s="803" t="s">
        <v>1176</v>
      </c>
      <c r="S84" s="518" t="s">
        <v>1175</v>
      </c>
      <c r="T84" s="803" t="s">
        <v>1176</v>
      </c>
      <c r="U84" s="518" t="s">
        <v>1175</v>
      </c>
      <c r="V84" s="803" t="s">
        <v>1176</v>
      </c>
      <c r="W84" s="518" t="s">
        <v>1175</v>
      </c>
      <c r="X84" s="803" t="s">
        <v>1176</v>
      </c>
      <c r="Y84" s="518" t="s">
        <v>1175</v>
      </c>
      <c r="Z84" s="803" t="s">
        <v>1176</v>
      </c>
      <c r="AA84" s="518" t="s">
        <v>1175</v>
      </c>
      <c r="AB84" s="803" t="s">
        <v>1176</v>
      </c>
      <c r="AC84" s="518" t="s">
        <v>1175</v>
      </c>
      <c r="AD84" s="803" t="s">
        <v>1176</v>
      </c>
      <c r="AE84" s="518" t="s">
        <v>1175</v>
      </c>
      <c r="AF84" s="803" t="s">
        <v>1176</v>
      </c>
      <c r="AG84" s="74"/>
      <c r="AH84" s="74"/>
      <c r="AI84" s="74"/>
      <c r="AJ84" s="74"/>
      <c r="AK84" s="74"/>
      <c r="AL84" s="74"/>
      <c r="AM84" s="74"/>
      <c r="AN84" s="74"/>
      <c r="AO84" s="74"/>
      <c r="AP84" s="74"/>
      <c r="AQ84" s="74"/>
      <c r="AR84" s="74"/>
      <c r="AS84" s="74"/>
      <c r="AT84" s="74"/>
      <c r="AU84" s="74"/>
      <c r="AV84" s="74"/>
      <c r="AW84" s="74"/>
      <c r="AX84" s="74"/>
      <c r="AY84" s="74"/>
      <c r="AZ84" s="74"/>
      <c r="BA84" s="74"/>
      <c r="BB84" s="74"/>
      <c r="BC84" s="74"/>
      <c r="BD84" s="74"/>
      <c r="BE84" s="74"/>
      <c r="BF84" s="74"/>
      <c r="BG84" s="74"/>
      <c r="BH84" s="74"/>
      <c r="BI84" s="74"/>
      <c r="BJ84" s="74"/>
      <c r="BK84" s="74"/>
      <c r="BL84" s="74"/>
      <c r="BM84" s="74"/>
      <c r="BN84" s="74"/>
      <c r="BO84" s="74"/>
    </row>
    <row r="85" spans="1:67" ht="29.25" customHeight="1" x14ac:dyDescent="0.25">
      <c r="A85" s="804" t="s">
        <v>1212</v>
      </c>
      <c r="B85" s="805" t="s">
        <v>842</v>
      </c>
      <c r="C85" s="806" t="e">
        <f>IF('Система ГВС'!F3=2,0,(0.024*(D167*(D174-D175)*1*D177)/(3.6*24*D179))*(D170*D176+D146+(D169*(D170-D146)*(D174-'Ввод исходных данных'!$D$109)/(D174-D175)))*(1-0.4*'Ввод исходных данных'!$D$21/'Ввод исходных данных'!$D$20)*'Ввод исходных данных'!$G$45)+'Ввод исходных данных'!E218*'Ввод исходных данных'!D113/0.86</f>
        <v>#N/A</v>
      </c>
      <c r="D85" s="807">
        <f>IF('Система ГВС'!F3=2,0,D86*1163)</f>
        <v>0</v>
      </c>
      <c r="E85" s="74"/>
      <c r="F85" s="317"/>
      <c r="G85" s="808" t="s">
        <v>1213</v>
      </c>
      <c r="H85" s="809" t="s">
        <v>842</v>
      </c>
      <c r="I85" s="810" t="e">
        <f>(0.024* (G167*($D$174-IF(G146&gt;=0.8*G165,$D$175,'Ввод исходных данных'!$D$109))*1*$D$177)/(3.6*24*$D$179))*(G170*$D$176+G146+(G170-G146))*(1-0.4*'Ввод исходных данных'!$D$21/'Ввод исходных данных'!$D$20)*'Ввод исходных данных'!$G$45*'Система ГВС'!$H$4</f>
        <v>#N/A</v>
      </c>
      <c r="J85" s="811" t="e">
        <f>J86*1163*'Система ГВС'!$H$4</f>
        <v>#N/A</v>
      </c>
      <c r="K85" s="810" t="e">
        <f>(0.024* (H167*($D$174-IF(H146&gt;=0.8*H165,$D$175,'Ввод исходных данных'!$D$109))*1*$D$177)/(3.6*24*$D$179))*(H170*$D$176+H146+(H170-H146))*(1-0.4*'Ввод исходных данных'!$D$21/'Ввод исходных данных'!$D$20)*'Ввод исходных данных'!$G$45*'Система ГВС'!$H$4</f>
        <v>#N/A</v>
      </c>
      <c r="L85" s="811" t="e">
        <f>L86*1163*'Система ГВС'!$H$4</f>
        <v>#N/A</v>
      </c>
      <c r="M85" s="810" t="e">
        <f>(0.024* (I167*($D$174-IF(I146&gt;=0.8*I165,$D$175,'Ввод исходных данных'!$D$109))*1*$D$177)/(3.6*24*$D$179))*(I170*$D$176+I146+(I170-I146))*(1-0.4*'Ввод исходных данных'!$D$21/'Ввод исходных данных'!$D$20)*'Ввод исходных данных'!$G$45*'Система ГВС'!$H$4</f>
        <v>#N/A</v>
      </c>
      <c r="N85" s="812" t="e">
        <f>N86*1163*'Система ГВС'!$H$4</f>
        <v>#N/A</v>
      </c>
      <c r="O85" s="810" t="e">
        <f>(0.024* (J167*($D$174-IF(J146&gt;=0.8*J165,$D$175,'Ввод исходных данных'!$D$109))*1*$D$177)/(3.6*24*$D$179))*(J170*$D$176+J146+(J170-J146))*(1-0.4*'Ввод исходных данных'!$D$21/'Ввод исходных данных'!$D$20)*'Ввод исходных данных'!$G$45*'Система ГВС'!$H$4</f>
        <v>#N/A</v>
      </c>
      <c r="P85" s="811" t="e">
        <f>P86*1163*'Система ГВС'!$H$4</f>
        <v>#N/A</v>
      </c>
      <c r="Q85" s="810" t="e">
        <f>(0.024* (K167*($D$174-IF(K146&gt;=0.8*K165,$D$175,'Ввод исходных данных'!$D$109))*1*$D$177)/(3.6*24*$D$179))*(K170*$D$176+K146+(K170-K146))*(1-0.4*'Ввод исходных данных'!$D$21/'Ввод исходных данных'!$D$20)*'Ввод исходных данных'!$G$45*'Система ГВС'!$H$4</f>
        <v>#N/A</v>
      </c>
      <c r="R85" s="813" t="e">
        <f>R86*1163*'Система ГВС'!$H$4</f>
        <v>#N/A</v>
      </c>
      <c r="S85" s="810" t="e">
        <f>(0.024* (L167*($D$174-IF(L146&gt;=0.8*L165,$D$175,'Ввод исходных данных'!$D$109))*1*$D$177)/(3.6*24*$D$179))*(L170*$D$176+L146+(L170-L146))*(1-0.4*'Ввод исходных данных'!$D$21/'Ввод исходных данных'!$D$20)*'Ввод исходных данных'!$G$45*'Система ГВС'!$H$4</f>
        <v>#N/A</v>
      </c>
      <c r="T85" s="813" t="e">
        <f>T86*1163*'Система ГВС'!$H$4</f>
        <v>#N/A</v>
      </c>
      <c r="U85" s="810" t="e">
        <f>(0.024* (M167*($D$174-IF(M146&gt;=0.8*M165,$D$175,'Ввод исходных данных'!$D$109))*1*$D$177)/(3.6*24*$D$179))*(M170*$D$176+M146+(M170-M146))*(1-0.4*'Ввод исходных данных'!$D$21/'Ввод исходных данных'!$D$20)*'Ввод исходных данных'!$G$45*'Система ГВС'!$H$4</f>
        <v>#N/A</v>
      </c>
      <c r="V85" s="812" t="e">
        <f>V86*1163*'Система ГВС'!$H$4</f>
        <v>#N/A</v>
      </c>
      <c r="W85" s="810" t="e">
        <f>(0.024* (N167*($D$174-IF(N146&gt;=0.8*N165,$D$175,'Ввод исходных данных'!$D$109))*1*$D$177)/(3.6*24*$D$179))*(N170*$D$176+N146+(N170-N146))*(1-0.4*'Ввод исходных данных'!$D$21/'Ввод исходных данных'!$D$20)*'Ввод исходных данных'!$G$45*'Система ГВС'!$H$4</f>
        <v>#N/A</v>
      </c>
      <c r="X85" s="811" t="e">
        <f>X86*1163*'Система ГВС'!$H$4</f>
        <v>#N/A</v>
      </c>
      <c r="Y85" s="810" t="e">
        <f>(0.024* (O167*($D$174-IF(G146&gt;=0.8*O165,$D$175,'Ввод исходных данных'!$D$109))*1*$D$177)/(3.6*24*$D$179))*(O170*$D$176+O146+(O170-O146))*(1-0.4*'Ввод исходных данных'!$D$21/'Ввод исходных данных'!$D$20)*'Ввод исходных данных'!$G$45*'Система ГВС'!$H$4</f>
        <v>#N/A</v>
      </c>
      <c r="Z85" s="811" t="e">
        <f>Z86*1163*'Система ГВС'!$H$4</f>
        <v>#N/A</v>
      </c>
      <c r="AA85" s="810" t="e">
        <f>(0.024* (P167*($D$174-IF(P146&gt;=0.8*P165,$D$175,'Ввод исходных данных'!$D$109))*1*$D$177)/(3.6*24*$D$179))*(P170*$D$176+P146+(P170-P146))*(1-0.4*'Ввод исходных данных'!$D$21/'Ввод исходных данных'!$D$20)*'Ввод исходных данных'!$G$45*'Система ГВС'!$H$4</f>
        <v>#N/A</v>
      </c>
      <c r="AB85" s="811" t="e">
        <f>AB86*1163*'Система ГВС'!$H$4</f>
        <v>#N/A</v>
      </c>
      <c r="AC85" s="810" t="e">
        <f>(0.024* (Q167*($D$174-IF(Q146&gt;=0.8*Q165,$D$175,'Ввод исходных данных'!$D$109))*1*$D$177)/(3.6*24*$D$179))*(Q170*$D$176+Q146+(Q170-Q146))*(1-0.4*'Ввод исходных данных'!$D$21/'Ввод исходных данных'!$D$20)*'Ввод исходных данных'!$G$45*'Система ГВС'!$H$4</f>
        <v>#N/A</v>
      </c>
      <c r="AD85" s="811" t="e">
        <f>AD86*1163*'Система ГВС'!$H$4</f>
        <v>#N/A</v>
      </c>
      <c r="AE85" s="810" t="e">
        <f>(0.024* (R167*($D$174-IF(R146&gt;=0.8*R165,$D$175,'Ввод исходных данных'!$D$109))*1*$D$177)/(3.6*24*$D$179))*(R170*$D$176+R146+(R170-R146))*(1-0.4*'Ввод исходных данных'!$D$21/'Ввод исходных данных'!$D$20)*'Ввод исходных данных'!$G$45*'Система ГВС'!$H$4</f>
        <v>#N/A</v>
      </c>
      <c r="AF85" s="811" t="e">
        <f>AF86*1163*'Система ГВС'!$H$4</f>
        <v>#N/A</v>
      </c>
      <c r="AG85" s="74"/>
      <c r="AH85" s="74"/>
      <c r="AI85" s="74"/>
      <c r="AJ85" s="74"/>
      <c r="AK85" s="74"/>
      <c r="AL85" s="74"/>
      <c r="AM85" s="74"/>
      <c r="AN85" s="74"/>
      <c r="AO85" s="74"/>
      <c r="AP85" s="74"/>
      <c r="AQ85" s="74"/>
      <c r="AR85" s="74"/>
      <c r="AS85" s="74"/>
      <c r="AT85" s="74"/>
      <c r="AU85" s="74"/>
      <c r="AV85" s="74"/>
      <c r="AW85" s="74"/>
      <c r="AX85" s="74"/>
      <c r="AY85" s="74"/>
      <c r="AZ85" s="74"/>
      <c r="BA85" s="74"/>
      <c r="BB85" s="74"/>
      <c r="BC85" s="74"/>
      <c r="BD85" s="74"/>
      <c r="BE85" s="74"/>
      <c r="BF85" s="74"/>
      <c r="BG85" s="74"/>
      <c r="BH85" s="74"/>
      <c r="BI85" s="74"/>
      <c r="BJ85" s="74"/>
      <c r="BK85" s="74"/>
      <c r="BL85" s="74"/>
      <c r="BM85" s="74"/>
      <c r="BN85" s="74"/>
      <c r="BO85" s="74"/>
    </row>
    <row r="86" spans="1:67" ht="15.75" thickBot="1" x14ac:dyDescent="0.3">
      <c r="A86" s="814" t="s">
        <v>874</v>
      </c>
      <c r="B86" s="386" t="s">
        <v>1184</v>
      </c>
      <c r="C86" s="815" t="e">
        <f>0.86*C85/1000</f>
        <v>#N/A</v>
      </c>
      <c r="D86" s="816">
        <f>IF('Система ГВС'!F3=2,0,'Ввод исходных данных'!K198)</f>
        <v>0</v>
      </c>
      <c r="E86" s="74"/>
      <c r="F86" s="74"/>
      <c r="G86" s="544" t="s">
        <v>874</v>
      </c>
      <c r="H86" s="545" t="s">
        <v>1184</v>
      </c>
      <c r="I86" s="365" t="e">
        <f>0.86*I85/1000</f>
        <v>#N/A</v>
      </c>
      <c r="J86" s="817" t="e">
        <f>'Ввод исходных данных'!K186*'Система ГВС'!$H$4</f>
        <v>#N/A</v>
      </c>
      <c r="K86" s="365" t="e">
        <f>0.86*K85/1000</f>
        <v>#N/A</v>
      </c>
      <c r="L86" s="817" t="e">
        <f>'Ввод исходных данных'!K187*'Система ГВС'!$H$4</f>
        <v>#N/A</v>
      </c>
      <c r="M86" s="818" t="e">
        <f>0.86*M85/1000</f>
        <v>#N/A</v>
      </c>
      <c r="N86" s="819" t="e">
        <f>'Ввод исходных данных'!K188*'Система ГВС'!$H$4</f>
        <v>#N/A</v>
      </c>
      <c r="O86" s="365" t="e">
        <f>0.86*O85/1000</f>
        <v>#N/A</v>
      </c>
      <c r="P86" s="817" t="e">
        <f>'Ввод исходных данных'!K189*'Система ГВС'!$H$4</f>
        <v>#N/A</v>
      </c>
      <c r="Q86" s="818" t="e">
        <f>0.86*Q85/1000</f>
        <v>#N/A</v>
      </c>
      <c r="R86" s="820" t="e">
        <f>'Ввод исходных данных'!K190*'Система ГВС'!$H$4</f>
        <v>#N/A</v>
      </c>
      <c r="S86" s="764" t="e">
        <f>0.86*S85/1000</f>
        <v>#N/A</v>
      </c>
      <c r="T86" s="821" t="e">
        <f>'Ввод исходных данных'!K191*'Система ГВС'!$H$4</f>
        <v>#N/A</v>
      </c>
      <c r="U86" s="764" t="e">
        <f>0.86*U85/1000</f>
        <v>#N/A</v>
      </c>
      <c r="V86" s="822" t="e">
        <f>'Ввод исходных данных'!K192*'Система ГВС'!$H$4</f>
        <v>#N/A</v>
      </c>
      <c r="W86" s="366" t="e">
        <f>0.86*W85/1000</f>
        <v>#N/A</v>
      </c>
      <c r="X86" s="602" t="e">
        <f>'Ввод исходных данных'!K193*'Система ГВС'!$H$4</f>
        <v>#N/A</v>
      </c>
      <c r="Y86" s="366" t="e">
        <f>0.86*Y85/1000</f>
        <v>#N/A</v>
      </c>
      <c r="Z86" s="602" t="e">
        <f>'Ввод исходных данных'!K194*'Система ГВС'!$H$4</f>
        <v>#N/A</v>
      </c>
      <c r="AA86" s="366" t="e">
        <f>0.86*AA85/1000</f>
        <v>#N/A</v>
      </c>
      <c r="AB86" s="602" t="e">
        <f>'Ввод исходных данных'!K195*'Система ГВС'!$H$4</f>
        <v>#N/A</v>
      </c>
      <c r="AC86" s="366" t="e">
        <f>0.86*AC85/1000</f>
        <v>#N/A</v>
      </c>
      <c r="AD86" s="823" t="e">
        <f>'Ввод исходных данных'!K196*'Система ГВС'!$H$4</f>
        <v>#N/A</v>
      </c>
      <c r="AE86" s="365" t="e">
        <f>0.86*AE85/1000</f>
        <v>#N/A</v>
      </c>
      <c r="AF86" s="823" t="e">
        <f>'Ввод исходных данных'!K197*'Система ГВС'!$H$4</f>
        <v>#N/A</v>
      </c>
      <c r="AG86" s="74"/>
      <c r="AH86" s="74"/>
      <c r="AI86" s="74"/>
      <c r="AJ86" s="74"/>
      <c r="AK86" s="74"/>
      <c r="AL86" s="74"/>
      <c r="AM86" s="74"/>
      <c r="AN86" s="74"/>
      <c r="AO86" s="74"/>
      <c r="AP86" s="74"/>
      <c r="AQ86" s="74"/>
      <c r="AR86" s="74"/>
      <c r="AS86" s="74"/>
      <c r="AT86" s="74"/>
      <c r="AU86" s="74"/>
      <c r="AV86" s="74"/>
      <c r="AW86" s="74"/>
      <c r="AX86" s="74"/>
      <c r="AY86" s="74"/>
      <c r="AZ86" s="74"/>
      <c r="BA86" s="74"/>
      <c r="BB86" s="74"/>
      <c r="BC86" s="74"/>
      <c r="BD86" s="74"/>
      <c r="BE86" s="74"/>
      <c r="BF86" s="74"/>
      <c r="BG86" s="74"/>
      <c r="BH86" s="74"/>
      <c r="BI86" s="74"/>
      <c r="BJ86" s="74"/>
      <c r="BK86" s="74"/>
      <c r="BL86" s="74"/>
      <c r="BM86" s="74"/>
      <c r="BN86" s="74"/>
      <c r="BO86" s="74"/>
    </row>
    <row r="87" spans="1:67" ht="51.95" customHeight="1" x14ac:dyDescent="0.25">
      <c r="A87" s="824" t="s">
        <v>1214</v>
      </c>
      <c r="B87" s="825" t="s">
        <v>842</v>
      </c>
      <c r="C87" s="826"/>
      <c r="D87" s="827" t="e">
        <f>D85-C85</f>
        <v>#N/A</v>
      </c>
      <c r="E87" s="74"/>
      <c r="F87" s="74"/>
      <c r="G87" s="828" t="s">
        <v>1215</v>
      </c>
      <c r="H87" s="809" t="s">
        <v>842</v>
      </c>
      <c r="I87" s="829"/>
      <c r="J87" s="830" t="e">
        <f>J85-I85</f>
        <v>#N/A</v>
      </c>
      <c r="K87" s="829"/>
      <c r="L87" s="830" t="e">
        <f>L85-K85</f>
        <v>#N/A</v>
      </c>
      <c r="M87" s="829"/>
      <c r="N87" s="830" t="e">
        <f>N85-M85</f>
        <v>#N/A</v>
      </c>
      <c r="O87" s="829"/>
      <c r="P87" s="830" t="e">
        <f>P85-O85</f>
        <v>#N/A</v>
      </c>
      <c r="Q87" s="829"/>
      <c r="R87" s="830" t="e">
        <f>R85-Q85</f>
        <v>#N/A</v>
      </c>
      <c r="S87" s="829"/>
      <c r="T87" s="830" t="e">
        <f>T85-S85</f>
        <v>#N/A</v>
      </c>
      <c r="U87" s="829"/>
      <c r="V87" s="830" t="e">
        <f>V85-U85</f>
        <v>#N/A</v>
      </c>
      <c r="W87" s="829"/>
      <c r="X87" s="830" t="e">
        <f>X85-W85</f>
        <v>#N/A</v>
      </c>
      <c r="Y87" s="829"/>
      <c r="Z87" s="830" t="e">
        <f>Z85-Y85</f>
        <v>#N/A</v>
      </c>
      <c r="AA87" s="829"/>
      <c r="AB87" s="830" t="e">
        <f>AB85-AA85</f>
        <v>#N/A</v>
      </c>
      <c r="AC87" s="829"/>
      <c r="AD87" s="830" t="e">
        <f>AD85-AC85</f>
        <v>#N/A</v>
      </c>
      <c r="AE87" s="829"/>
      <c r="AF87" s="830" t="e">
        <f>AF85-AE85</f>
        <v>#N/A</v>
      </c>
      <c r="AG87" s="74"/>
      <c r="AH87" s="74"/>
      <c r="AI87" s="74"/>
      <c r="AJ87" s="74"/>
      <c r="AK87" s="74"/>
      <c r="AL87" s="74"/>
      <c r="AM87" s="74"/>
      <c r="AN87" s="74"/>
      <c r="AO87" s="74"/>
      <c r="AP87" s="74"/>
      <c r="AQ87" s="74"/>
      <c r="AR87" s="74"/>
      <c r="AS87" s="74"/>
      <c r="AT87" s="74"/>
      <c r="AU87" s="74"/>
      <c r="AV87" s="74"/>
      <c r="AW87" s="74"/>
      <c r="AX87" s="74"/>
      <c r="AY87" s="74"/>
      <c r="AZ87" s="74"/>
      <c r="BA87" s="74"/>
      <c r="BB87" s="74"/>
      <c r="BC87" s="74"/>
      <c r="BD87" s="74"/>
      <c r="BE87" s="74"/>
      <c r="BF87" s="74"/>
      <c r="BG87" s="74"/>
      <c r="BH87" s="74"/>
      <c r="BI87" s="74"/>
      <c r="BJ87" s="74"/>
      <c r="BK87" s="74"/>
      <c r="BL87" s="74"/>
      <c r="BM87" s="74"/>
      <c r="BN87" s="74"/>
      <c r="BO87" s="74"/>
    </row>
    <row r="88" spans="1:67" x14ac:dyDescent="0.25">
      <c r="A88" s="358" t="s">
        <v>874</v>
      </c>
      <c r="B88" s="359" t="s">
        <v>1184</v>
      </c>
      <c r="C88" s="831"/>
      <c r="D88" s="832" t="e">
        <f>D86-C86</f>
        <v>#N/A</v>
      </c>
      <c r="E88" s="74"/>
      <c r="F88" s="74"/>
      <c r="G88" s="833" t="s">
        <v>874</v>
      </c>
      <c r="H88" s="834" t="s">
        <v>1184</v>
      </c>
      <c r="I88" s="618"/>
      <c r="J88" s="615" t="e">
        <f>J86-I86</f>
        <v>#N/A</v>
      </c>
      <c r="K88" s="618"/>
      <c r="L88" s="615" t="e">
        <f>L86-K86</f>
        <v>#N/A</v>
      </c>
      <c r="M88" s="618"/>
      <c r="N88" s="615" t="e">
        <f>N86-M86</f>
        <v>#N/A</v>
      </c>
      <c r="O88" s="618"/>
      <c r="P88" s="615" t="e">
        <f>P86-O86</f>
        <v>#N/A</v>
      </c>
      <c r="Q88" s="618"/>
      <c r="R88" s="615" t="e">
        <f>R86-Q86</f>
        <v>#N/A</v>
      </c>
      <c r="S88" s="618"/>
      <c r="T88" s="615" t="e">
        <f>T86-S86</f>
        <v>#N/A</v>
      </c>
      <c r="U88" s="618"/>
      <c r="V88" s="615" t="e">
        <f>V86-U86</f>
        <v>#N/A</v>
      </c>
      <c r="W88" s="618"/>
      <c r="X88" s="615" t="e">
        <f>X86-W86</f>
        <v>#N/A</v>
      </c>
      <c r="Y88" s="618"/>
      <c r="Z88" s="615" t="e">
        <f>Z86-Y86</f>
        <v>#N/A</v>
      </c>
      <c r="AA88" s="618"/>
      <c r="AB88" s="615" t="e">
        <f>AB86-AA86</f>
        <v>#N/A</v>
      </c>
      <c r="AC88" s="618"/>
      <c r="AD88" s="615" t="e">
        <f>AD86-AC86</f>
        <v>#N/A</v>
      </c>
      <c r="AE88" s="618"/>
      <c r="AF88" s="615" t="e">
        <f>AF86-AE86</f>
        <v>#N/A</v>
      </c>
      <c r="AG88" s="74"/>
      <c r="AH88" s="74"/>
      <c r="AI88" s="74"/>
      <c r="AJ88" s="74"/>
      <c r="AK88" s="74"/>
      <c r="AL88" s="74"/>
      <c r="AM88" s="74"/>
      <c r="AN88" s="74"/>
      <c r="AO88" s="74"/>
      <c r="AP88" s="74"/>
      <c r="AQ88" s="74"/>
      <c r="AR88" s="74"/>
      <c r="AS88" s="74"/>
      <c r="AT88" s="74"/>
      <c r="AU88" s="74"/>
      <c r="AV88" s="74"/>
      <c r="AW88" s="74"/>
      <c r="AX88" s="74"/>
      <c r="AY88" s="74"/>
      <c r="AZ88" s="74"/>
      <c r="BA88" s="74"/>
      <c r="BB88" s="74"/>
      <c r="BC88" s="74"/>
      <c r="BD88" s="74"/>
      <c r="BE88" s="74"/>
      <c r="BF88" s="74"/>
      <c r="BG88" s="74"/>
      <c r="BH88" s="74"/>
      <c r="BI88" s="74"/>
      <c r="BJ88" s="74"/>
      <c r="BK88" s="74"/>
      <c r="BL88" s="74"/>
      <c r="BM88" s="74"/>
      <c r="BN88" s="74"/>
      <c r="BO88" s="74"/>
    </row>
    <row r="89" spans="1:67" ht="18.600000000000001" customHeight="1" thickBot="1" x14ac:dyDescent="0.3">
      <c r="A89" s="385" t="s">
        <v>874</v>
      </c>
      <c r="B89" s="386" t="s">
        <v>1181</v>
      </c>
      <c r="C89" s="835"/>
      <c r="D89" s="836" t="e">
        <f>IF('Система ГВС'!F3=2,0,(D87/C85)*100)</f>
        <v>#N/A</v>
      </c>
      <c r="E89" s="74"/>
      <c r="F89" s="74"/>
      <c r="G89" s="544" t="s">
        <v>874</v>
      </c>
      <c r="H89" s="545" t="s">
        <v>1181</v>
      </c>
      <c r="I89" s="630"/>
      <c r="J89" s="837" t="e">
        <f>(J87/I85)*100</f>
        <v>#N/A</v>
      </c>
      <c r="K89" s="630"/>
      <c r="L89" s="837" t="e">
        <f>(L87/K85)*100</f>
        <v>#N/A</v>
      </c>
      <c r="M89" s="630"/>
      <c r="N89" s="837" t="e">
        <f>(N87/M85)*100</f>
        <v>#N/A</v>
      </c>
      <c r="O89" s="630"/>
      <c r="P89" s="837" t="e">
        <f>(P87/O85)*100</f>
        <v>#N/A</v>
      </c>
      <c r="Q89" s="630"/>
      <c r="R89" s="837" t="e">
        <f>(R87/Q85)*100</f>
        <v>#N/A</v>
      </c>
      <c r="S89" s="630"/>
      <c r="T89" s="837" t="e">
        <f>(T87/S85)*100</f>
        <v>#N/A</v>
      </c>
      <c r="U89" s="630"/>
      <c r="V89" s="837" t="e">
        <f>(V87/U85)*100</f>
        <v>#N/A</v>
      </c>
      <c r="W89" s="630"/>
      <c r="X89" s="837" t="e">
        <f>(X87/W85)*100</f>
        <v>#N/A</v>
      </c>
      <c r="Y89" s="630"/>
      <c r="Z89" s="837" t="e">
        <f>(Z87/Y85)*100</f>
        <v>#N/A</v>
      </c>
      <c r="AA89" s="630"/>
      <c r="AB89" s="837" t="e">
        <f>(AB87/AA85)*100</f>
        <v>#N/A</v>
      </c>
      <c r="AC89" s="630"/>
      <c r="AD89" s="837" t="e">
        <f>(AD87/AC85)*100</f>
        <v>#N/A</v>
      </c>
      <c r="AE89" s="630"/>
      <c r="AF89" s="837" t="e">
        <f>(AF87/AE85)*100</f>
        <v>#N/A</v>
      </c>
      <c r="AG89" s="74"/>
      <c r="AH89" s="74"/>
      <c r="AI89" s="74"/>
      <c r="AJ89" s="74"/>
      <c r="AK89" s="74"/>
      <c r="AL89" s="74"/>
      <c r="AM89" s="74"/>
      <c r="AN89" s="74"/>
      <c r="AO89" s="74"/>
      <c r="AP89" s="74"/>
      <c r="AQ89" s="74"/>
      <c r="AR89" s="74"/>
      <c r="AS89" s="74"/>
      <c r="AT89" s="74"/>
      <c r="AU89" s="74"/>
      <c r="AV89" s="74"/>
      <c r="AW89" s="74"/>
      <c r="AX89" s="74"/>
      <c r="AY89" s="74"/>
      <c r="AZ89" s="74"/>
      <c r="BA89" s="74"/>
      <c r="BB89" s="74"/>
      <c r="BC89" s="74"/>
      <c r="BD89" s="74"/>
      <c r="BE89" s="74"/>
      <c r="BF89" s="74"/>
      <c r="BG89" s="74"/>
      <c r="BH89" s="74"/>
      <c r="BI89" s="74"/>
      <c r="BJ89" s="74"/>
      <c r="BK89" s="74"/>
      <c r="BL89" s="74"/>
      <c r="BM89" s="74"/>
      <c r="BN89" s="74"/>
      <c r="BO89" s="74"/>
    </row>
    <row r="90" spans="1:67" ht="15.75" thickBot="1" x14ac:dyDescent="0.3">
      <c r="A90" s="838" t="s">
        <v>1216</v>
      </c>
      <c r="B90" s="839" t="s">
        <v>1345</v>
      </c>
      <c r="C90" s="840" t="e">
        <f>IF('Система ГВС'!F3=2,0,D168*365*'Ввод исходных данных'!$D$22/1000*(1-0.4*'Ввод исходных данных'!D21/'Ввод исходных данных'!D20))</f>
        <v>#DIV/0!</v>
      </c>
      <c r="D90" s="841">
        <f>IF('Система ГВС'!F3=2,0,'Ввод исходных данных'!F218)</f>
        <v>0</v>
      </c>
      <c r="E90" s="74"/>
      <c r="F90" s="317"/>
      <c r="G90" s="842" t="s">
        <v>1219</v>
      </c>
      <c r="H90" s="839" t="s">
        <v>1345</v>
      </c>
      <c r="I90" s="843" t="e">
        <f>G167*G170*'Ввод исходных данных'!$D$22/1000*(1-0.4*'Ввод исходных данных'!D21/'Ввод исходных данных'!D20)*'Система ГВС'!$H$4</f>
        <v>#N/A</v>
      </c>
      <c r="J90" s="844">
        <f>'Ввод исходных данных'!F206*'Система ГВС'!$H$4</f>
        <v>0</v>
      </c>
      <c r="K90" s="843" t="e">
        <f>H167*H165*'Ввод исходных данных'!$D$22/1000*(1-0.4*'Ввод исходных данных'!D21/'Ввод исходных данных'!D20)*'Система ГВС'!$H$4</f>
        <v>#N/A</v>
      </c>
      <c r="L90" s="844">
        <f>'Ввод исходных данных'!$F$207*'Система ГВС'!$H$4</f>
        <v>0</v>
      </c>
      <c r="M90" s="843" t="e">
        <f>I167*I165*'Ввод исходных данных'!$D$22/1000*(1-0.4*'Ввод исходных данных'!D21/'Ввод исходных данных'!D20)*'Система ГВС'!$H$4</f>
        <v>#N/A</v>
      </c>
      <c r="N90" s="844">
        <f>'Ввод исходных данных'!$F$208*'Система ГВС'!$H$4</f>
        <v>0</v>
      </c>
      <c r="O90" s="843" t="e">
        <f>J167*J165*'Ввод исходных данных'!$D$22/1000*(1-0.4*'Ввод исходных данных'!D21/'Ввод исходных данных'!D20)*'Система ГВС'!$H$4</f>
        <v>#N/A</v>
      </c>
      <c r="P90" s="844">
        <f>'Ввод исходных данных'!$F$209*'Система ГВС'!$H$4</f>
        <v>0</v>
      </c>
      <c r="Q90" s="843" t="e">
        <f>K167*K165*'Ввод исходных данных'!$D$22/1000*(1-0.4*'Ввод исходных данных'!D21/'Ввод исходных данных'!D20)*'Система ГВС'!$H$4</f>
        <v>#N/A</v>
      </c>
      <c r="R90" s="844">
        <f>'Ввод исходных данных'!$F$210*'Система ГВС'!$H$4</f>
        <v>0</v>
      </c>
      <c r="S90" s="843" t="e">
        <f>L167*L165*'Ввод исходных данных'!$D$22/1000*(1-0.4*'Ввод исходных данных'!D21/'Ввод исходных данных'!D20)*'Система ГВС'!$H$4</f>
        <v>#N/A</v>
      </c>
      <c r="T90" s="844">
        <f>'Ввод исходных данных'!$F$211*'Система ГВС'!$H$4</f>
        <v>0</v>
      </c>
      <c r="U90" s="843" t="e">
        <f>M167*M170*'Ввод исходных данных'!$D$22/1000*(1-0.4*'Ввод исходных данных'!D21/'Ввод исходных данных'!D20)*'Система ГВС'!$H$4</f>
        <v>#N/A</v>
      </c>
      <c r="V90" s="844">
        <f>'Ввод исходных данных'!$F$212*'Система ГВС'!$H$4</f>
        <v>0</v>
      </c>
      <c r="W90" s="843" t="e">
        <f>N167*N165*'Ввод исходных данных'!$D$22/1000*(1-0.4*'Ввод исходных данных'!D21/'Ввод исходных данных'!D20)*'Система ГВС'!$H$4</f>
        <v>#N/A</v>
      </c>
      <c r="X90" s="845">
        <f>'Ввод исходных данных'!$F$213*'Система ГВС'!$H$4</f>
        <v>0</v>
      </c>
      <c r="Y90" s="843" t="e">
        <f>O167*O165*'Ввод исходных данных'!$D$22/1000*(1-0.4*'Ввод исходных данных'!D21/'Ввод исходных данных'!D20)*'Система ГВС'!$H$4</f>
        <v>#N/A</v>
      </c>
      <c r="Z90" s="846">
        <f>'Ввод исходных данных'!$F$214*'Система ГВС'!$H$4</f>
        <v>0</v>
      </c>
      <c r="AA90" s="843" t="e">
        <f>P167*P165*'Ввод исходных данных'!$D$22/1000*(1-0.4*'Ввод исходных данных'!D21/'Ввод исходных данных'!D20)*'Система ГВС'!$H$4</f>
        <v>#N/A</v>
      </c>
      <c r="AB90" s="845">
        <f>'Ввод исходных данных'!$F$215*'Система ГВС'!$H$4</f>
        <v>0</v>
      </c>
      <c r="AC90" s="843" t="e">
        <f>Q167*Q165*'Ввод исходных данных'!$D$22/1000*(1-0.4*'Ввод исходных данных'!D21/'Ввод исходных данных'!D20)*'Система ГВС'!$H$4</f>
        <v>#N/A</v>
      </c>
      <c r="AD90" s="847">
        <f>'Ввод исходных данных'!$F$216*'Система ГВС'!$H$4</f>
        <v>0</v>
      </c>
      <c r="AE90" s="843" t="e">
        <f>R167*R165*'Ввод исходных данных'!$D$22/1000*(1-0.4*'Ввод исходных данных'!D21/'Ввод исходных данных'!D20)*'Система ГВС'!$H$4</f>
        <v>#N/A</v>
      </c>
      <c r="AF90" s="664">
        <f>'Ввод исходных данных'!$F$217*'Система ГВС'!$H$4</f>
        <v>0</v>
      </c>
      <c r="AG90" s="74"/>
      <c r="AH90" s="74"/>
      <c r="AI90" s="74"/>
      <c r="AJ90" s="74"/>
      <c r="AK90" s="74"/>
      <c r="AL90" s="74"/>
      <c r="AM90" s="74"/>
      <c r="AN90" s="74"/>
      <c r="AO90" s="74"/>
      <c r="AP90" s="74"/>
      <c r="AQ90" s="74"/>
      <c r="AR90" s="74"/>
      <c r="AS90" s="74"/>
      <c r="AT90" s="74"/>
      <c r="AU90" s="74"/>
      <c r="AV90" s="74"/>
      <c r="AW90" s="74"/>
      <c r="AX90" s="74"/>
      <c r="AY90" s="74"/>
      <c r="AZ90" s="74"/>
      <c r="BA90" s="74"/>
      <c r="BB90" s="74"/>
      <c r="BC90" s="74"/>
      <c r="BD90" s="74"/>
      <c r="BE90" s="74"/>
      <c r="BF90" s="74"/>
      <c r="BG90" s="74"/>
      <c r="BH90" s="74"/>
      <c r="BI90" s="74"/>
      <c r="BJ90" s="74"/>
      <c r="BK90" s="74"/>
      <c r="BL90" s="74"/>
      <c r="BM90" s="74"/>
      <c r="BN90" s="74"/>
      <c r="BO90" s="74"/>
    </row>
    <row r="91" spans="1:67" ht="41.45" customHeight="1" x14ac:dyDescent="0.25">
      <c r="A91" s="824" t="s">
        <v>1218</v>
      </c>
      <c r="B91" s="848" t="s">
        <v>1217</v>
      </c>
      <c r="C91" s="826"/>
      <c r="D91" s="849" t="e">
        <f>D90-C90</f>
        <v>#DIV/0!</v>
      </c>
      <c r="E91" s="74"/>
      <c r="F91" s="74"/>
      <c r="G91" s="828" t="s">
        <v>1220</v>
      </c>
      <c r="H91" s="809" t="s">
        <v>1217</v>
      </c>
      <c r="I91" s="850"/>
      <c r="J91" s="830" t="e">
        <f>J90-I90</f>
        <v>#N/A</v>
      </c>
      <c r="K91" s="850"/>
      <c r="L91" s="830" t="e">
        <f>L90-K90</f>
        <v>#N/A</v>
      </c>
      <c r="M91" s="850"/>
      <c r="N91" s="830" t="e">
        <f>N90-M90</f>
        <v>#N/A</v>
      </c>
      <c r="O91" s="850"/>
      <c r="P91" s="830" t="e">
        <f>P90-O90</f>
        <v>#N/A</v>
      </c>
      <c r="Q91" s="829"/>
      <c r="R91" s="830" t="e">
        <f>R90-Q90</f>
        <v>#N/A</v>
      </c>
      <c r="S91" s="850"/>
      <c r="T91" s="830" t="e">
        <f>T90-S90</f>
        <v>#N/A</v>
      </c>
      <c r="U91" s="829"/>
      <c r="V91" s="830" t="e">
        <f>V90-U90</f>
        <v>#N/A</v>
      </c>
      <c r="W91" s="829"/>
      <c r="X91" s="830" t="e">
        <f>X90-W90</f>
        <v>#N/A</v>
      </c>
      <c r="Y91" s="829"/>
      <c r="Z91" s="830" t="e">
        <f>Z90-Y90</f>
        <v>#N/A</v>
      </c>
      <c r="AA91" s="850"/>
      <c r="AB91" s="851" t="e">
        <f>AB90-AA90</f>
        <v>#N/A</v>
      </c>
      <c r="AC91" s="121"/>
      <c r="AD91" s="852" t="e">
        <f>AD90-AC90</f>
        <v>#N/A</v>
      </c>
      <c r="AE91" s="829"/>
      <c r="AF91" s="830" t="e">
        <f>AF90-AE90</f>
        <v>#N/A</v>
      </c>
      <c r="AG91" s="74"/>
      <c r="AH91" s="74"/>
      <c r="AI91" s="74"/>
      <c r="AJ91" s="74"/>
      <c r="AK91" s="74"/>
      <c r="AL91" s="74"/>
      <c r="AM91" s="74"/>
      <c r="AN91" s="74"/>
      <c r="AO91" s="74"/>
      <c r="AP91" s="74"/>
      <c r="AQ91" s="74"/>
      <c r="AR91" s="74"/>
      <c r="AS91" s="74"/>
      <c r="AT91" s="74"/>
      <c r="AU91" s="74"/>
      <c r="AV91" s="74"/>
      <c r="AW91" s="74"/>
      <c r="AX91" s="74"/>
      <c r="AY91" s="74"/>
      <c r="AZ91" s="74"/>
      <c r="BA91" s="74"/>
      <c r="BB91" s="74"/>
      <c r="BC91" s="74"/>
      <c r="BD91" s="74"/>
      <c r="BE91" s="74"/>
      <c r="BF91" s="74"/>
      <c r="BG91" s="74"/>
      <c r="BH91" s="74"/>
      <c r="BI91" s="74"/>
      <c r="BJ91" s="74"/>
      <c r="BK91" s="74"/>
      <c r="BL91" s="74"/>
      <c r="BM91" s="74"/>
      <c r="BN91" s="74"/>
      <c r="BO91" s="74"/>
    </row>
    <row r="92" spans="1:67" ht="20.45" customHeight="1" thickBot="1" x14ac:dyDescent="0.3">
      <c r="A92" s="385" t="s">
        <v>874</v>
      </c>
      <c r="B92" s="598" t="s">
        <v>1181</v>
      </c>
      <c r="C92" s="835"/>
      <c r="D92" s="853" t="e">
        <f>IF('Система ГВС'!F3=2,0,(D91/C90)*100)</f>
        <v>#DIV/0!</v>
      </c>
      <c r="E92" s="74"/>
      <c r="F92" s="74"/>
      <c r="G92" s="544" t="s">
        <v>874</v>
      </c>
      <c r="H92" s="545" t="s">
        <v>1181</v>
      </c>
      <c r="I92" s="622"/>
      <c r="J92" s="854" t="e">
        <f>(J91/I90)*100</f>
        <v>#N/A</v>
      </c>
      <c r="K92" s="622"/>
      <c r="L92" s="854" t="e">
        <f>(L91/K90)*100</f>
        <v>#N/A</v>
      </c>
      <c r="M92" s="622"/>
      <c r="N92" s="854" t="e">
        <f>(N91/M90)*100</f>
        <v>#N/A</v>
      </c>
      <c r="O92" s="622"/>
      <c r="P92" s="854" t="e">
        <f>(P91/O90)*100</f>
        <v>#N/A</v>
      </c>
      <c r="Q92" s="630"/>
      <c r="R92" s="837" t="e">
        <f>(R91/Q90)*100</f>
        <v>#N/A</v>
      </c>
      <c r="S92" s="622"/>
      <c r="T92" s="837" t="e">
        <f>(T91/S90)*100</f>
        <v>#N/A</v>
      </c>
      <c r="U92" s="630"/>
      <c r="V92" s="837" t="e">
        <f>(V91/U90)*100</f>
        <v>#N/A</v>
      </c>
      <c r="W92" s="630"/>
      <c r="X92" s="837" t="e">
        <f>(X91/W90)*100</f>
        <v>#N/A</v>
      </c>
      <c r="Y92" s="630"/>
      <c r="Z92" s="837" t="e">
        <f>(Z91/Y90)*100</f>
        <v>#N/A</v>
      </c>
      <c r="AA92" s="622"/>
      <c r="AB92" s="837" t="e">
        <f>(AB91/AA90)*100</f>
        <v>#N/A</v>
      </c>
      <c r="AC92" s="620"/>
      <c r="AD92" s="837" t="e">
        <f>(AD91/AC90)*100</f>
        <v>#N/A</v>
      </c>
      <c r="AE92" s="630"/>
      <c r="AF92" s="837" t="e">
        <f>(AF91/AE90)*100</f>
        <v>#N/A</v>
      </c>
      <c r="AG92" s="74"/>
      <c r="AH92" s="74"/>
      <c r="AI92" s="74"/>
      <c r="AJ92" s="74"/>
      <c r="AK92" s="74"/>
      <c r="AL92" s="74"/>
      <c r="AM92" s="74"/>
      <c r="AN92" s="74"/>
      <c r="AO92" s="74"/>
      <c r="AP92" s="74"/>
      <c r="AQ92" s="74"/>
      <c r="AR92" s="74"/>
      <c r="AS92" s="74"/>
      <c r="AT92" s="74"/>
      <c r="AU92" s="74"/>
      <c r="AV92" s="74"/>
      <c r="AW92" s="74"/>
      <c r="AX92" s="74"/>
      <c r="AY92" s="74"/>
      <c r="AZ92" s="74"/>
      <c r="BA92" s="74"/>
      <c r="BB92" s="74"/>
      <c r="BC92" s="74"/>
      <c r="BD92" s="74"/>
      <c r="BE92" s="74"/>
      <c r="BF92" s="74"/>
      <c r="BG92" s="74"/>
      <c r="BH92" s="74"/>
      <c r="BI92" s="74"/>
      <c r="BJ92" s="74"/>
      <c r="BK92" s="74"/>
      <c r="BL92" s="74"/>
      <c r="BM92" s="74"/>
      <c r="BN92" s="74"/>
      <c r="BO92" s="74"/>
    </row>
    <row r="93" spans="1:67" ht="24" x14ac:dyDescent="0.25">
      <c r="A93" s="824" t="s">
        <v>1221</v>
      </c>
      <c r="B93" s="825" t="s">
        <v>1190</v>
      </c>
      <c r="C93" s="855" t="e">
        <f>C85/('Ввод исходных данных'!$G$45+'Ввод исходных данных'!$G$23)</f>
        <v>#N/A</v>
      </c>
      <c r="D93" s="856" t="e">
        <f>D85/('Ввод исходных данных'!$G$45+'Ввод исходных данных'!$G$23)</f>
        <v>#DIV/0!</v>
      </c>
      <c r="E93" s="74"/>
      <c r="F93" s="74"/>
      <c r="G93" s="74"/>
      <c r="H93" s="74"/>
      <c r="I93" s="74"/>
      <c r="J93" s="74"/>
      <c r="K93" s="74"/>
      <c r="L93" s="74"/>
      <c r="M93" s="74"/>
      <c r="N93" s="74"/>
      <c r="O93" s="74"/>
      <c r="P93" s="74"/>
      <c r="Q93" s="74"/>
      <c r="R93" s="74"/>
      <c r="S93" s="74"/>
      <c r="T93" s="74"/>
      <c r="U93" s="74"/>
      <c r="V93" s="74"/>
      <c r="W93" s="74"/>
      <c r="X93" s="74"/>
      <c r="Y93" s="74"/>
      <c r="Z93" s="74"/>
      <c r="AA93" s="74"/>
      <c r="AB93" s="74"/>
      <c r="AC93" s="74"/>
      <c r="AD93" s="74"/>
      <c r="AE93" s="74"/>
      <c r="AF93" s="74"/>
      <c r="AG93" s="74"/>
      <c r="AH93" s="74"/>
      <c r="AI93" s="74"/>
      <c r="AJ93" s="74"/>
      <c r="AK93" s="74"/>
      <c r="AL93" s="74"/>
      <c r="AM93" s="74"/>
      <c r="AN93" s="74"/>
      <c r="AO93" s="74"/>
      <c r="AP93" s="74"/>
      <c r="AQ93" s="74"/>
      <c r="AR93" s="74"/>
      <c r="AS93" s="74"/>
      <c r="AT93" s="74"/>
      <c r="AU93" s="74"/>
      <c r="AV93" s="74"/>
      <c r="AW93" s="74"/>
      <c r="AX93" s="74"/>
      <c r="AY93" s="74"/>
      <c r="AZ93" s="74"/>
      <c r="BA93" s="74"/>
      <c r="BB93" s="74"/>
      <c r="BC93" s="74"/>
      <c r="BD93" s="74"/>
      <c r="BE93" s="74"/>
      <c r="BF93" s="74"/>
      <c r="BG93" s="74"/>
      <c r="BH93" s="74"/>
      <c r="BI93" s="74"/>
      <c r="BJ93" s="74"/>
      <c r="BK93" s="74"/>
      <c r="BL93" s="74"/>
      <c r="BM93" s="74"/>
      <c r="BN93" s="74"/>
      <c r="BO93" s="74"/>
    </row>
    <row r="94" spans="1:67" ht="15.75" thickBot="1" x14ac:dyDescent="0.3">
      <c r="A94" s="385" t="s">
        <v>874</v>
      </c>
      <c r="B94" s="397" t="s">
        <v>1209</v>
      </c>
      <c r="C94" s="857" t="e">
        <f>IF('Система ГВС'!F3=2,0,C86/('Ввод исходных данных'!$G$45+'Ввод исходных данных'!D23))</f>
        <v>#N/A</v>
      </c>
      <c r="D94" s="858" t="e">
        <f>D86/('Ввод исходных данных'!$G$45+'Ввод исходных данных'!D23)</f>
        <v>#DIV/0!</v>
      </c>
      <c r="E94" s="74"/>
      <c r="F94" s="74"/>
      <c r="G94" s="74"/>
      <c r="H94" s="74"/>
      <c r="I94" s="74"/>
      <c r="J94" s="74"/>
      <c r="K94" s="74"/>
      <c r="L94" s="74"/>
      <c r="M94" s="74"/>
      <c r="N94" s="74"/>
      <c r="O94" s="74"/>
      <c r="P94" s="74"/>
      <c r="Q94" s="74"/>
      <c r="R94" s="74"/>
      <c r="S94" s="74"/>
      <c r="T94" s="74"/>
      <c r="U94" s="74"/>
      <c r="V94" s="74"/>
      <c r="W94" s="74"/>
      <c r="X94" s="74"/>
      <c r="Y94" s="74"/>
      <c r="Z94" s="74"/>
      <c r="AA94" s="74"/>
      <c r="AB94" s="74"/>
      <c r="AC94" s="74"/>
      <c r="AD94" s="74"/>
      <c r="AE94" s="74"/>
      <c r="AF94" s="74"/>
      <c r="AG94" s="74"/>
      <c r="AH94" s="74"/>
      <c r="AI94" s="74"/>
      <c r="AJ94" s="74"/>
      <c r="AK94" s="74"/>
      <c r="AL94" s="74"/>
      <c r="AM94" s="74"/>
      <c r="AN94" s="74"/>
      <c r="AO94" s="74"/>
      <c r="AP94" s="74"/>
      <c r="AQ94" s="74"/>
      <c r="AR94" s="74"/>
      <c r="AS94" s="74"/>
      <c r="AT94" s="74"/>
      <c r="AU94" s="74"/>
      <c r="AV94" s="74"/>
      <c r="AW94" s="74"/>
      <c r="AX94" s="74"/>
      <c r="AY94" s="74"/>
      <c r="AZ94" s="74"/>
      <c r="BA94" s="74"/>
      <c r="BB94" s="74"/>
      <c r="BC94" s="74"/>
      <c r="BD94" s="74"/>
      <c r="BE94" s="74"/>
      <c r="BF94" s="74"/>
      <c r="BG94" s="74"/>
      <c r="BH94" s="74"/>
      <c r="BI94" s="74"/>
      <c r="BJ94" s="74"/>
      <c r="BK94" s="74"/>
      <c r="BL94" s="74"/>
      <c r="BM94" s="74"/>
      <c r="BN94" s="74"/>
      <c r="BO94" s="74"/>
    </row>
    <row r="95" spans="1:67" ht="15.75" thickBot="1" x14ac:dyDescent="0.3">
      <c r="A95" s="859" t="s">
        <v>1222</v>
      </c>
      <c r="B95" s="860" t="s">
        <v>789</v>
      </c>
      <c r="C95" s="861" t="e">
        <f>IF('Система ГВС'!F3=2,0,D167*(1-0.4*'Ввод исходных данных'!D21/'Ввод исходных данных'!D20))</f>
        <v>#N/A</v>
      </c>
      <c r="D95" s="862" t="e">
        <f>D90*1000/(365*'Ввод исходных данных'!$D$22)</f>
        <v>#DIV/0!</v>
      </c>
      <c r="E95" s="74"/>
      <c r="F95" s="74"/>
      <c r="G95" s="74"/>
      <c r="H95" s="74"/>
      <c r="I95" s="74"/>
      <c r="J95" s="74"/>
      <c r="K95" s="74"/>
      <c r="L95" s="74"/>
      <c r="M95" s="74"/>
      <c r="N95" s="74"/>
      <c r="O95" s="74"/>
      <c r="P95" s="74"/>
      <c r="Q95" s="74"/>
      <c r="R95" s="74"/>
      <c r="S95" s="74"/>
      <c r="T95" s="74"/>
      <c r="U95" s="74"/>
      <c r="V95" s="74"/>
      <c r="W95" s="74"/>
      <c r="X95" s="74"/>
      <c r="Y95" s="74"/>
      <c r="Z95" s="74"/>
      <c r="AA95" s="74"/>
      <c r="AB95" s="74"/>
      <c r="AC95" s="74"/>
      <c r="AD95" s="74"/>
      <c r="AE95" s="74"/>
      <c r="AF95" s="74"/>
      <c r="AG95" s="74"/>
      <c r="AH95" s="74"/>
      <c r="AI95" s="74"/>
      <c r="AJ95" s="74"/>
      <c r="AK95" s="74"/>
      <c r="AL95" s="74"/>
      <c r="AM95" s="74"/>
      <c r="AN95" s="74"/>
      <c r="AO95" s="74"/>
      <c r="AP95" s="74"/>
      <c r="AQ95" s="74"/>
      <c r="AR95" s="74"/>
      <c r="AS95" s="74"/>
      <c r="AT95" s="74"/>
      <c r="AU95" s="74"/>
      <c r="AV95" s="74"/>
      <c r="AW95" s="74"/>
      <c r="AX95" s="74"/>
      <c r="AY95" s="74"/>
      <c r="AZ95" s="74"/>
      <c r="BA95" s="74"/>
      <c r="BB95" s="74"/>
      <c r="BC95" s="74"/>
      <c r="BD95" s="74"/>
      <c r="BE95" s="74"/>
      <c r="BF95" s="74"/>
      <c r="BG95" s="74"/>
      <c r="BH95" s="74"/>
      <c r="BI95" s="74"/>
      <c r="BJ95" s="74"/>
      <c r="BK95" s="74"/>
      <c r="BL95" s="74"/>
      <c r="BM95" s="74"/>
      <c r="BN95" s="74"/>
      <c r="BO95" s="74"/>
    </row>
    <row r="96" spans="1:67" ht="237" customHeight="1" x14ac:dyDescent="0.25">
      <c r="A96" s="74"/>
      <c r="B96" s="74"/>
      <c r="C96" s="74"/>
      <c r="D96" s="74"/>
      <c r="E96" s="74"/>
      <c r="F96" s="74"/>
      <c r="G96" s="74"/>
      <c r="H96" s="74"/>
      <c r="I96" s="74"/>
      <c r="J96" s="74"/>
      <c r="K96" s="74"/>
      <c r="L96" s="74"/>
      <c r="M96" s="74"/>
      <c r="N96" s="74"/>
      <c r="O96" s="74"/>
      <c r="P96" s="74"/>
      <c r="Q96" s="74"/>
      <c r="R96" s="74"/>
      <c r="S96" s="74"/>
      <c r="T96" s="74"/>
      <c r="U96" s="74"/>
      <c r="V96" s="74"/>
      <c r="W96" s="74"/>
      <c r="X96" s="74"/>
      <c r="Y96" s="74"/>
      <c r="Z96" s="74"/>
      <c r="AA96" s="74"/>
      <c r="AB96" s="74"/>
      <c r="AC96" s="74"/>
      <c r="AD96" s="74"/>
      <c r="AE96" s="74"/>
      <c r="AF96" s="74"/>
      <c r="AG96" s="74"/>
      <c r="AH96" s="74"/>
      <c r="AI96" s="74"/>
      <c r="AJ96" s="74"/>
      <c r="AK96" s="74"/>
      <c r="AL96" s="74"/>
      <c r="AM96" s="74"/>
      <c r="AN96" s="74"/>
      <c r="AO96" s="74"/>
      <c r="AP96" s="74"/>
      <c r="AQ96" s="74"/>
      <c r="AR96" s="74"/>
      <c r="AS96" s="74"/>
      <c r="AT96" s="74"/>
      <c r="AU96" s="74"/>
      <c r="AV96" s="74"/>
      <c r="AW96" s="74"/>
      <c r="AX96" s="74"/>
      <c r="AY96" s="74"/>
      <c r="AZ96" s="74"/>
      <c r="BA96" s="74"/>
      <c r="BB96" s="74"/>
      <c r="BC96" s="74"/>
      <c r="BD96" s="74"/>
      <c r="BE96" s="74"/>
      <c r="BF96" s="74"/>
      <c r="BG96" s="74"/>
      <c r="BH96" s="74"/>
      <c r="BI96" s="74"/>
      <c r="BJ96" s="74"/>
      <c r="BK96" s="74"/>
      <c r="BL96" s="74"/>
      <c r="BM96" s="74"/>
      <c r="BN96" s="74"/>
      <c r="BO96" s="74"/>
    </row>
    <row r="97" spans="1:67" ht="16.5" thickBot="1" x14ac:dyDescent="0.3">
      <c r="A97" s="1803" t="s">
        <v>1186</v>
      </c>
      <c r="B97" s="1803"/>
      <c r="C97" s="1803"/>
      <c r="D97" s="1803"/>
      <c r="E97" s="441"/>
      <c r="F97" s="441"/>
      <c r="G97" s="442" t="s">
        <v>1223</v>
      </c>
      <c r="H97" s="442"/>
      <c r="I97" s="442"/>
      <c r="J97" s="442"/>
      <c r="K97" s="443"/>
      <c r="L97" s="443"/>
      <c r="M97" s="443"/>
      <c r="N97" s="443"/>
      <c r="O97" s="441"/>
      <c r="P97" s="441"/>
      <c r="Q97" s="441"/>
      <c r="R97" s="441"/>
      <c r="S97" s="441"/>
      <c r="T97" s="441"/>
      <c r="U97" s="441"/>
      <c r="V97" s="441"/>
      <c r="W97" s="441"/>
      <c r="X97" s="441"/>
      <c r="Y97" s="441"/>
      <c r="Z97" s="441"/>
      <c r="AA97" s="441"/>
      <c r="AB97" s="441"/>
      <c r="AC97" s="441"/>
      <c r="AD97" s="441"/>
      <c r="AE97" s="441"/>
      <c r="AF97" s="441"/>
      <c r="AG97" s="441"/>
      <c r="AH97" s="441"/>
      <c r="AI97" s="441"/>
      <c r="AJ97" s="441"/>
      <c r="AK97" s="441"/>
      <c r="AL97" s="441"/>
      <c r="AM97" s="441"/>
      <c r="AN97" s="441"/>
      <c r="AO97" s="441"/>
      <c r="AP97" s="441"/>
      <c r="AQ97" s="441"/>
      <c r="AR97" s="74"/>
      <c r="AS97" s="74"/>
      <c r="AT97" s="74"/>
      <c r="AU97" s="74"/>
      <c r="AV97" s="74"/>
      <c r="AW97" s="74"/>
      <c r="AX97" s="74"/>
      <c r="AY97" s="74"/>
      <c r="AZ97" s="74"/>
      <c r="BA97" s="74"/>
      <c r="BB97" s="74"/>
      <c r="BC97" s="74"/>
      <c r="BD97" s="74"/>
      <c r="BE97" s="74"/>
      <c r="BF97" s="74"/>
      <c r="BG97" s="74"/>
      <c r="BH97" s="74"/>
      <c r="BI97" s="74"/>
      <c r="BJ97" s="74"/>
      <c r="BK97" s="74"/>
      <c r="BL97" s="74"/>
      <c r="BM97" s="74"/>
      <c r="BN97" s="74"/>
      <c r="BO97" s="74"/>
    </row>
    <row r="98" spans="1:67" ht="38.1" customHeight="1" x14ac:dyDescent="0.25">
      <c r="A98" s="1772" t="s">
        <v>834</v>
      </c>
      <c r="B98" s="1774" t="s">
        <v>1174</v>
      </c>
      <c r="C98" s="1776" t="s">
        <v>1175</v>
      </c>
      <c r="D98" s="1778" t="s">
        <v>1176</v>
      </c>
      <c r="E98" s="74"/>
      <c r="F98" s="74"/>
      <c r="G98" s="1787" t="s">
        <v>834</v>
      </c>
      <c r="H98" s="1804" t="s">
        <v>1174</v>
      </c>
      <c r="I98" s="1763" t="s">
        <v>488</v>
      </c>
      <c r="J98" s="1764"/>
      <c r="K98" s="1763" t="s">
        <v>489</v>
      </c>
      <c r="L98" s="1764"/>
      <c r="M98" s="1763" t="s">
        <v>490</v>
      </c>
      <c r="N98" s="1764"/>
      <c r="O98" s="1763" t="s">
        <v>491</v>
      </c>
      <c r="P98" s="1764"/>
      <c r="Q98" s="1763" t="s">
        <v>805</v>
      </c>
      <c r="R98" s="1764"/>
      <c r="S98" s="1763" t="s">
        <v>806</v>
      </c>
      <c r="T98" s="1764"/>
      <c r="U98" s="1763" t="s">
        <v>807</v>
      </c>
      <c r="V98" s="1764"/>
      <c r="W98" s="1763" t="s">
        <v>808</v>
      </c>
      <c r="X98" s="1764"/>
      <c r="Y98" s="1763" t="s">
        <v>809</v>
      </c>
      <c r="Z98" s="1764"/>
      <c r="AA98" s="1763" t="s">
        <v>482</v>
      </c>
      <c r="AB98" s="1764"/>
      <c r="AC98" s="1763" t="s">
        <v>486</v>
      </c>
      <c r="AD98" s="1764"/>
      <c r="AE98" s="1763" t="s">
        <v>487</v>
      </c>
      <c r="AF98" s="1764"/>
      <c r="AG98" s="74"/>
      <c r="AH98" s="74"/>
      <c r="AI98" s="74"/>
      <c r="AJ98" s="74"/>
      <c r="AK98" s="74"/>
      <c r="AL98" s="74"/>
      <c r="AM98" s="74"/>
      <c r="AN98" s="74"/>
      <c r="AO98" s="74"/>
      <c r="AP98" s="74"/>
      <c r="AQ98" s="74"/>
      <c r="AR98" s="74"/>
      <c r="AS98" s="74"/>
      <c r="AT98" s="74"/>
      <c r="AU98" s="74"/>
      <c r="AV98" s="74"/>
      <c r="AW98" s="74"/>
      <c r="AX98" s="74"/>
      <c r="AY98" s="74"/>
      <c r="AZ98" s="74"/>
      <c r="BA98" s="74"/>
      <c r="BB98" s="74"/>
      <c r="BC98" s="74"/>
      <c r="BD98" s="74"/>
      <c r="BE98" s="74"/>
      <c r="BF98" s="74"/>
      <c r="BG98" s="74"/>
      <c r="BH98" s="74"/>
      <c r="BI98" s="74"/>
      <c r="BJ98" s="74"/>
      <c r="BK98" s="74"/>
      <c r="BL98" s="74"/>
      <c r="BM98" s="74"/>
      <c r="BN98" s="74"/>
      <c r="BO98" s="74"/>
    </row>
    <row r="99" spans="1:67" ht="36" customHeight="1" thickBot="1" x14ac:dyDescent="0.3">
      <c r="A99" s="1773"/>
      <c r="B99" s="1775"/>
      <c r="C99" s="1777"/>
      <c r="D99" s="1779"/>
      <c r="E99" s="74"/>
      <c r="F99" s="74"/>
      <c r="G99" s="1788"/>
      <c r="H99" s="1805"/>
      <c r="I99" s="518" t="s">
        <v>1175</v>
      </c>
      <c r="J99" s="803" t="s">
        <v>1176</v>
      </c>
      <c r="K99" s="518" t="s">
        <v>1175</v>
      </c>
      <c r="L99" s="803" t="s">
        <v>1176</v>
      </c>
      <c r="M99" s="518" t="s">
        <v>1175</v>
      </c>
      <c r="N99" s="803" t="s">
        <v>1176</v>
      </c>
      <c r="O99" s="518" t="s">
        <v>1175</v>
      </c>
      <c r="P99" s="803" t="s">
        <v>1176</v>
      </c>
      <c r="Q99" s="518" t="s">
        <v>1175</v>
      </c>
      <c r="R99" s="803" t="s">
        <v>1176</v>
      </c>
      <c r="S99" s="518" t="s">
        <v>1175</v>
      </c>
      <c r="T99" s="803" t="s">
        <v>1176</v>
      </c>
      <c r="U99" s="518" t="s">
        <v>1175</v>
      </c>
      <c r="V99" s="803" t="s">
        <v>1176</v>
      </c>
      <c r="W99" s="518" t="s">
        <v>1175</v>
      </c>
      <c r="X99" s="803" t="s">
        <v>1176</v>
      </c>
      <c r="Y99" s="518" t="s">
        <v>1175</v>
      </c>
      <c r="Z99" s="803" t="s">
        <v>1176</v>
      </c>
      <c r="AA99" s="518" t="s">
        <v>1175</v>
      </c>
      <c r="AB99" s="803" t="s">
        <v>1176</v>
      </c>
      <c r="AC99" s="518" t="s">
        <v>1175</v>
      </c>
      <c r="AD99" s="803" t="s">
        <v>1176</v>
      </c>
      <c r="AE99" s="518" t="s">
        <v>1175</v>
      </c>
      <c r="AF99" s="803" t="s">
        <v>1176</v>
      </c>
      <c r="AG99" s="74"/>
      <c r="AH99" s="74"/>
      <c r="AI99" s="74"/>
      <c r="AJ99" s="74"/>
      <c r="AK99" s="74"/>
      <c r="AL99" s="74"/>
      <c r="AM99" s="74"/>
      <c r="AN99" s="74"/>
      <c r="AO99" s="74"/>
      <c r="AP99" s="74"/>
      <c r="AQ99" s="74"/>
      <c r="AR99" s="74"/>
      <c r="AS99" s="74"/>
      <c r="AT99" s="74"/>
      <c r="AU99" s="74"/>
      <c r="AV99" s="74"/>
      <c r="AW99" s="74"/>
      <c r="AX99" s="74"/>
      <c r="AY99" s="74"/>
      <c r="AZ99" s="74"/>
      <c r="BA99" s="74"/>
      <c r="BB99" s="74"/>
      <c r="BC99" s="74"/>
      <c r="BD99" s="74"/>
      <c r="BE99" s="74"/>
      <c r="BF99" s="74"/>
      <c r="BG99" s="74"/>
      <c r="BH99" s="74"/>
      <c r="BI99" s="74"/>
      <c r="BJ99" s="74"/>
      <c r="BK99" s="74"/>
      <c r="BL99" s="74"/>
      <c r="BM99" s="74"/>
      <c r="BN99" s="74"/>
      <c r="BO99" s="74"/>
    </row>
    <row r="100" spans="1:67" ht="36" customHeight="1" x14ac:dyDescent="0.25">
      <c r="A100" s="804" t="s">
        <v>1224</v>
      </c>
      <c r="B100" s="863" t="s">
        <v>842</v>
      </c>
      <c r="C100" s="864" t="e">
        <f>C102+C104+C106+C111</f>
        <v>#VALUE!</v>
      </c>
      <c r="D100" s="841">
        <f>'Ввод исходных данных'!Y235*1000</f>
        <v>0</v>
      </c>
      <c r="E100" s="74"/>
      <c r="F100" s="74"/>
      <c r="G100" s="808" t="s">
        <v>1225</v>
      </c>
      <c r="H100" s="865" t="s">
        <v>842</v>
      </c>
      <c r="I100" s="810" t="e">
        <f>I102+I104+I106+I111</f>
        <v>#N/A</v>
      </c>
      <c r="J100" s="866">
        <f>'Ввод исходных данных'!$Y$223*1000</f>
        <v>0</v>
      </c>
      <c r="K100" s="810" t="e">
        <f>K102+K104+K106+K111</f>
        <v>#N/A</v>
      </c>
      <c r="L100" s="866">
        <f>'Ввод исходных данных'!$Y$224*1000</f>
        <v>0</v>
      </c>
      <c r="M100" s="810" t="e">
        <f>M102+M104+M106+M111</f>
        <v>#N/A</v>
      </c>
      <c r="N100" s="866">
        <f>'Ввод исходных данных'!$Y$225*1000</f>
        <v>0</v>
      </c>
      <c r="O100" s="810" t="e">
        <f>O102+O104+O106+O111</f>
        <v>#N/A</v>
      </c>
      <c r="P100" s="866">
        <f>'Ввод исходных данных'!$Y$226*1000</f>
        <v>0</v>
      </c>
      <c r="Q100" s="810" t="e">
        <f>Q102+Q104+Q106+Q111</f>
        <v>#N/A</v>
      </c>
      <c r="R100" s="866">
        <f>'Ввод исходных данных'!$Y$227*1000</f>
        <v>0</v>
      </c>
      <c r="S100" s="810" t="e">
        <f>S102+S104+S106+S111</f>
        <v>#N/A</v>
      </c>
      <c r="T100" s="866">
        <f>'Ввод исходных данных'!$Y$228*1000</f>
        <v>0</v>
      </c>
      <c r="U100" s="810" t="e">
        <f>U102+U104+U106+U111</f>
        <v>#N/A</v>
      </c>
      <c r="V100" s="866">
        <f>'Ввод исходных данных'!$Y$229*1000</f>
        <v>0</v>
      </c>
      <c r="W100" s="810" t="e">
        <f>W102+W104+W106+W111</f>
        <v>#N/A</v>
      </c>
      <c r="X100" s="866">
        <f>'Ввод исходных данных'!$Y$230*1000</f>
        <v>0</v>
      </c>
      <c r="Y100" s="810" t="e">
        <f>Y102+Y104+Y106+Y111</f>
        <v>#N/A</v>
      </c>
      <c r="Z100" s="866">
        <f>'Ввод исходных данных'!$Y$231*1000</f>
        <v>0</v>
      </c>
      <c r="AA100" s="810" t="e">
        <f>AA102+AA104+AA106+AA111</f>
        <v>#N/A</v>
      </c>
      <c r="AB100" s="866">
        <f>'Ввод исходных данных'!$Y$232*1000</f>
        <v>0</v>
      </c>
      <c r="AC100" s="810" t="e">
        <f>AC102+AC104+AC106+AC111</f>
        <v>#N/A</v>
      </c>
      <c r="AD100" s="866">
        <f>'Ввод исходных данных'!$Y$233*1000</f>
        <v>0</v>
      </c>
      <c r="AE100" s="810" t="e">
        <f>AE102+AE104+AE106+AE111</f>
        <v>#N/A</v>
      </c>
      <c r="AF100" s="866">
        <f>'Ввод исходных данных'!$Y$234*1000</f>
        <v>0</v>
      </c>
      <c r="AG100" s="74"/>
      <c r="AH100" s="74"/>
      <c r="AI100" s="74"/>
      <c r="AJ100" s="74"/>
      <c r="AK100" s="74"/>
      <c r="AL100" s="74"/>
      <c r="AM100" s="74"/>
      <c r="AN100" s="74"/>
      <c r="AO100" s="74"/>
      <c r="AP100" s="74"/>
      <c r="AQ100" s="74"/>
      <c r="AR100" s="74"/>
      <c r="AS100" s="74"/>
      <c r="AT100" s="74"/>
      <c r="AU100" s="74"/>
      <c r="AV100" s="74"/>
      <c r="AW100" s="74"/>
      <c r="AX100" s="74"/>
      <c r="AY100" s="74"/>
      <c r="AZ100" s="74"/>
      <c r="BA100" s="74"/>
      <c r="BB100" s="74"/>
      <c r="BC100" s="74"/>
      <c r="BD100" s="74"/>
      <c r="BE100" s="74"/>
      <c r="BF100" s="74"/>
      <c r="BG100" s="74"/>
      <c r="BH100" s="74"/>
      <c r="BI100" s="74"/>
      <c r="BJ100" s="74"/>
      <c r="BK100" s="74"/>
      <c r="BL100" s="74"/>
      <c r="BM100" s="74"/>
      <c r="BN100" s="74"/>
      <c r="BO100" s="74"/>
    </row>
    <row r="101" spans="1:67" ht="18.95" customHeight="1" x14ac:dyDescent="0.25">
      <c r="A101" s="867" t="s">
        <v>874</v>
      </c>
      <c r="B101" s="868" t="s">
        <v>1181</v>
      </c>
      <c r="C101" s="869" t="e">
        <f>C100/$C$100</f>
        <v>#VALUE!</v>
      </c>
      <c r="D101" s="870" t="e">
        <f>D100/$D$100</f>
        <v>#DIV/0!</v>
      </c>
      <c r="E101" s="74"/>
      <c r="F101" s="74"/>
      <c r="G101" s="871" t="s">
        <v>874</v>
      </c>
      <c r="H101" s="872" t="s">
        <v>1181</v>
      </c>
      <c r="I101" s="873" t="e">
        <f>I103+I105+I107+I112</f>
        <v>#N/A</v>
      </c>
      <c r="J101" s="874" t="e">
        <f>J103+J105+J107+J112</f>
        <v>#DIV/0!</v>
      </c>
      <c r="K101" s="873" t="e">
        <f>K103+K105+K107+K112</f>
        <v>#N/A</v>
      </c>
      <c r="L101" s="874" t="e">
        <f>L103+L105+L107+L112</f>
        <v>#DIV/0!</v>
      </c>
      <c r="M101" s="873" t="e">
        <f>M103+M105+M107+M112</f>
        <v>#N/A</v>
      </c>
      <c r="N101" s="874" t="e">
        <f>N103+N105+N107+N112</f>
        <v>#DIV/0!</v>
      </c>
      <c r="O101" s="873" t="e">
        <f>O103+O105+O107+O112</f>
        <v>#N/A</v>
      </c>
      <c r="P101" s="874" t="e">
        <f>P103+P105+P107+P112</f>
        <v>#DIV/0!</v>
      </c>
      <c r="Q101" s="873" t="e">
        <f>Q103+Q105+Q107+Q112</f>
        <v>#N/A</v>
      </c>
      <c r="R101" s="874" t="e">
        <f>R103+R105+R107+R112</f>
        <v>#DIV/0!</v>
      </c>
      <c r="S101" s="873" t="e">
        <f>S103+S105+S107+S112</f>
        <v>#N/A</v>
      </c>
      <c r="T101" s="874" t="e">
        <f>T103+T105+T107+T112</f>
        <v>#DIV/0!</v>
      </c>
      <c r="U101" s="873" t="e">
        <f>U103+U105+U107+U112</f>
        <v>#N/A</v>
      </c>
      <c r="V101" s="874" t="e">
        <f>V103+V105+V107+V112</f>
        <v>#DIV/0!</v>
      </c>
      <c r="W101" s="873" t="e">
        <f>W103+W105+W107+W112</f>
        <v>#N/A</v>
      </c>
      <c r="X101" s="874" t="e">
        <f>X103+X105+X107+X112</f>
        <v>#DIV/0!</v>
      </c>
      <c r="Y101" s="873" t="e">
        <f>Y103+Y105+Y107+Y112</f>
        <v>#N/A</v>
      </c>
      <c r="Z101" s="874" t="e">
        <f>Z103+Z105+Z107+Z112</f>
        <v>#DIV/0!</v>
      </c>
      <c r="AA101" s="873" t="e">
        <f>AA103+AA105+AA107+AA112</f>
        <v>#N/A</v>
      </c>
      <c r="AB101" s="874" t="e">
        <f>AB103+AB105+AB107+AB112</f>
        <v>#DIV/0!</v>
      </c>
      <c r="AC101" s="873" t="e">
        <f>AC103+AC105+AC107+AC112</f>
        <v>#N/A</v>
      </c>
      <c r="AD101" s="874" t="e">
        <f>AD103+AD105+AD107+AD112</f>
        <v>#DIV/0!</v>
      </c>
      <c r="AE101" s="618"/>
      <c r="AF101" s="875"/>
      <c r="AG101" s="74"/>
      <c r="AH101" s="74"/>
      <c r="AI101" s="74"/>
      <c r="AJ101" s="74"/>
      <c r="AK101" s="74"/>
      <c r="AL101" s="74"/>
      <c r="AM101" s="74"/>
      <c r="AN101" s="74"/>
      <c r="AO101" s="74"/>
      <c r="AP101" s="74"/>
      <c r="AQ101" s="74"/>
      <c r="AR101" s="74"/>
      <c r="AS101" s="74"/>
      <c r="AT101" s="74"/>
      <c r="AU101" s="74"/>
      <c r="AV101" s="74"/>
      <c r="AW101" s="74"/>
      <c r="AX101" s="74"/>
      <c r="AY101" s="74"/>
      <c r="AZ101" s="74"/>
      <c r="BA101" s="74"/>
      <c r="BB101" s="74"/>
      <c r="BC101" s="74"/>
      <c r="BD101" s="74"/>
      <c r="BE101" s="74"/>
      <c r="BF101" s="74"/>
      <c r="BG101" s="74"/>
      <c r="BH101" s="74"/>
      <c r="BI101" s="74"/>
      <c r="BJ101" s="74"/>
      <c r="BK101" s="74"/>
      <c r="BL101" s="74"/>
      <c r="BM101" s="74"/>
      <c r="BN101" s="74"/>
      <c r="BO101" s="74"/>
    </row>
    <row r="102" spans="1:67" ht="21" customHeight="1" x14ac:dyDescent="0.25">
      <c r="A102" s="876" t="s">
        <v>1226</v>
      </c>
      <c r="B102" s="877" t="s">
        <v>842</v>
      </c>
      <c r="C102" s="878">
        <f>SUM('Система электроснабжения'!B18:B22)</f>
        <v>0</v>
      </c>
      <c r="D102" s="879">
        <f>'Ввод исходных данных'!Z235*1000</f>
        <v>0</v>
      </c>
      <c r="E102" s="74"/>
      <c r="F102" s="74"/>
      <c r="G102" s="880" t="s">
        <v>1226</v>
      </c>
      <c r="H102" s="881" t="s">
        <v>842</v>
      </c>
      <c r="I102" s="882">
        <f>$C$102/12</f>
        <v>0</v>
      </c>
      <c r="J102" s="875">
        <f>'Ввод исходных данных'!$Z$223*1000</f>
        <v>0</v>
      </c>
      <c r="K102" s="882">
        <f>$C$102/12</f>
        <v>0</v>
      </c>
      <c r="L102" s="875">
        <f>'Ввод исходных данных'!$Z$224*1000</f>
        <v>0</v>
      </c>
      <c r="M102" s="882">
        <f>$C$102/12</f>
        <v>0</v>
      </c>
      <c r="N102" s="875">
        <f>'Ввод исходных данных'!$Z$225*1000</f>
        <v>0</v>
      </c>
      <c r="O102" s="882">
        <f>$C$102/12</f>
        <v>0</v>
      </c>
      <c r="P102" s="875">
        <f>'Ввод исходных данных'!$Z$226*1000</f>
        <v>0</v>
      </c>
      <c r="Q102" s="882">
        <f>$C$102/12</f>
        <v>0</v>
      </c>
      <c r="R102" s="875">
        <f>'Ввод исходных данных'!$Z$227*1000</f>
        <v>0</v>
      </c>
      <c r="S102" s="882">
        <f>$C$102/12</f>
        <v>0</v>
      </c>
      <c r="T102" s="875">
        <f>'Ввод исходных данных'!$Z$228*1000</f>
        <v>0</v>
      </c>
      <c r="U102" s="882">
        <f>$C$102/12</f>
        <v>0</v>
      </c>
      <c r="V102" s="875">
        <f>'Ввод исходных данных'!$Z$229*1000</f>
        <v>0</v>
      </c>
      <c r="W102" s="882">
        <f>$C$102/12</f>
        <v>0</v>
      </c>
      <c r="X102" s="875">
        <f>'Ввод исходных данных'!$Z$230*1000</f>
        <v>0</v>
      </c>
      <c r="Y102" s="882">
        <f>$C$102/12</f>
        <v>0</v>
      </c>
      <c r="Z102" s="875">
        <f>'Ввод исходных данных'!$Z$231*1000</f>
        <v>0</v>
      </c>
      <c r="AA102" s="882">
        <f>$C$102/12</f>
        <v>0</v>
      </c>
      <c r="AB102" s="875">
        <f>'Ввод исходных данных'!$Z$232*1000</f>
        <v>0</v>
      </c>
      <c r="AC102" s="882">
        <f>$C$102/12</f>
        <v>0</v>
      </c>
      <c r="AD102" s="875">
        <f>'Ввод исходных данных'!$Z$233*1000</f>
        <v>0</v>
      </c>
      <c r="AE102" s="882">
        <f>$C$102/12</f>
        <v>0</v>
      </c>
      <c r="AF102" s="875">
        <f>'Ввод исходных данных'!$Z$234*1000</f>
        <v>0</v>
      </c>
      <c r="AG102" s="74"/>
      <c r="AH102" s="74"/>
      <c r="AI102" s="74"/>
      <c r="AJ102" s="74"/>
      <c r="AK102" s="74"/>
      <c r="AL102" s="74"/>
      <c r="AM102" s="74"/>
      <c r="AN102" s="74"/>
      <c r="AO102" s="74"/>
      <c r="AP102" s="74"/>
      <c r="AQ102" s="74"/>
      <c r="AR102" s="74"/>
      <c r="AS102" s="74"/>
      <c r="AT102" s="74"/>
      <c r="AU102" s="74"/>
      <c r="AV102" s="74"/>
      <c r="AW102" s="74"/>
      <c r="AX102" s="74"/>
      <c r="AY102" s="74"/>
      <c r="AZ102" s="74"/>
      <c r="BA102" s="74"/>
      <c r="BB102" s="74"/>
      <c r="BC102" s="74"/>
      <c r="BD102" s="74"/>
      <c r="BE102" s="74"/>
      <c r="BF102" s="74"/>
      <c r="BG102" s="74"/>
      <c r="BH102" s="74"/>
      <c r="BI102" s="74"/>
      <c r="BJ102" s="74"/>
      <c r="BK102" s="74"/>
      <c r="BL102" s="74"/>
      <c r="BM102" s="74"/>
      <c r="BN102" s="74"/>
      <c r="BO102" s="74"/>
    </row>
    <row r="103" spans="1:67" x14ac:dyDescent="0.25">
      <c r="A103" s="358" t="s">
        <v>874</v>
      </c>
      <c r="B103" s="877" t="s">
        <v>1181</v>
      </c>
      <c r="C103" s="883" t="e">
        <f>C102/$C$100</f>
        <v>#VALUE!</v>
      </c>
      <c r="D103" s="884" t="e">
        <f>D102/$D$100</f>
        <v>#DIV/0!</v>
      </c>
      <c r="E103" s="74"/>
      <c r="F103" s="74"/>
      <c r="G103" s="539" t="s">
        <v>874</v>
      </c>
      <c r="H103" s="881" t="s">
        <v>1181</v>
      </c>
      <c r="I103" s="882" t="e">
        <f t="shared" ref="I103:AF103" si="194">(I102/I100)*100</f>
        <v>#N/A</v>
      </c>
      <c r="J103" s="885" t="e">
        <f t="shared" si="194"/>
        <v>#DIV/0!</v>
      </c>
      <c r="K103" s="886" t="e">
        <f t="shared" si="194"/>
        <v>#N/A</v>
      </c>
      <c r="L103" s="887" t="e">
        <f t="shared" si="194"/>
        <v>#DIV/0!</v>
      </c>
      <c r="M103" s="886" t="e">
        <f t="shared" si="194"/>
        <v>#N/A</v>
      </c>
      <c r="N103" s="887" t="e">
        <f t="shared" si="194"/>
        <v>#DIV/0!</v>
      </c>
      <c r="O103" s="886" t="e">
        <f t="shared" si="194"/>
        <v>#N/A</v>
      </c>
      <c r="P103" s="887" t="e">
        <f t="shared" si="194"/>
        <v>#DIV/0!</v>
      </c>
      <c r="Q103" s="886" t="e">
        <f t="shared" si="194"/>
        <v>#N/A</v>
      </c>
      <c r="R103" s="887" t="e">
        <f t="shared" si="194"/>
        <v>#DIV/0!</v>
      </c>
      <c r="S103" s="886" t="e">
        <f t="shared" si="194"/>
        <v>#N/A</v>
      </c>
      <c r="T103" s="887" t="e">
        <f t="shared" si="194"/>
        <v>#DIV/0!</v>
      </c>
      <c r="U103" s="886" t="e">
        <f t="shared" si="194"/>
        <v>#N/A</v>
      </c>
      <c r="V103" s="887" t="e">
        <f t="shared" si="194"/>
        <v>#DIV/0!</v>
      </c>
      <c r="W103" s="886" t="e">
        <f t="shared" si="194"/>
        <v>#N/A</v>
      </c>
      <c r="X103" s="887" t="e">
        <f t="shared" si="194"/>
        <v>#DIV/0!</v>
      </c>
      <c r="Y103" s="886" t="e">
        <f t="shared" si="194"/>
        <v>#N/A</v>
      </c>
      <c r="Z103" s="887" t="e">
        <f t="shared" si="194"/>
        <v>#DIV/0!</v>
      </c>
      <c r="AA103" s="886" t="e">
        <f t="shared" si="194"/>
        <v>#N/A</v>
      </c>
      <c r="AB103" s="887" t="e">
        <f t="shared" si="194"/>
        <v>#DIV/0!</v>
      </c>
      <c r="AC103" s="886" t="e">
        <f t="shared" si="194"/>
        <v>#N/A</v>
      </c>
      <c r="AD103" s="887" t="e">
        <f t="shared" si="194"/>
        <v>#DIV/0!</v>
      </c>
      <c r="AE103" s="886" t="e">
        <f t="shared" si="194"/>
        <v>#N/A</v>
      </c>
      <c r="AF103" s="887" t="e">
        <f t="shared" si="194"/>
        <v>#DIV/0!</v>
      </c>
      <c r="AG103" s="74"/>
      <c r="AH103" s="74"/>
      <c r="AI103" s="74"/>
      <c r="AJ103" s="74"/>
      <c r="AK103" s="74"/>
      <c r="AL103" s="74"/>
      <c r="AM103" s="74"/>
      <c r="AN103" s="74"/>
      <c r="AO103" s="74"/>
      <c r="AP103" s="74"/>
      <c r="AQ103" s="74"/>
      <c r="AR103" s="74"/>
      <c r="AS103" s="74"/>
      <c r="AT103" s="74"/>
      <c r="AU103" s="74"/>
      <c r="AV103" s="74"/>
      <c r="AW103" s="74"/>
      <c r="AX103" s="74"/>
      <c r="AY103" s="74"/>
      <c r="AZ103" s="74"/>
      <c r="BA103" s="74"/>
      <c r="BB103" s="74"/>
      <c r="BC103" s="74"/>
      <c r="BD103" s="74"/>
      <c r="BE103" s="74"/>
      <c r="BF103" s="74"/>
      <c r="BG103" s="74"/>
      <c r="BH103" s="74"/>
      <c r="BI103" s="74"/>
      <c r="BJ103" s="74"/>
      <c r="BK103" s="74"/>
      <c r="BL103" s="74"/>
      <c r="BM103" s="74"/>
      <c r="BN103" s="74"/>
      <c r="BO103" s="74"/>
    </row>
    <row r="104" spans="1:67" x14ac:dyDescent="0.25">
      <c r="A104" s="876" t="s">
        <v>1233</v>
      </c>
      <c r="B104" s="877" t="s">
        <v>842</v>
      </c>
      <c r="C104" s="878">
        <f>'Ввод исходных данных'!D140*'Ввод исходных данных'!D141</f>
        <v>0</v>
      </c>
      <c r="D104" s="879">
        <f>'Ввод исходных данных'!AA235*1000</f>
        <v>0</v>
      </c>
      <c r="E104" s="74"/>
      <c r="F104" s="74"/>
      <c r="G104" s="880" t="s">
        <v>1233</v>
      </c>
      <c r="H104" s="881" t="s">
        <v>842</v>
      </c>
      <c r="I104" s="888">
        <f>C104/12</f>
        <v>0</v>
      </c>
      <c r="J104" s="615">
        <f>'Ввод исходных данных'!$AA$223*1000</f>
        <v>0</v>
      </c>
      <c r="K104" s="888">
        <f>I104</f>
        <v>0</v>
      </c>
      <c r="L104" s="615">
        <f>'Ввод исходных данных'!$AA$224*1000</f>
        <v>0</v>
      </c>
      <c r="M104" s="888">
        <f>K104</f>
        <v>0</v>
      </c>
      <c r="N104" s="615">
        <f>'Ввод исходных данных'!$AA$225*1000</f>
        <v>0</v>
      </c>
      <c r="O104" s="888">
        <f>M104</f>
        <v>0</v>
      </c>
      <c r="P104" s="615">
        <f>'Ввод исходных данных'!$AA$226*1000</f>
        <v>0</v>
      </c>
      <c r="Q104" s="888">
        <f>O104</f>
        <v>0</v>
      </c>
      <c r="R104" s="615">
        <f>'Ввод исходных данных'!$AA$227*1000</f>
        <v>0</v>
      </c>
      <c r="S104" s="888">
        <f>Q104</f>
        <v>0</v>
      </c>
      <c r="T104" s="615">
        <f>'Ввод исходных данных'!$AA$228*1000</f>
        <v>0</v>
      </c>
      <c r="U104" s="888">
        <f>S104</f>
        <v>0</v>
      </c>
      <c r="V104" s="615">
        <f>'Ввод исходных данных'!$AA$229*1000</f>
        <v>0</v>
      </c>
      <c r="W104" s="888">
        <f>U104</f>
        <v>0</v>
      </c>
      <c r="X104" s="615">
        <f>'Ввод исходных данных'!$AA$230*1000</f>
        <v>0</v>
      </c>
      <c r="Y104" s="888">
        <f>W104</f>
        <v>0</v>
      </c>
      <c r="Z104" s="615">
        <f>'Ввод исходных данных'!$AA$231*1000</f>
        <v>0</v>
      </c>
      <c r="AA104" s="888">
        <f>Y104</f>
        <v>0</v>
      </c>
      <c r="AB104" s="615">
        <f>'Ввод исходных данных'!$AA$232*1000</f>
        <v>0</v>
      </c>
      <c r="AC104" s="888">
        <f>AA104</f>
        <v>0</v>
      </c>
      <c r="AD104" s="615">
        <f>'Ввод исходных данных'!$AA$233*1000</f>
        <v>0</v>
      </c>
      <c r="AE104" s="888">
        <f>AC104</f>
        <v>0</v>
      </c>
      <c r="AF104" s="615">
        <f>'Ввод исходных данных'!$AA$234*1000</f>
        <v>0</v>
      </c>
      <c r="AG104" s="74"/>
      <c r="AH104" s="74"/>
      <c r="AI104" s="74"/>
      <c r="AJ104" s="74"/>
      <c r="AK104" s="74"/>
      <c r="AL104" s="74"/>
      <c r="AM104" s="74"/>
      <c r="AN104" s="74"/>
      <c r="AO104" s="74"/>
      <c r="AP104" s="74"/>
      <c r="AQ104" s="74"/>
      <c r="AR104" s="74"/>
      <c r="AS104" s="74"/>
      <c r="AT104" s="74"/>
      <c r="AU104" s="74"/>
      <c r="AV104" s="74"/>
      <c r="AW104" s="74"/>
      <c r="AX104" s="74"/>
      <c r="AY104" s="74"/>
      <c r="AZ104" s="74"/>
      <c r="BA104" s="74"/>
      <c r="BB104" s="74"/>
      <c r="BC104" s="74"/>
      <c r="BD104" s="74"/>
      <c r="BE104" s="74"/>
      <c r="BF104" s="74"/>
      <c r="BG104" s="74"/>
      <c r="BH104" s="74"/>
      <c r="BI104" s="74"/>
      <c r="BJ104" s="74"/>
      <c r="BK104" s="74"/>
      <c r="BL104" s="74"/>
      <c r="BM104" s="74"/>
      <c r="BN104" s="74"/>
      <c r="BO104" s="74"/>
    </row>
    <row r="105" spans="1:67" x14ac:dyDescent="0.25">
      <c r="A105" s="358" t="s">
        <v>874</v>
      </c>
      <c r="B105" s="877" t="s">
        <v>1181</v>
      </c>
      <c r="C105" s="883" t="e">
        <f>C104/$C$100</f>
        <v>#VALUE!</v>
      </c>
      <c r="D105" s="884" t="e">
        <f>D104/$D$100</f>
        <v>#DIV/0!</v>
      </c>
      <c r="E105" s="74"/>
      <c r="F105" s="74"/>
      <c r="G105" s="539" t="s">
        <v>874</v>
      </c>
      <c r="H105" s="881" t="s">
        <v>1181</v>
      </c>
      <c r="I105" s="882" t="e">
        <f t="shared" ref="I105:AF105" si="195">(I104/I100)*100</f>
        <v>#N/A</v>
      </c>
      <c r="J105" s="885" t="e">
        <f t="shared" si="195"/>
        <v>#DIV/0!</v>
      </c>
      <c r="K105" s="886" t="e">
        <f t="shared" si="195"/>
        <v>#N/A</v>
      </c>
      <c r="L105" s="887" t="e">
        <f t="shared" si="195"/>
        <v>#DIV/0!</v>
      </c>
      <c r="M105" s="886" t="e">
        <f t="shared" si="195"/>
        <v>#N/A</v>
      </c>
      <c r="N105" s="887" t="e">
        <f t="shared" si="195"/>
        <v>#DIV/0!</v>
      </c>
      <c r="O105" s="886" t="e">
        <f t="shared" si="195"/>
        <v>#N/A</v>
      </c>
      <c r="P105" s="887" t="e">
        <f t="shared" si="195"/>
        <v>#DIV/0!</v>
      </c>
      <c r="Q105" s="886" t="e">
        <f t="shared" si="195"/>
        <v>#N/A</v>
      </c>
      <c r="R105" s="887" t="e">
        <f t="shared" si="195"/>
        <v>#DIV/0!</v>
      </c>
      <c r="S105" s="886" t="e">
        <f t="shared" si="195"/>
        <v>#N/A</v>
      </c>
      <c r="T105" s="887" t="e">
        <f t="shared" si="195"/>
        <v>#DIV/0!</v>
      </c>
      <c r="U105" s="886" t="e">
        <f t="shared" si="195"/>
        <v>#N/A</v>
      </c>
      <c r="V105" s="887" t="e">
        <f t="shared" si="195"/>
        <v>#DIV/0!</v>
      </c>
      <c r="W105" s="886" t="e">
        <f t="shared" si="195"/>
        <v>#N/A</v>
      </c>
      <c r="X105" s="887" t="e">
        <f t="shared" si="195"/>
        <v>#DIV/0!</v>
      </c>
      <c r="Y105" s="886" t="e">
        <f t="shared" si="195"/>
        <v>#N/A</v>
      </c>
      <c r="Z105" s="887" t="e">
        <f t="shared" si="195"/>
        <v>#DIV/0!</v>
      </c>
      <c r="AA105" s="886" t="e">
        <f t="shared" si="195"/>
        <v>#N/A</v>
      </c>
      <c r="AB105" s="887" t="e">
        <f t="shared" si="195"/>
        <v>#DIV/0!</v>
      </c>
      <c r="AC105" s="886" t="e">
        <f t="shared" si="195"/>
        <v>#N/A</v>
      </c>
      <c r="AD105" s="887" t="e">
        <f t="shared" si="195"/>
        <v>#DIV/0!</v>
      </c>
      <c r="AE105" s="886" t="e">
        <f t="shared" si="195"/>
        <v>#N/A</v>
      </c>
      <c r="AF105" s="887" t="e">
        <f t="shared" si="195"/>
        <v>#DIV/0!</v>
      </c>
      <c r="AG105" s="74"/>
      <c r="AH105" s="74"/>
      <c r="AI105" s="74"/>
      <c r="AJ105" s="74"/>
      <c r="AK105" s="74"/>
      <c r="AL105" s="74"/>
      <c r="AM105" s="74"/>
      <c r="AN105" s="74"/>
      <c r="AO105" s="74"/>
      <c r="AP105" s="74"/>
      <c r="AQ105" s="74"/>
      <c r="AR105" s="74"/>
      <c r="AS105" s="74"/>
      <c r="AT105" s="74"/>
      <c r="AU105" s="74"/>
      <c r="AV105" s="74"/>
      <c r="AW105" s="74"/>
      <c r="AX105" s="74"/>
      <c r="AY105" s="74"/>
      <c r="AZ105" s="74"/>
      <c r="BA105" s="74"/>
      <c r="BB105" s="74"/>
      <c r="BC105" s="74"/>
      <c r="BD105" s="74"/>
      <c r="BE105" s="74"/>
      <c r="BF105" s="74"/>
      <c r="BG105" s="74"/>
      <c r="BH105" s="74"/>
      <c r="BI105" s="74"/>
      <c r="BJ105" s="74"/>
      <c r="BK105" s="74"/>
      <c r="BL105" s="74"/>
      <c r="BM105" s="74"/>
      <c r="BN105" s="74"/>
      <c r="BO105" s="74"/>
    </row>
    <row r="106" spans="1:67" x14ac:dyDescent="0.25">
      <c r="A106" s="876" t="s">
        <v>1235</v>
      </c>
      <c r="B106" s="877" t="s">
        <v>842</v>
      </c>
      <c r="C106" s="878" t="e">
        <f>C108+C109+C110</f>
        <v>#VALUE!</v>
      </c>
      <c r="D106" s="879">
        <f>'Ввод исходных данных'!AB235*1000</f>
        <v>0</v>
      </c>
      <c r="E106" s="74"/>
      <c r="F106" s="74"/>
      <c r="G106" s="880" t="s">
        <v>1234</v>
      </c>
      <c r="H106" s="881" t="s">
        <v>842</v>
      </c>
      <c r="I106" s="878" t="e">
        <f>I108+I109+I110</f>
        <v>#N/A</v>
      </c>
      <c r="J106" s="875">
        <f>'Ввод исходных данных'!$AB$223*1000</f>
        <v>0</v>
      </c>
      <c r="K106" s="878" t="e">
        <f>K108+K109+K110</f>
        <v>#N/A</v>
      </c>
      <c r="L106" s="875">
        <f>'Ввод исходных данных'!$AB$224*1000</f>
        <v>0</v>
      </c>
      <c r="M106" s="878" t="e">
        <f>M108+M109+M110</f>
        <v>#N/A</v>
      </c>
      <c r="N106" s="875">
        <f>'Ввод исходных данных'!$AB$225*1000</f>
        <v>0</v>
      </c>
      <c r="O106" s="878" t="e">
        <f>O108+O109+O110</f>
        <v>#N/A</v>
      </c>
      <c r="P106" s="875">
        <f>'Ввод исходных данных'!$AB$226*1000</f>
        <v>0</v>
      </c>
      <c r="Q106" s="878" t="e">
        <f>Q108+Q109+Q110</f>
        <v>#N/A</v>
      </c>
      <c r="R106" s="875">
        <f>'Ввод исходных данных'!$AB$227*1000</f>
        <v>0</v>
      </c>
      <c r="S106" s="878" t="e">
        <f>S108+S109+S110</f>
        <v>#N/A</v>
      </c>
      <c r="T106" s="875">
        <f>'Ввод исходных данных'!$AB$228*1000</f>
        <v>0</v>
      </c>
      <c r="U106" s="878" t="e">
        <f>U108+U109+U110</f>
        <v>#N/A</v>
      </c>
      <c r="V106" s="875">
        <f>'Ввод исходных данных'!$AB$229*1000</f>
        <v>0</v>
      </c>
      <c r="W106" s="878" t="e">
        <f>W108+W109+W110</f>
        <v>#N/A</v>
      </c>
      <c r="X106" s="875">
        <f>'Ввод исходных данных'!$AB$230*1000</f>
        <v>0</v>
      </c>
      <c r="Y106" s="878" t="e">
        <f>Y108+Y109+Y110</f>
        <v>#N/A</v>
      </c>
      <c r="Z106" s="875">
        <f>'Ввод исходных данных'!$AB$231*1000</f>
        <v>0</v>
      </c>
      <c r="AA106" s="878" t="e">
        <f>AA108+AA109+AA110</f>
        <v>#N/A</v>
      </c>
      <c r="AB106" s="875">
        <f>'Ввод исходных данных'!$AB$232*1000</f>
        <v>0</v>
      </c>
      <c r="AC106" s="878" t="e">
        <f>AC108+AC109+AC110</f>
        <v>#N/A</v>
      </c>
      <c r="AD106" s="875">
        <f>'Ввод исходных данных'!$AB$233*1000</f>
        <v>0</v>
      </c>
      <c r="AE106" s="888" t="e">
        <f>'Ввод исходных данных'!$D$146*'Расчет базового уровня'!$R$146*24+'Ввод исходных данных'!$D$150*'Расчет базового уровня'!$R$170*24+'Ввод исходных данных'!$D$154*'Расчет базового уровня'!$R$165*24</f>
        <v>#N/A</v>
      </c>
      <c r="AF106" s="875">
        <f>'Ввод исходных данных'!$AB$234*1000</f>
        <v>0</v>
      </c>
      <c r="AG106" s="74"/>
      <c r="AH106" s="74"/>
      <c r="AI106" s="74"/>
      <c r="AJ106" s="74"/>
      <c r="AK106" s="74"/>
      <c r="AL106" s="74"/>
      <c r="AM106" s="74"/>
      <c r="AN106" s="74"/>
      <c r="AO106" s="74"/>
      <c r="AP106" s="74"/>
      <c r="AQ106" s="74"/>
      <c r="AR106" s="74"/>
      <c r="AS106" s="74"/>
      <c r="AT106" s="74"/>
      <c r="AU106" s="74"/>
      <c r="AV106" s="74"/>
      <c r="AW106" s="74"/>
      <c r="AX106" s="74"/>
      <c r="AY106" s="74"/>
      <c r="AZ106" s="74"/>
      <c r="BA106" s="74"/>
      <c r="BB106" s="74"/>
      <c r="BC106" s="74"/>
      <c r="BD106" s="74"/>
      <c r="BE106" s="74"/>
      <c r="BF106" s="74"/>
      <c r="BG106" s="74"/>
      <c r="BH106" s="74"/>
      <c r="BI106" s="74"/>
      <c r="BJ106" s="74"/>
      <c r="BK106" s="74"/>
      <c r="BL106" s="74"/>
      <c r="BM106" s="74"/>
      <c r="BN106" s="74"/>
      <c r="BO106" s="74"/>
    </row>
    <row r="107" spans="1:67" ht="23.25" customHeight="1" x14ac:dyDescent="0.25">
      <c r="A107" s="358" t="s">
        <v>874</v>
      </c>
      <c r="B107" s="877" t="s">
        <v>1181</v>
      </c>
      <c r="C107" s="883" t="e">
        <f>C106/$C$100</f>
        <v>#VALUE!</v>
      </c>
      <c r="D107" s="884" t="e">
        <f>D106/$D$100</f>
        <v>#DIV/0!</v>
      </c>
      <c r="E107" s="74"/>
      <c r="F107" s="74"/>
      <c r="G107" s="539" t="s">
        <v>874</v>
      </c>
      <c r="H107" s="881" t="s">
        <v>1181</v>
      </c>
      <c r="I107" s="886" t="e">
        <f t="shared" ref="I107:AF107" si="196">(I106/I100)*100</f>
        <v>#N/A</v>
      </c>
      <c r="J107" s="887" t="e">
        <f t="shared" si="196"/>
        <v>#DIV/0!</v>
      </c>
      <c r="K107" s="886" t="e">
        <f t="shared" si="196"/>
        <v>#N/A</v>
      </c>
      <c r="L107" s="887" t="e">
        <f t="shared" si="196"/>
        <v>#DIV/0!</v>
      </c>
      <c r="M107" s="886" t="e">
        <f t="shared" si="196"/>
        <v>#N/A</v>
      </c>
      <c r="N107" s="887" t="e">
        <f t="shared" si="196"/>
        <v>#DIV/0!</v>
      </c>
      <c r="O107" s="886" t="e">
        <f t="shared" si="196"/>
        <v>#N/A</v>
      </c>
      <c r="P107" s="887" t="e">
        <f t="shared" si="196"/>
        <v>#DIV/0!</v>
      </c>
      <c r="Q107" s="886" t="e">
        <f t="shared" si="196"/>
        <v>#N/A</v>
      </c>
      <c r="R107" s="887" t="e">
        <f t="shared" si="196"/>
        <v>#DIV/0!</v>
      </c>
      <c r="S107" s="886" t="e">
        <f t="shared" si="196"/>
        <v>#N/A</v>
      </c>
      <c r="T107" s="887" t="e">
        <f t="shared" si="196"/>
        <v>#DIV/0!</v>
      </c>
      <c r="U107" s="886" t="e">
        <f t="shared" si="196"/>
        <v>#N/A</v>
      </c>
      <c r="V107" s="887" t="e">
        <f t="shared" si="196"/>
        <v>#DIV/0!</v>
      </c>
      <c r="W107" s="886" t="e">
        <f t="shared" si="196"/>
        <v>#N/A</v>
      </c>
      <c r="X107" s="887" t="e">
        <f t="shared" si="196"/>
        <v>#DIV/0!</v>
      </c>
      <c r="Y107" s="886" t="e">
        <f t="shared" si="196"/>
        <v>#N/A</v>
      </c>
      <c r="Z107" s="887" t="e">
        <f t="shared" si="196"/>
        <v>#DIV/0!</v>
      </c>
      <c r="AA107" s="886" t="e">
        <f t="shared" si="196"/>
        <v>#N/A</v>
      </c>
      <c r="AB107" s="887" t="e">
        <f t="shared" si="196"/>
        <v>#DIV/0!</v>
      </c>
      <c r="AC107" s="886" t="e">
        <f t="shared" si="196"/>
        <v>#N/A</v>
      </c>
      <c r="AD107" s="887" t="e">
        <f t="shared" si="196"/>
        <v>#DIV/0!</v>
      </c>
      <c r="AE107" s="886" t="e">
        <f t="shared" si="196"/>
        <v>#N/A</v>
      </c>
      <c r="AF107" s="887" t="e">
        <f t="shared" si="196"/>
        <v>#DIV/0!</v>
      </c>
      <c r="AG107" s="74"/>
      <c r="AH107" s="74"/>
      <c r="AI107" s="74"/>
      <c r="AJ107" s="74"/>
      <c r="AK107" s="74"/>
      <c r="AL107" s="74"/>
      <c r="AM107" s="74"/>
      <c r="AN107" s="74"/>
      <c r="AO107" s="74"/>
      <c r="AP107" s="74"/>
      <c r="AQ107" s="74"/>
      <c r="AR107" s="74"/>
      <c r="AS107" s="74"/>
      <c r="AT107" s="74"/>
      <c r="AU107" s="74"/>
      <c r="AV107" s="74"/>
      <c r="AW107" s="74"/>
      <c r="AX107" s="74"/>
      <c r="AY107" s="74"/>
      <c r="AZ107" s="74"/>
      <c r="BA107" s="74"/>
      <c r="BB107" s="74"/>
      <c r="BC107" s="74"/>
      <c r="BD107" s="74"/>
      <c r="BE107" s="74"/>
      <c r="BF107" s="74"/>
      <c r="BG107" s="74"/>
      <c r="BH107" s="74"/>
      <c r="BI107" s="74"/>
      <c r="BJ107" s="74"/>
      <c r="BK107" s="74"/>
      <c r="BL107" s="74"/>
      <c r="BM107" s="74"/>
      <c r="BN107" s="74"/>
      <c r="BO107" s="74"/>
    </row>
    <row r="108" spans="1:67" ht="13.5" customHeight="1" x14ac:dyDescent="0.25">
      <c r="A108" s="358" t="s">
        <v>1350</v>
      </c>
      <c r="B108" s="877" t="s">
        <v>842</v>
      </c>
      <c r="C108" s="889" t="e">
        <f>'Ввод исходных данных'!D146*'Ввод исходных данных'!D147</f>
        <v>#VALUE!</v>
      </c>
      <c r="D108" s="890">
        <f>'Ввод исходных данных'!AC235*1000</f>
        <v>0</v>
      </c>
      <c r="E108" s="419"/>
      <c r="F108" s="74"/>
      <c r="G108" s="358" t="s">
        <v>1350</v>
      </c>
      <c r="H108" s="877" t="s">
        <v>842</v>
      </c>
      <c r="I108" s="886" t="e">
        <f>'Ввод исходных данных'!$D$146*'Расчет базового уровня'!$G$146*24</f>
        <v>#N/A</v>
      </c>
      <c r="J108" s="887"/>
      <c r="K108" s="886" t="e">
        <f>'Ввод исходных данных'!$D$146*'Расчет базового уровня'!$H$146*24</f>
        <v>#N/A</v>
      </c>
      <c r="L108" s="887"/>
      <c r="M108" s="886" t="e">
        <f>'Ввод исходных данных'!$D$146*'Расчет базового уровня'!$I$146*24</f>
        <v>#N/A</v>
      </c>
      <c r="N108" s="887"/>
      <c r="O108" s="888" t="e">
        <f>'Ввод исходных данных'!$D$146*'Расчет базового уровня'!$J$146*24</f>
        <v>#N/A</v>
      </c>
      <c r="P108" s="887"/>
      <c r="Q108" s="888" t="e">
        <f>'Ввод исходных данных'!$D$146*'Расчет базового уровня'!$K$146*24</f>
        <v>#N/A</v>
      </c>
      <c r="R108" s="887"/>
      <c r="S108" s="888" t="e">
        <f>'Ввод исходных данных'!$D$146*'Расчет базового уровня'!$L$146*24</f>
        <v>#N/A</v>
      </c>
      <c r="T108" s="887"/>
      <c r="U108" s="888" t="e">
        <f>'Ввод исходных данных'!$D$146*'Расчет базового уровня'!$M$146*24</f>
        <v>#N/A</v>
      </c>
      <c r="V108" s="887"/>
      <c r="W108" s="888" t="e">
        <f>'Ввод исходных данных'!$D$146*'Расчет базового уровня'!$N$146*24</f>
        <v>#N/A</v>
      </c>
      <c r="X108" s="887"/>
      <c r="Y108" s="888" t="e">
        <f>'Ввод исходных данных'!$D$146*'Расчет базового уровня'!$O$146*24</f>
        <v>#N/A</v>
      </c>
      <c r="Z108" s="887"/>
      <c r="AA108" s="888" t="e">
        <f>'Ввод исходных данных'!$D$146*'Расчет базового уровня'!$P$146*24</f>
        <v>#N/A</v>
      </c>
      <c r="AB108" s="887"/>
      <c r="AC108" s="888" t="e">
        <f>'Ввод исходных данных'!$D$146*'Расчет базового уровня'!$Q$146*24</f>
        <v>#N/A</v>
      </c>
      <c r="AD108" s="887"/>
      <c r="AE108" s="886" t="e">
        <f>'Ввод исходных данных'!$D$146*'Расчет базового уровня'!$R$146*24</f>
        <v>#N/A</v>
      </c>
      <c r="AF108" s="887"/>
      <c r="AG108" s="74"/>
      <c r="AH108" s="74"/>
      <c r="AI108" s="74"/>
      <c r="AJ108" s="74"/>
      <c r="AK108" s="74"/>
      <c r="AL108" s="74"/>
      <c r="AM108" s="74"/>
      <c r="AN108" s="74"/>
      <c r="AO108" s="74"/>
      <c r="AP108" s="74"/>
      <c r="AQ108" s="74"/>
      <c r="AR108" s="74"/>
      <c r="AS108" s="74"/>
      <c r="AT108" s="74"/>
      <c r="AU108" s="74"/>
      <c r="AV108" s="74"/>
      <c r="AW108" s="74"/>
      <c r="AX108" s="74"/>
      <c r="AY108" s="74"/>
      <c r="AZ108" s="74"/>
      <c r="BA108" s="74"/>
      <c r="BB108" s="74"/>
      <c r="BC108" s="74"/>
      <c r="BD108" s="74"/>
      <c r="BE108" s="74"/>
      <c r="BF108" s="74"/>
      <c r="BG108" s="74"/>
      <c r="BH108" s="74"/>
      <c r="BI108" s="74"/>
      <c r="BJ108" s="74"/>
      <c r="BK108" s="74"/>
      <c r="BL108" s="74"/>
      <c r="BM108" s="74"/>
      <c r="BN108" s="74"/>
      <c r="BO108" s="74"/>
    </row>
    <row r="109" spans="1:67" ht="13.5" customHeight="1" x14ac:dyDescent="0.25">
      <c r="A109" s="358" t="s">
        <v>1410</v>
      </c>
      <c r="B109" s="877" t="s">
        <v>842</v>
      </c>
      <c r="C109" s="889">
        <f>'Ввод исходных данных'!D150*'Ввод исходных данных'!D151</f>
        <v>0</v>
      </c>
      <c r="D109" s="890">
        <f>'Ввод исходных данных'!AD235*1000</f>
        <v>0</v>
      </c>
      <c r="E109" s="74"/>
      <c r="F109" s="74"/>
      <c r="G109" s="358" t="s">
        <v>1410</v>
      </c>
      <c r="H109" s="877" t="s">
        <v>842</v>
      </c>
      <c r="I109" s="886">
        <f>'Ввод исходных данных'!$D$150*'Расчет базового уровня'!$G$170*24</f>
        <v>0</v>
      </c>
      <c r="J109" s="887"/>
      <c r="K109" s="886">
        <f>'Ввод исходных данных'!$D$150*'Расчет базового уровня'!$H$170*24</f>
        <v>0</v>
      </c>
      <c r="L109" s="887"/>
      <c r="M109" s="886">
        <f>'Ввод исходных данных'!$D$150*'Расчет базового уровня'!$I$170*24</f>
        <v>0</v>
      </c>
      <c r="N109" s="887"/>
      <c r="O109" s="888">
        <f>'Ввод исходных данных'!$D$150*'Расчет базового уровня'!$J$170*24</f>
        <v>0</v>
      </c>
      <c r="P109" s="887"/>
      <c r="Q109" s="888">
        <f>'Ввод исходных данных'!$D$150*'Расчет базового уровня'!$K$170*24</f>
        <v>0</v>
      </c>
      <c r="R109" s="887"/>
      <c r="S109" s="888">
        <f>'Ввод исходных данных'!$D$150*'Расчет базового уровня'!$L$170*24</f>
        <v>0</v>
      </c>
      <c r="T109" s="887"/>
      <c r="U109" s="888">
        <f>'Ввод исходных данных'!$D$150*'Расчет базового уровня'!$M$170*24</f>
        <v>0</v>
      </c>
      <c r="V109" s="887"/>
      <c r="W109" s="888">
        <f>'Ввод исходных данных'!$D$150*'Расчет базового уровня'!$N$170*24</f>
        <v>0</v>
      </c>
      <c r="X109" s="887"/>
      <c r="Y109" s="888">
        <f>'Ввод исходных данных'!$D$150*'Расчет базового уровня'!$O$170*24</f>
        <v>0</v>
      </c>
      <c r="Z109" s="887"/>
      <c r="AA109" s="888">
        <f>'Ввод исходных данных'!$D$150*'Расчет базового уровня'!$P$170*24</f>
        <v>0</v>
      </c>
      <c r="AB109" s="887"/>
      <c r="AC109" s="888">
        <f>'Ввод исходных данных'!$D$150*'Расчет базового уровня'!$Q$170*24</f>
        <v>0</v>
      </c>
      <c r="AD109" s="887"/>
      <c r="AE109" s="886">
        <f>'Ввод исходных данных'!$D$150*'Расчет базового уровня'!$R$170*24</f>
        <v>0</v>
      </c>
      <c r="AF109" s="887"/>
      <c r="AG109" s="74"/>
      <c r="AH109" s="74"/>
      <c r="AI109" s="74"/>
      <c r="AJ109" s="74"/>
      <c r="AK109" s="74"/>
      <c r="AL109" s="74"/>
      <c r="AM109" s="74"/>
      <c r="AN109" s="74"/>
      <c r="AO109" s="74"/>
      <c r="AP109" s="74"/>
      <c r="AQ109" s="74"/>
      <c r="AR109" s="74"/>
      <c r="AS109" s="74"/>
      <c r="AT109" s="74"/>
      <c r="AU109" s="74"/>
      <c r="AV109" s="74"/>
      <c r="AW109" s="74"/>
      <c r="AX109" s="74"/>
      <c r="AY109" s="74"/>
      <c r="AZ109" s="74"/>
      <c r="BA109" s="74"/>
      <c r="BB109" s="74"/>
      <c r="BC109" s="74"/>
      <c r="BD109" s="74"/>
      <c r="BE109" s="74"/>
      <c r="BF109" s="74"/>
      <c r="BG109" s="74"/>
      <c r="BH109" s="74"/>
      <c r="BI109" s="74"/>
      <c r="BJ109" s="74"/>
      <c r="BK109" s="74"/>
      <c r="BL109" s="74"/>
      <c r="BM109" s="74"/>
      <c r="BN109" s="74"/>
      <c r="BO109" s="74"/>
    </row>
    <row r="110" spans="1:67" ht="13.5" customHeight="1" x14ac:dyDescent="0.25">
      <c r="A110" s="358" t="s">
        <v>1411</v>
      </c>
      <c r="B110" s="877" t="s">
        <v>842</v>
      </c>
      <c r="C110" s="889">
        <f>'Ввод исходных данных'!D154*'Ввод исходных данных'!D155</f>
        <v>0</v>
      </c>
      <c r="D110" s="890">
        <f>'Ввод исходных данных'!AE235*1000</f>
        <v>0</v>
      </c>
      <c r="E110" s="74"/>
      <c r="F110" s="74"/>
      <c r="G110" s="358" t="s">
        <v>1411</v>
      </c>
      <c r="H110" s="877" t="s">
        <v>842</v>
      </c>
      <c r="I110" s="886">
        <f>'Ввод исходных данных'!$D$154*'Расчет базового уровня'!$G$165*24</f>
        <v>0</v>
      </c>
      <c r="J110" s="887"/>
      <c r="K110" s="886">
        <f>'Ввод исходных данных'!$D$154*'Расчет базового уровня'!$H$165*24</f>
        <v>0</v>
      </c>
      <c r="L110" s="887"/>
      <c r="M110" s="886">
        <f>'Ввод исходных данных'!$D$154*'Расчет базового уровня'!$I$165*24</f>
        <v>0</v>
      </c>
      <c r="N110" s="887"/>
      <c r="O110" s="888">
        <f>'Ввод исходных данных'!$D$154*'Расчет базового уровня'!$J$165*24</f>
        <v>0</v>
      </c>
      <c r="P110" s="887"/>
      <c r="Q110" s="888">
        <f>'Ввод исходных данных'!$D$154*'Расчет базового уровня'!$K$165*24</f>
        <v>0</v>
      </c>
      <c r="R110" s="887"/>
      <c r="S110" s="888">
        <f>'Ввод исходных данных'!$D$154*'Расчет базового уровня'!$L$165*24</f>
        <v>0</v>
      </c>
      <c r="T110" s="887"/>
      <c r="U110" s="888">
        <f>'Ввод исходных данных'!$D$154*'Расчет базового уровня'!$M$165*24</f>
        <v>0</v>
      </c>
      <c r="V110" s="887"/>
      <c r="W110" s="888">
        <f>'Ввод исходных данных'!$D$154*'Расчет базового уровня'!$N$165*24</f>
        <v>0</v>
      </c>
      <c r="X110" s="887"/>
      <c r="Y110" s="888">
        <f>'Ввод исходных данных'!$D$154*'Расчет базового уровня'!$O$165*24</f>
        <v>0</v>
      </c>
      <c r="Z110" s="887"/>
      <c r="AA110" s="888">
        <f>'Ввод исходных данных'!$D$154*'Расчет базового уровня'!$P$165*24</f>
        <v>0</v>
      </c>
      <c r="AB110" s="887"/>
      <c r="AC110" s="888">
        <f>'Ввод исходных данных'!$D$154*'Расчет базового уровня'!$Q$165*24</f>
        <v>0</v>
      </c>
      <c r="AD110" s="887"/>
      <c r="AE110" s="886">
        <f>'Ввод исходных данных'!$D$154*'Расчет базового уровня'!$R$165*24</f>
        <v>0</v>
      </c>
      <c r="AF110" s="887"/>
      <c r="AG110" s="74"/>
      <c r="AH110" s="74"/>
      <c r="AI110" s="74"/>
      <c r="AJ110" s="74"/>
      <c r="AK110" s="74"/>
      <c r="AL110" s="74"/>
      <c r="AM110" s="74"/>
      <c r="AN110" s="74"/>
      <c r="AO110" s="74"/>
      <c r="AP110" s="74"/>
      <c r="AQ110" s="74"/>
      <c r="AR110" s="74"/>
      <c r="AS110" s="74"/>
      <c r="AT110" s="74"/>
      <c r="AU110" s="74"/>
      <c r="AV110" s="74"/>
      <c r="AW110" s="74"/>
      <c r="AX110" s="74"/>
      <c r="AY110" s="74"/>
      <c r="AZ110" s="74"/>
      <c r="BA110" s="74"/>
      <c r="BB110" s="74"/>
      <c r="BC110" s="74"/>
      <c r="BD110" s="74"/>
      <c r="BE110" s="74"/>
      <c r="BF110" s="74"/>
      <c r="BG110" s="74"/>
      <c r="BH110" s="74"/>
      <c r="BI110" s="74"/>
      <c r="BJ110" s="74"/>
      <c r="BK110" s="74"/>
      <c r="BL110" s="74"/>
      <c r="BM110" s="74"/>
      <c r="BN110" s="74"/>
      <c r="BO110" s="74"/>
    </row>
    <row r="111" spans="1:67" ht="25.5" customHeight="1" x14ac:dyDescent="0.25">
      <c r="A111" s="876" t="s">
        <v>1227</v>
      </c>
      <c r="B111" s="877" t="s">
        <v>842</v>
      </c>
      <c r="C111" s="878">
        <f>'Ввод исходных данных'!$D$159*'Ввод исходных данных'!$D$160</f>
        <v>0</v>
      </c>
      <c r="D111" s="879">
        <f>'Ввод исходных данных'!AF235*1000</f>
        <v>0</v>
      </c>
      <c r="E111" s="74"/>
      <c r="F111" s="74"/>
      <c r="G111" s="880" t="s">
        <v>1227</v>
      </c>
      <c r="H111" s="881" t="s">
        <v>842</v>
      </c>
      <c r="I111" s="618">
        <f>$C$111/12</f>
        <v>0</v>
      </c>
      <c r="J111" s="875">
        <f>'Ввод исходных данных'!$AF$223*1000</f>
        <v>0</v>
      </c>
      <c r="K111" s="618">
        <f>$C$111/12</f>
        <v>0</v>
      </c>
      <c r="L111" s="875">
        <f>'Ввод исходных данных'!$AF$224*1000</f>
        <v>0</v>
      </c>
      <c r="M111" s="618">
        <f>$C$111/12</f>
        <v>0</v>
      </c>
      <c r="N111" s="875">
        <f>'Ввод исходных данных'!$AF$225*1000</f>
        <v>0</v>
      </c>
      <c r="O111" s="618">
        <f>$C$111/12</f>
        <v>0</v>
      </c>
      <c r="P111" s="875">
        <f>'Ввод исходных данных'!$AF$226*1000</f>
        <v>0</v>
      </c>
      <c r="Q111" s="618">
        <f>$C$111/12</f>
        <v>0</v>
      </c>
      <c r="R111" s="875">
        <f>'Ввод исходных данных'!$AF$227*1000</f>
        <v>0</v>
      </c>
      <c r="S111" s="618">
        <f>$C$111/12</f>
        <v>0</v>
      </c>
      <c r="T111" s="875">
        <f>'Ввод исходных данных'!$AF$228*1000</f>
        <v>0</v>
      </c>
      <c r="U111" s="618">
        <f>$C$111/12</f>
        <v>0</v>
      </c>
      <c r="V111" s="875">
        <f>'Ввод исходных данных'!$AF$229*1000</f>
        <v>0</v>
      </c>
      <c r="W111" s="618">
        <f>$C$111/12</f>
        <v>0</v>
      </c>
      <c r="X111" s="875">
        <f>'Ввод исходных данных'!$AF$230*1000</f>
        <v>0</v>
      </c>
      <c r="Y111" s="618">
        <f>$C$111/12</f>
        <v>0</v>
      </c>
      <c r="Z111" s="875">
        <f>'Ввод исходных данных'!$AF$231*1000</f>
        <v>0</v>
      </c>
      <c r="AA111" s="618">
        <f>$C$111/12</f>
        <v>0</v>
      </c>
      <c r="AB111" s="875">
        <f>'Ввод исходных данных'!$AF$232*1000</f>
        <v>0</v>
      </c>
      <c r="AC111" s="618">
        <f>$C$111/12</f>
        <v>0</v>
      </c>
      <c r="AD111" s="875">
        <f>'Ввод исходных данных'!$AF$233*1000</f>
        <v>0</v>
      </c>
      <c r="AE111" s="618">
        <f>$C$111/12</f>
        <v>0</v>
      </c>
      <c r="AF111" s="875">
        <f>'Ввод исходных данных'!$AF$234*1000</f>
        <v>0</v>
      </c>
      <c r="AG111" s="74"/>
      <c r="AH111" s="74"/>
      <c r="AI111" s="74"/>
      <c r="AJ111" s="74"/>
      <c r="AK111" s="74"/>
      <c r="AL111" s="74"/>
      <c r="AM111" s="74"/>
      <c r="AN111" s="74"/>
      <c r="AO111" s="74"/>
      <c r="AP111" s="74"/>
      <c r="AQ111" s="74"/>
      <c r="AR111" s="74"/>
      <c r="AS111" s="74"/>
      <c r="AT111" s="74"/>
      <c r="AU111" s="74"/>
      <c r="AV111" s="74"/>
      <c r="AW111" s="74"/>
      <c r="AX111" s="74"/>
      <c r="AY111" s="74"/>
      <c r="AZ111" s="74"/>
      <c r="BA111" s="74"/>
      <c r="BB111" s="74"/>
      <c r="BC111" s="74"/>
      <c r="BD111" s="74"/>
      <c r="BE111" s="74"/>
      <c r="BF111" s="74"/>
      <c r="BG111" s="74"/>
      <c r="BH111" s="74"/>
      <c r="BI111" s="74"/>
      <c r="BJ111" s="74"/>
      <c r="BK111" s="74"/>
      <c r="BL111" s="74"/>
      <c r="BM111" s="74"/>
      <c r="BN111" s="74"/>
      <c r="BO111" s="74"/>
    </row>
    <row r="112" spans="1:67" ht="18.75" customHeight="1" thickBot="1" x14ac:dyDescent="0.3">
      <c r="A112" s="385" t="s">
        <v>874</v>
      </c>
      <c r="B112" s="598" t="s">
        <v>1181</v>
      </c>
      <c r="C112" s="891" t="e">
        <f>C111/$C$100</f>
        <v>#VALUE!</v>
      </c>
      <c r="D112" s="892" t="e">
        <f>D111/$C$100</f>
        <v>#VALUE!</v>
      </c>
      <c r="E112" s="74"/>
      <c r="F112" s="74"/>
      <c r="G112" s="833" t="s">
        <v>874</v>
      </c>
      <c r="H112" s="893" t="s">
        <v>1181</v>
      </c>
      <c r="I112" s="894" t="e">
        <f t="shared" ref="I112:AB112" si="197">(I111/I100)*100</f>
        <v>#N/A</v>
      </c>
      <c r="J112" s="895" t="e">
        <f t="shared" si="197"/>
        <v>#DIV/0!</v>
      </c>
      <c r="K112" s="894" t="e">
        <f t="shared" si="197"/>
        <v>#N/A</v>
      </c>
      <c r="L112" s="895" t="e">
        <f t="shared" si="197"/>
        <v>#DIV/0!</v>
      </c>
      <c r="M112" s="896" t="e">
        <f t="shared" si="197"/>
        <v>#N/A</v>
      </c>
      <c r="N112" s="879" t="e">
        <f t="shared" si="197"/>
        <v>#DIV/0!</v>
      </c>
      <c r="O112" s="896" t="e">
        <f t="shared" si="197"/>
        <v>#N/A</v>
      </c>
      <c r="P112" s="879" t="e">
        <f t="shared" si="197"/>
        <v>#DIV/0!</v>
      </c>
      <c r="Q112" s="896" t="e">
        <f t="shared" si="197"/>
        <v>#N/A</v>
      </c>
      <c r="R112" s="879" t="e">
        <f t="shared" si="197"/>
        <v>#DIV/0!</v>
      </c>
      <c r="S112" s="896" t="e">
        <f t="shared" si="197"/>
        <v>#N/A</v>
      </c>
      <c r="T112" s="879" t="e">
        <f t="shared" si="197"/>
        <v>#DIV/0!</v>
      </c>
      <c r="U112" s="894" t="e">
        <f t="shared" si="197"/>
        <v>#N/A</v>
      </c>
      <c r="V112" s="895" t="e">
        <f t="shared" si="197"/>
        <v>#DIV/0!</v>
      </c>
      <c r="W112" s="894" t="e">
        <f t="shared" si="197"/>
        <v>#N/A</v>
      </c>
      <c r="X112" s="895" t="e">
        <f t="shared" si="197"/>
        <v>#DIV/0!</v>
      </c>
      <c r="Y112" s="894" t="e">
        <f t="shared" si="197"/>
        <v>#N/A</v>
      </c>
      <c r="Z112" s="895" t="e">
        <f t="shared" si="197"/>
        <v>#DIV/0!</v>
      </c>
      <c r="AA112" s="894" t="e">
        <f t="shared" si="197"/>
        <v>#N/A</v>
      </c>
      <c r="AB112" s="895" t="e">
        <f t="shared" si="197"/>
        <v>#DIV/0!</v>
      </c>
      <c r="AC112" s="886" t="e">
        <f>(AC111/AC102)*100</f>
        <v>#DIV/0!</v>
      </c>
      <c r="AD112" s="887" t="e">
        <f>(AD111/AD102)*100</f>
        <v>#DIV/0!</v>
      </c>
      <c r="AE112" s="886" t="e">
        <f>(AE111/AE102)*100</f>
        <v>#DIV/0!</v>
      </c>
      <c r="AF112" s="887" t="e">
        <f>(AF111/AF102)*100</f>
        <v>#DIV/0!</v>
      </c>
      <c r="AG112" s="74"/>
      <c r="AH112" s="74"/>
      <c r="AI112" s="74"/>
      <c r="AJ112" s="74"/>
      <c r="AK112" s="74"/>
      <c r="AL112" s="74"/>
      <c r="AM112" s="74"/>
      <c r="AN112" s="74"/>
      <c r="AO112" s="74"/>
      <c r="AP112" s="74"/>
      <c r="AQ112" s="74"/>
      <c r="AR112" s="74"/>
      <c r="AS112" s="74"/>
      <c r="AT112" s="74"/>
      <c r="AU112" s="74"/>
      <c r="AV112" s="74"/>
      <c r="AW112" s="74"/>
      <c r="AX112" s="74"/>
      <c r="AY112" s="74"/>
      <c r="AZ112" s="74"/>
      <c r="BA112" s="74"/>
      <c r="BB112" s="74"/>
      <c r="BC112" s="74"/>
      <c r="BD112" s="74"/>
      <c r="BE112" s="74"/>
      <c r="BF112" s="74"/>
      <c r="BG112" s="74"/>
      <c r="BH112" s="74"/>
      <c r="BI112" s="74"/>
      <c r="BJ112" s="74"/>
      <c r="BK112" s="74"/>
      <c r="BL112" s="74"/>
      <c r="BM112" s="74"/>
      <c r="BN112" s="74"/>
      <c r="BO112" s="74"/>
    </row>
    <row r="113" spans="1:67" ht="45" customHeight="1" x14ac:dyDescent="0.25">
      <c r="A113" s="824" t="s">
        <v>1228</v>
      </c>
      <c r="B113" s="825" t="s">
        <v>842</v>
      </c>
      <c r="C113" s="658"/>
      <c r="D113" s="538" t="e">
        <f>D100-C100</f>
        <v>#VALUE!</v>
      </c>
      <c r="E113" s="74"/>
      <c r="F113" s="74"/>
      <c r="G113" s="824" t="s">
        <v>1229</v>
      </c>
      <c r="H113" s="897" t="s">
        <v>842</v>
      </c>
      <c r="I113" s="898"/>
      <c r="J113" s="899" t="e">
        <f>J100-I100</f>
        <v>#N/A</v>
      </c>
      <c r="K113" s="900"/>
      <c r="L113" s="901" t="e">
        <f>L100-K100</f>
        <v>#N/A</v>
      </c>
      <c r="M113" s="902"/>
      <c r="N113" s="903" t="e">
        <f>N100-M100</f>
        <v>#N/A</v>
      </c>
      <c r="O113" s="904"/>
      <c r="P113" s="903" t="e">
        <f>P100-O100</f>
        <v>#N/A</v>
      </c>
      <c r="Q113" s="902"/>
      <c r="R113" s="903" t="e">
        <f>R100-Q100</f>
        <v>#N/A</v>
      </c>
      <c r="S113" s="902"/>
      <c r="T113" s="903" t="e">
        <f>T100-S100</f>
        <v>#N/A</v>
      </c>
      <c r="U113" s="902"/>
      <c r="V113" s="903" t="e">
        <f>V100-U100</f>
        <v>#N/A</v>
      </c>
      <c r="W113" s="902"/>
      <c r="X113" s="903" t="e">
        <f>X100-W100</f>
        <v>#N/A</v>
      </c>
      <c r="Y113" s="902"/>
      <c r="Z113" s="903" t="e">
        <f>Z100-Y100</f>
        <v>#N/A</v>
      </c>
      <c r="AA113" s="902"/>
      <c r="AB113" s="903" t="e">
        <f>AB100-AA100</f>
        <v>#N/A</v>
      </c>
      <c r="AC113" s="902"/>
      <c r="AD113" s="903" t="e">
        <f>AD100-AC100</f>
        <v>#N/A</v>
      </c>
      <c r="AE113" s="902"/>
      <c r="AF113" s="903" t="e">
        <f>AF100-AE100</f>
        <v>#N/A</v>
      </c>
      <c r="AG113" s="74"/>
      <c r="AH113" s="74"/>
      <c r="AI113" s="74"/>
      <c r="AJ113" s="74"/>
      <c r="AK113" s="74"/>
      <c r="AL113" s="74"/>
      <c r="AM113" s="74"/>
      <c r="AN113" s="74"/>
      <c r="AO113" s="74"/>
      <c r="AP113" s="74"/>
      <c r="AQ113" s="74"/>
      <c r="AR113" s="74"/>
      <c r="AS113" s="74"/>
      <c r="AT113" s="74"/>
      <c r="AU113" s="74"/>
      <c r="AV113" s="74"/>
      <c r="AW113" s="74"/>
      <c r="AX113" s="74"/>
      <c r="AY113" s="74"/>
      <c r="AZ113" s="74"/>
      <c r="BA113" s="74"/>
      <c r="BB113" s="74"/>
      <c r="BC113" s="74"/>
      <c r="BD113" s="74"/>
      <c r="BE113" s="74"/>
      <c r="BF113" s="74"/>
      <c r="BG113" s="74"/>
      <c r="BH113" s="74"/>
      <c r="BI113" s="74"/>
      <c r="BJ113" s="74"/>
      <c r="BK113" s="74"/>
      <c r="BL113" s="74"/>
      <c r="BM113" s="74"/>
      <c r="BN113" s="74"/>
      <c r="BO113" s="74"/>
    </row>
    <row r="114" spans="1:67" ht="15.75" thickBot="1" x14ac:dyDescent="0.3">
      <c r="A114" s="385" t="s">
        <v>874</v>
      </c>
      <c r="B114" s="386" t="s">
        <v>1181</v>
      </c>
      <c r="C114" s="905"/>
      <c r="D114" s="906" t="e">
        <f>(D113/C100)*100</f>
        <v>#VALUE!</v>
      </c>
      <c r="E114" s="74"/>
      <c r="F114" s="74"/>
      <c r="G114" s="385" t="s">
        <v>874</v>
      </c>
      <c r="H114" s="907" t="s">
        <v>1181</v>
      </c>
      <c r="I114" s="908"/>
      <c r="J114" s="909" t="e">
        <f>(J113/I100)*100</f>
        <v>#N/A</v>
      </c>
      <c r="K114" s="908"/>
      <c r="L114" s="909" t="e">
        <f>(L113/K100)*100</f>
        <v>#N/A</v>
      </c>
      <c r="M114" s="894"/>
      <c r="N114" s="906" t="e">
        <f>(N113/M100)*100</f>
        <v>#N/A</v>
      </c>
      <c r="O114" s="894"/>
      <c r="P114" s="906" t="e">
        <f>(P113/O100)*100</f>
        <v>#N/A</v>
      </c>
      <c r="Q114" s="894"/>
      <c r="R114" s="906" t="e">
        <f>(R113/Q100)*100</f>
        <v>#N/A</v>
      </c>
      <c r="S114" s="894"/>
      <c r="T114" s="906" t="e">
        <f>(T113/S100)*100</f>
        <v>#N/A</v>
      </c>
      <c r="U114" s="894"/>
      <c r="V114" s="906" t="e">
        <f>(V113/U100)*100</f>
        <v>#N/A</v>
      </c>
      <c r="W114" s="894"/>
      <c r="X114" s="906" t="e">
        <f>(X113/W100)*100</f>
        <v>#N/A</v>
      </c>
      <c r="Y114" s="894"/>
      <c r="Z114" s="906" t="e">
        <f>(Z113/Y100)*100</f>
        <v>#N/A</v>
      </c>
      <c r="AA114" s="894"/>
      <c r="AB114" s="906" t="e">
        <f>(AB113/AA100)*100</f>
        <v>#N/A</v>
      </c>
      <c r="AC114" s="894"/>
      <c r="AD114" s="906" t="e">
        <f>(AD113/AC100)*100</f>
        <v>#N/A</v>
      </c>
      <c r="AE114" s="894"/>
      <c r="AF114" s="906" t="e">
        <f>(AF113/AE100)*100</f>
        <v>#N/A</v>
      </c>
      <c r="AG114" s="74"/>
      <c r="AH114" s="74"/>
      <c r="AI114" s="74"/>
      <c r="AJ114" s="74"/>
      <c r="AK114" s="74"/>
      <c r="AL114" s="74"/>
      <c r="AM114" s="74"/>
      <c r="AN114" s="74"/>
      <c r="AO114" s="74"/>
      <c r="AP114" s="74"/>
      <c r="AQ114" s="74"/>
      <c r="AR114" s="74"/>
      <c r="AS114" s="74"/>
      <c r="AT114" s="74"/>
      <c r="AU114" s="74"/>
      <c r="AV114" s="74"/>
      <c r="AW114" s="74"/>
      <c r="AX114" s="74"/>
      <c r="AY114" s="74"/>
      <c r="AZ114" s="74"/>
      <c r="BA114" s="74"/>
      <c r="BB114" s="74"/>
      <c r="BC114" s="74"/>
      <c r="BD114" s="74"/>
      <c r="BE114" s="74"/>
      <c r="BF114" s="74"/>
      <c r="BG114" s="74"/>
      <c r="BH114" s="74"/>
      <c r="BI114" s="74"/>
      <c r="BJ114" s="74"/>
      <c r="BK114" s="74"/>
      <c r="BL114" s="74"/>
      <c r="BM114" s="74"/>
      <c r="BN114" s="74"/>
      <c r="BO114" s="74"/>
    </row>
    <row r="115" spans="1:67" ht="24.75" thickBot="1" x14ac:dyDescent="0.3">
      <c r="A115" s="910" t="s">
        <v>1230</v>
      </c>
      <c r="B115" s="911" t="s">
        <v>1190</v>
      </c>
      <c r="C115" s="465" t="e">
        <f>C100/('Ввод исходных данных'!$G$45++'Ввод исходных данных'!D23)</f>
        <v>#VALUE!</v>
      </c>
      <c r="D115" s="465" t="e">
        <f>D100/('Ввод исходных данных'!$G$45+'Ввод исходных данных'!D23)</f>
        <v>#DIV/0!</v>
      </c>
      <c r="E115" s="74"/>
      <c r="F115" s="74"/>
      <c r="G115" s="74"/>
      <c r="H115" s="74"/>
      <c r="I115" s="74"/>
      <c r="J115" s="74"/>
      <c r="K115" s="74"/>
      <c r="L115" s="74"/>
      <c r="M115" s="74"/>
      <c r="N115" s="74"/>
      <c r="O115" s="74"/>
      <c r="P115" s="74"/>
      <c r="Q115" s="74"/>
      <c r="R115" s="74"/>
      <c r="S115" s="74"/>
      <c r="T115" s="74"/>
      <c r="U115" s="74"/>
      <c r="V115" s="74"/>
      <c r="W115" s="74"/>
      <c r="X115" s="74"/>
      <c r="Y115" s="74"/>
      <c r="Z115" s="74"/>
      <c r="AA115" s="74"/>
      <c r="AB115" s="74"/>
      <c r="AC115" s="74"/>
      <c r="AD115" s="74"/>
      <c r="AE115" s="74"/>
      <c r="AF115" s="74"/>
      <c r="AG115" s="74"/>
      <c r="AH115" s="74"/>
      <c r="AI115" s="74"/>
      <c r="AJ115" s="74"/>
      <c r="AK115" s="74"/>
      <c r="AL115" s="74"/>
      <c r="AM115" s="74"/>
      <c r="AN115" s="74"/>
      <c r="AO115" s="74"/>
      <c r="AP115" s="74"/>
      <c r="AQ115" s="74"/>
      <c r="AR115" s="74"/>
      <c r="AS115" s="74"/>
      <c r="AT115" s="74"/>
      <c r="AU115" s="74"/>
      <c r="AV115" s="74"/>
      <c r="AW115" s="74"/>
      <c r="AX115" s="74"/>
      <c r="AY115" s="74"/>
      <c r="AZ115" s="74"/>
      <c r="BA115" s="74"/>
      <c r="BB115" s="74"/>
      <c r="BC115" s="74"/>
      <c r="BD115" s="74"/>
      <c r="BE115" s="74"/>
      <c r="BF115" s="74"/>
      <c r="BG115" s="74"/>
      <c r="BH115" s="74"/>
      <c r="BI115" s="74"/>
      <c r="BJ115" s="74"/>
      <c r="BK115" s="74"/>
      <c r="BL115" s="74"/>
      <c r="BM115" s="74"/>
      <c r="BN115" s="74"/>
      <c r="BO115" s="74"/>
    </row>
    <row r="116" spans="1:67" ht="42" customHeight="1" x14ac:dyDescent="0.25">
      <c r="A116" s="74"/>
      <c r="B116" s="74"/>
      <c r="C116" s="74"/>
      <c r="D116" s="74"/>
      <c r="E116" s="74"/>
      <c r="F116" s="74"/>
      <c r="G116" s="74"/>
      <c r="H116" s="74"/>
      <c r="I116" s="74"/>
      <c r="J116" s="74"/>
      <c r="K116" s="74"/>
      <c r="L116" s="74"/>
      <c r="M116" s="74"/>
      <c r="N116" s="74"/>
      <c r="O116" s="74"/>
      <c r="P116" s="74"/>
      <c r="Q116" s="74"/>
      <c r="R116" s="74"/>
      <c r="S116" s="74"/>
      <c r="T116" s="74"/>
      <c r="U116" s="74"/>
      <c r="V116" s="74"/>
      <c r="W116" s="74"/>
      <c r="X116" s="74"/>
      <c r="Y116" s="74"/>
      <c r="Z116" s="74"/>
      <c r="AA116" s="74"/>
      <c r="AB116" s="74"/>
      <c r="AC116" s="74"/>
      <c r="AD116" s="74"/>
      <c r="AE116" s="74"/>
      <c r="AF116" s="74"/>
      <c r="AG116" s="74"/>
      <c r="AH116" s="74"/>
      <c r="AI116" s="74"/>
      <c r="AJ116" s="74"/>
      <c r="AK116" s="74"/>
      <c r="AL116" s="74"/>
      <c r="AM116" s="74"/>
      <c r="AN116" s="74"/>
      <c r="AO116" s="74"/>
      <c r="AP116" s="74"/>
      <c r="AQ116" s="74"/>
      <c r="AR116" s="74"/>
      <c r="AS116" s="74"/>
      <c r="AT116" s="74"/>
      <c r="AU116" s="74"/>
      <c r="AV116" s="74"/>
      <c r="AW116" s="74"/>
      <c r="AX116" s="74"/>
      <c r="AY116" s="74"/>
      <c r="AZ116" s="74"/>
      <c r="BA116" s="74"/>
      <c r="BB116" s="74"/>
      <c r="BC116" s="74"/>
      <c r="BD116" s="74"/>
      <c r="BE116" s="74"/>
      <c r="BF116" s="74"/>
      <c r="BG116" s="74"/>
      <c r="BH116" s="74"/>
      <c r="BI116" s="74"/>
      <c r="BJ116" s="74"/>
      <c r="BK116" s="74"/>
      <c r="BL116" s="74"/>
      <c r="BM116" s="74"/>
      <c r="BN116" s="74"/>
      <c r="BO116" s="74"/>
    </row>
    <row r="117" spans="1:67" ht="31.5" customHeight="1" x14ac:dyDescent="0.25">
      <c r="A117" s="74"/>
      <c r="B117" s="74"/>
      <c r="C117" s="74"/>
      <c r="D117" s="74"/>
      <c r="E117" s="74"/>
      <c r="F117" s="74"/>
      <c r="G117" s="74"/>
      <c r="H117" s="74"/>
      <c r="I117" s="74"/>
      <c r="J117" s="74"/>
      <c r="K117" s="74"/>
      <c r="L117" s="74"/>
      <c r="M117" s="74"/>
      <c r="N117" s="74"/>
      <c r="O117" s="74"/>
      <c r="P117" s="74"/>
      <c r="Q117" s="74"/>
      <c r="R117" s="74"/>
      <c r="S117" s="74"/>
      <c r="T117" s="74"/>
      <c r="U117" s="74"/>
      <c r="V117" s="74"/>
      <c r="W117" s="74"/>
      <c r="X117" s="74"/>
      <c r="Y117" s="74"/>
      <c r="Z117" s="74"/>
      <c r="AA117" s="74"/>
      <c r="AB117" s="74"/>
      <c r="AC117" s="74"/>
      <c r="AD117" s="74"/>
      <c r="AE117" s="74"/>
      <c r="AF117" s="74"/>
      <c r="AG117" s="74"/>
      <c r="AH117" s="74"/>
      <c r="AI117" s="74"/>
      <c r="AJ117" s="74"/>
      <c r="AK117" s="74"/>
      <c r="AL117" s="74"/>
      <c r="AM117" s="74"/>
      <c r="AN117" s="74"/>
      <c r="AO117" s="74"/>
      <c r="AP117" s="74"/>
      <c r="AQ117" s="74"/>
      <c r="AR117" s="74"/>
      <c r="AS117" s="74"/>
      <c r="AT117" s="74"/>
      <c r="AU117" s="74"/>
      <c r="AV117" s="74"/>
      <c r="AW117" s="74"/>
      <c r="AX117" s="74"/>
      <c r="AY117" s="74"/>
      <c r="AZ117" s="74"/>
      <c r="BA117" s="74"/>
      <c r="BB117" s="74"/>
      <c r="BC117" s="74"/>
      <c r="BD117" s="74"/>
      <c r="BE117" s="74"/>
      <c r="BF117" s="74"/>
      <c r="BG117" s="74"/>
      <c r="BH117" s="74"/>
      <c r="BI117" s="74"/>
      <c r="BJ117" s="74"/>
      <c r="BK117" s="74"/>
      <c r="BL117" s="74"/>
      <c r="BM117" s="74"/>
      <c r="BN117" s="74"/>
      <c r="BO117" s="74"/>
    </row>
    <row r="118" spans="1:67" x14ac:dyDescent="0.25">
      <c r="A118" s="74"/>
      <c r="B118" s="74"/>
      <c r="C118" s="74"/>
      <c r="D118" s="74"/>
      <c r="E118" s="74"/>
      <c r="F118" s="74"/>
      <c r="G118" s="74"/>
      <c r="H118" s="74"/>
      <c r="I118" s="74"/>
      <c r="J118" s="74"/>
      <c r="K118" s="74"/>
      <c r="L118" s="74"/>
      <c r="M118" s="74"/>
      <c r="N118" s="74"/>
      <c r="O118" s="74"/>
      <c r="P118" s="74"/>
      <c r="Q118" s="74"/>
      <c r="R118" s="74"/>
      <c r="S118" s="74"/>
      <c r="T118" s="74"/>
      <c r="U118" s="74"/>
      <c r="V118" s="74"/>
      <c r="W118" s="74"/>
      <c r="X118" s="74"/>
      <c r="Y118" s="74"/>
      <c r="Z118" s="74"/>
      <c r="AA118" s="74"/>
      <c r="AB118" s="74"/>
      <c r="AC118" s="74"/>
      <c r="AD118" s="74"/>
      <c r="AE118" s="74"/>
      <c r="AF118" s="74"/>
      <c r="AG118" s="74"/>
      <c r="AH118" s="74"/>
      <c r="AI118" s="74"/>
      <c r="AJ118" s="74"/>
      <c r="AK118" s="74"/>
      <c r="AL118" s="74"/>
      <c r="AM118" s="74"/>
      <c r="AN118" s="74"/>
      <c r="AO118" s="74"/>
      <c r="AP118" s="74"/>
      <c r="AQ118" s="74"/>
      <c r="AR118" s="74"/>
      <c r="AS118" s="74"/>
      <c r="AT118" s="74"/>
      <c r="AU118" s="74"/>
      <c r="AV118" s="74"/>
      <c r="AW118" s="74"/>
      <c r="AX118" s="74"/>
      <c r="AY118" s="74"/>
      <c r="AZ118" s="74"/>
      <c r="BA118" s="74"/>
      <c r="BB118" s="74"/>
      <c r="BC118" s="74"/>
      <c r="BD118" s="74"/>
      <c r="BE118" s="74"/>
      <c r="BF118" s="74"/>
      <c r="BG118" s="74"/>
      <c r="BH118" s="74"/>
      <c r="BI118" s="74"/>
      <c r="BJ118" s="74"/>
      <c r="BK118" s="74"/>
      <c r="BL118" s="74"/>
      <c r="BM118" s="74"/>
      <c r="BN118" s="74"/>
      <c r="BO118" s="74"/>
    </row>
    <row r="119" spans="1:67" x14ac:dyDescent="0.25">
      <c r="A119" s="74"/>
      <c r="B119" s="74"/>
      <c r="C119" s="74"/>
      <c r="D119" s="74"/>
      <c r="E119" s="74"/>
      <c r="F119" s="74"/>
      <c r="G119" s="74"/>
      <c r="H119" s="74"/>
      <c r="I119" s="74"/>
      <c r="J119" s="74"/>
      <c r="K119" s="74"/>
      <c r="L119" s="74"/>
      <c r="M119" s="74"/>
      <c r="N119" s="74"/>
      <c r="O119" s="74"/>
      <c r="P119" s="74"/>
      <c r="Q119" s="74"/>
      <c r="R119" s="74"/>
      <c r="S119" s="74"/>
      <c r="T119" s="74"/>
      <c r="U119" s="74"/>
      <c r="V119" s="74"/>
      <c r="W119" s="74"/>
      <c r="X119" s="74"/>
      <c r="Y119" s="74"/>
      <c r="Z119" s="74"/>
      <c r="AA119" s="74"/>
      <c r="AB119" s="74"/>
      <c r="AC119" s="74"/>
      <c r="AD119" s="74"/>
      <c r="AE119" s="74"/>
      <c r="AF119" s="74"/>
      <c r="AG119" s="74"/>
      <c r="AH119" s="74"/>
      <c r="AI119" s="74"/>
      <c r="AJ119" s="74"/>
      <c r="AK119" s="74"/>
      <c r="AL119" s="74"/>
      <c r="AM119" s="74"/>
      <c r="AN119" s="74"/>
      <c r="AO119" s="74"/>
      <c r="AP119" s="74"/>
      <c r="AQ119" s="74"/>
      <c r="AR119" s="74"/>
      <c r="AS119" s="74"/>
      <c r="AT119" s="74"/>
      <c r="AU119" s="74"/>
      <c r="AV119" s="74"/>
      <c r="AW119" s="74"/>
      <c r="AX119" s="74"/>
      <c r="AY119" s="74"/>
      <c r="AZ119" s="74"/>
      <c r="BA119" s="74"/>
      <c r="BB119" s="74"/>
      <c r="BC119" s="74"/>
      <c r="BD119" s="74"/>
      <c r="BE119" s="74"/>
      <c r="BF119" s="74"/>
      <c r="BG119" s="74"/>
      <c r="BH119" s="74"/>
      <c r="BI119" s="74"/>
      <c r="BJ119" s="74"/>
      <c r="BK119" s="74"/>
      <c r="BL119" s="74"/>
      <c r="BM119" s="74"/>
      <c r="BN119" s="74"/>
      <c r="BO119" s="74"/>
    </row>
    <row r="120" spans="1:67" x14ac:dyDescent="0.25">
      <c r="A120" s="74"/>
      <c r="B120" s="74"/>
      <c r="C120" s="74"/>
      <c r="D120" s="74"/>
      <c r="E120" s="74"/>
      <c r="F120" s="74"/>
      <c r="G120" s="74"/>
      <c r="H120" s="74"/>
      <c r="I120" s="74"/>
      <c r="J120" s="74"/>
      <c r="K120" s="74"/>
      <c r="L120" s="74"/>
      <c r="M120" s="74"/>
      <c r="N120" s="74"/>
      <c r="O120" s="74"/>
      <c r="P120" s="74"/>
      <c r="Q120" s="74"/>
      <c r="R120" s="74"/>
      <c r="S120" s="74"/>
      <c r="T120" s="74"/>
      <c r="U120" s="74"/>
      <c r="V120" s="74"/>
      <c r="W120" s="74"/>
      <c r="X120" s="74"/>
      <c r="Y120" s="74"/>
      <c r="Z120" s="74"/>
      <c r="AA120" s="74"/>
      <c r="AB120" s="74"/>
      <c r="AC120" s="74"/>
      <c r="AD120" s="74"/>
      <c r="AE120" s="74"/>
      <c r="AF120" s="74"/>
      <c r="AG120" s="74"/>
      <c r="AH120" s="74"/>
      <c r="AI120" s="74"/>
      <c r="AJ120" s="74"/>
      <c r="AK120" s="74"/>
      <c r="AL120" s="74"/>
      <c r="AM120" s="74"/>
      <c r="AN120" s="74"/>
      <c r="AO120" s="74"/>
      <c r="AP120" s="74"/>
      <c r="AQ120" s="74"/>
      <c r="AR120" s="74"/>
      <c r="AS120" s="74"/>
      <c r="AT120" s="74"/>
      <c r="AU120" s="74"/>
      <c r="AV120" s="74"/>
      <c r="AW120" s="74"/>
      <c r="AX120" s="74"/>
      <c r="AY120" s="74"/>
      <c r="AZ120" s="74"/>
      <c r="BA120" s="74"/>
      <c r="BB120" s="74"/>
      <c r="BC120" s="74"/>
      <c r="BD120" s="74"/>
      <c r="BE120" s="74"/>
      <c r="BF120" s="74"/>
      <c r="BG120" s="74"/>
      <c r="BH120" s="74"/>
      <c r="BI120" s="74"/>
      <c r="BJ120" s="74"/>
      <c r="BK120" s="74"/>
      <c r="BL120" s="74"/>
      <c r="BM120" s="74"/>
      <c r="BN120" s="74"/>
      <c r="BO120" s="74"/>
    </row>
    <row r="121" spans="1:67" x14ac:dyDescent="0.25">
      <c r="A121" s="74"/>
      <c r="B121" s="74"/>
      <c r="C121" s="74"/>
      <c r="D121" s="74"/>
      <c r="E121" s="74"/>
      <c r="F121" s="74"/>
      <c r="G121" s="74"/>
      <c r="H121" s="74"/>
      <c r="I121" s="74"/>
      <c r="J121" s="74"/>
      <c r="K121" s="74"/>
      <c r="L121" s="74"/>
      <c r="M121" s="74"/>
      <c r="N121" s="74"/>
      <c r="O121" s="74"/>
      <c r="P121" s="74"/>
      <c r="Q121" s="74"/>
      <c r="R121" s="74"/>
      <c r="S121" s="74"/>
      <c r="T121" s="74"/>
      <c r="U121" s="74"/>
      <c r="V121" s="74"/>
      <c r="W121" s="74"/>
      <c r="X121" s="74"/>
      <c r="Y121" s="74"/>
      <c r="Z121" s="74"/>
      <c r="AA121" s="74"/>
      <c r="AB121" s="74"/>
      <c r="AC121" s="74"/>
      <c r="AD121" s="74"/>
      <c r="AE121" s="74"/>
      <c r="AF121" s="74"/>
      <c r="AG121" s="74"/>
      <c r="AH121" s="74"/>
      <c r="AI121" s="74"/>
      <c r="AJ121" s="74"/>
      <c r="AK121" s="74"/>
      <c r="AL121" s="74"/>
      <c r="AM121" s="74"/>
      <c r="AN121" s="74"/>
      <c r="AO121" s="74"/>
      <c r="AP121" s="74"/>
      <c r="AQ121" s="74"/>
      <c r="AR121" s="74"/>
      <c r="AS121" s="74"/>
      <c r="AT121" s="74"/>
      <c r="AU121" s="74"/>
      <c r="AV121" s="74"/>
      <c r="AW121" s="74"/>
      <c r="AX121" s="74"/>
      <c r="AY121" s="74"/>
      <c r="AZ121" s="74"/>
      <c r="BA121" s="74"/>
      <c r="BB121" s="74"/>
      <c r="BC121" s="74"/>
      <c r="BD121" s="74"/>
      <c r="BE121" s="74"/>
      <c r="BF121" s="74"/>
      <c r="BG121" s="74"/>
      <c r="BH121" s="74"/>
      <c r="BI121" s="74"/>
      <c r="BJ121" s="74"/>
      <c r="BK121" s="74"/>
      <c r="BL121" s="74"/>
      <c r="BM121" s="74"/>
      <c r="BN121" s="74"/>
      <c r="BO121" s="74"/>
    </row>
    <row r="122" spans="1:67" x14ac:dyDescent="0.25">
      <c r="A122" s="74"/>
      <c r="B122" s="74"/>
      <c r="C122" s="74"/>
      <c r="D122" s="74"/>
      <c r="E122" s="74"/>
      <c r="F122" s="74"/>
      <c r="G122" s="74"/>
      <c r="H122" s="74"/>
      <c r="I122" s="74"/>
      <c r="J122" s="74"/>
      <c r="K122" s="74"/>
      <c r="L122" s="74"/>
      <c r="M122" s="74"/>
      <c r="N122" s="74"/>
      <c r="O122" s="74"/>
      <c r="P122" s="74"/>
      <c r="Q122" s="74"/>
      <c r="R122" s="74"/>
      <c r="S122" s="74"/>
      <c r="T122" s="74"/>
      <c r="U122" s="74"/>
      <c r="V122" s="74"/>
      <c r="W122" s="74"/>
      <c r="X122" s="74"/>
      <c r="Y122" s="74"/>
      <c r="Z122" s="74"/>
      <c r="AA122" s="74"/>
      <c r="AB122" s="74"/>
      <c r="AC122" s="74"/>
      <c r="AD122" s="74"/>
      <c r="AE122" s="74"/>
      <c r="AF122" s="74"/>
      <c r="AG122" s="74"/>
      <c r="AH122" s="74"/>
      <c r="AI122" s="74"/>
      <c r="AJ122" s="74"/>
      <c r="AK122" s="74"/>
      <c r="AL122" s="74"/>
      <c r="AM122" s="74"/>
      <c r="AN122" s="74"/>
      <c r="AO122" s="74"/>
      <c r="AP122" s="74"/>
      <c r="AQ122" s="74"/>
      <c r="AR122" s="74"/>
      <c r="AS122" s="74"/>
      <c r="AT122" s="74"/>
      <c r="AU122" s="74"/>
      <c r="AV122" s="74"/>
      <c r="AW122" s="74"/>
      <c r="AX122" s="74"/>
      <c r="AY122" s="74"/>
      <c r="AZ122" s="74"/>
      <c r="BA122" s="74"/>
      <c r="BB122" s="74"/>
      <c r="BC122" s="74"/>
      <c r="BD122" s="74"/>
      <c r="BE122" s="74"/>
      <c r="BF122" s="74"/>
      <c r="BG122" s="74"/>
      <c r="BH122" s="74"/>
      <c r="BI122" s="74"/>
      <c r="BJ122" s="74"/>
      <c r="BK122" s="74"/>
      <c r="BL122" s="74"/>
      <c r="BM122" s="74"/>
      <c r="BN122" s="74"/>
      <c r="BO122" s="74"/>
    </row>
    <row r="123" spans="1:67" x14ac:dyDescent="0.25">
      <c r="A123" s="74"/>
      <c r="B123" s="74"/>
      <c r="C123" s="74"/>
      <c r="D123" s="74"/>
      <c r="E123" s="74"/>
      <c r="F123" s="74"/>
      <c r="G123" s="74"/>
      <c r="H123" s="74"/>
      <c r="I123" s="74"/>
      <c r="J123" s="74"/>
      <c r="K123" s="74"/>
      <c r="L123" s="74"/>
      <c r="M123" s="74"/>
      <c r="N123" s="74"/>
      <c r="O123" s="74"/>
      <c r="P123" s="74"/>
      <c r="Q123" s="74"/>
      <c r="R123" s="74"/>
      <c r="S123" s="74"/>
      <c r="T123" s="74"/>
      <c r="U123" s="74"/>
      <c r="V123" s="74"/>
      <c r="W123" s="74"/>
      <c r="X123" s="74"/>
      <c r="Y123" s="74"/>
      <c r="Z123" s="74"/>
      <c r="AA123" s="74"/>
      <c r="AB123" s="74"/>
      <c r="AC123" s="74"/>
      <c r="AD123" s="74"/>
      <c r="AE123" s="74"/>
      <c r="AF123" s="74"/>
      <c r="AG123" s="74"/>
      <c r="AH123" s="74"/>
      <c r="AI123" s="74"/>
      <c r="AJ123" s="74"/>
      <c r="AK123" s="74"/>
      <c r="AL123" s="74"/>
      <c r="AM123" s="74"/>
      <c r="AN123" s="74"/>
      <c r="AO123" s="74"/>
      <c r="AP123" s="74"/>
      <c r="AQ123" s="74"/>
      <c r="AR123" s="74"/>
      <c r="AS123" s="74"/>
      <c r="AT123" s="74"/>
      <c r="AU123" s="74"/>
      <c r="AV123" s="74"/>
      <c r="AW123" s="74"/>
      <c r="AX123" s="74"/>
      <c r="AY123" s="74"/>
      <c r="AZ123" s="74"/>
      <c r="BA123" s="74"/>
      <c r="BB123" s="74"/>
      <c r="BC123" s="74"/>
      <c r="BD123" s="74"/>
      <c r="BE123" s="74"/>
      <c r="BF123" s="74"/>
      <c r="BG123" s="74"/>
      <c r="BH123" s="74"/>
      <c r="BI123" s="74"/>
      <c r="BJ123" s="74"/>
      <c r="BK123" s="74"/>
      <c r="BL123" s="74"/>
      <c r="BM123" s="74"/>
      <c r="BN123" s="74"/>
      <c r="BO123" s="74"/>
    </row>
    <row r="124" spans="1:67" x14ac:dyDescent="0.25">
      <c r="A124" s="74"/>
      <c r="B124" s="74"/>
      <c r="C124" s="74"/>
      <c r="D124" s="74"/>
      <c r="E124" s="74"/>
      <c r="F124" s="74"/>
      <c r="G124" s="74"/>
      <c r="H124" s="74"/>
      <c r="I124" s="74"/>
      <c r="J124" s="74"/>
      <c r="K124" s="74"/>
      <c r="L124" s="74"/>
      <c r="M124" s="74"/>
      <c r="N124" s="74"/>
      <c r="O124" s="74"/>
      <c r="P124" s="74"/>
      <c r="Q124" s="74"/>
      <c r="R124" s="74"/>
      <c r="S124" s="74"/>
      <c r="T124" s="74"/>
      <c r="U124" s="74"/>
      <c r="V124" s="74"/>
      <c r="W124" s="74"/>
      <c r="X124" s="74"/>
      <c r="Y124" s="74"/>
      <c r="Z124" s="74"/>
      <c r="AA124" s="74"/>
      <c r="AB124" s="74"/>
      <c r="AC124" s="74"/>
      <c r="AD124" s="74"/>
      <c r="AE124" s="74"/>
      <c r="AF124" s="74"/>
      <c r="AG124" s="74"/>
      <c r="AH124" s="74"/>
      <c r="AI124" s="74"/>
      <c r="AJ124" s="74"/>
      <c r="AK124" s="74"/>
      <c r="AL124" s="74"/>
      <c r="AM124" s="74"/>
      <c r="AN124" s="74"/>
      <c r="AO124" s="74"/>
      <c r="AP124" s="74"/>
      <c r="AQ124" s="74"/>
      <c r="AR124" s="74"/>
      <c r="AS124" s="74"/>
      <c r="AT124" s="74"/>
      <c r="AU124" s="74"/>
      <c r="AV124" s="74"/>
      <c r="AW124" s="74"/>
      <c r="AX124" s="74"/>
      <c r="AY124" s="74"/>
      <c r="AZ124" s="74"/>
      <c r="BA124" s="74"/>
      <c r="BB124" s="74"/>
      <c r="BC124" s="74"/>
      <c r="BD124" s="74"/>
      <c r="BE124" s="74"/>
      <c r="BF124" s="74"/>
      <c r="BG124" s="74"/>
      <c r="BH124" s="74"/>
      <c r="BI124" s="74"/>
      <c r="BJ124" s="74"/>
      <c r="BK124" s="74"/>
      <c r="BL124" s="74"/>
      <c r="BM124" s="74"/>
      <c r="BN124" s="74"/>
      <c r="BO124" s="74"/>
    </row>
    <row r="125" spans="1:67" x14ac:dyDescent="0.25">
      <c r="A125" s="74"/>
      <c r="B125" s="74"/>
      <c r="C125" s="74"/>
      <c r="D125" s="74"/>
      <c r="E125" s="74"/>
      <c r="F125" s="74"/>
      <c r="G125" s="74"/>
      <c r="H125" s="74"/>
      <c r="I125" s="74"/>
      <c r="J125" s="74"/>
      <c r="K125" s="74"/>
      <c r="L125" s="74"/>
      <c r="M125" s="74"/>
      <c r="N125" s="74"/>
      <c r="O125" s="74"/>
      <c r="P125" s="74"/>
      <c r="Q125" s="74"/>
      <c r="R125" s="74"/>
      <c r="S125" s="74"/>
      <c r="T125" s="74"/>
      <c r="U125" s="74"/>
      <c r="V125" s="74"/>
      <c r="W125" s="74"/>
      <c r="X125" s="74"/>
      <c r="Y125" s="74"/>
      <c r="Z125" s="74"/>
      <c r="AA125" s="74"/>
      <c r="AB125" s="74"/>
      <c r="AC125" s="74"/>
      <c r="AD125" s="74"/>
      <c r="AE125" s="74"/>
      <c r="AF125" s="74"/>
      <c r="AG125" s="74"/>
      <c r="AH125" s="74"/>
      <c r="AI125" s="74"/>
      <c r="AJ125" s="74"/>
      <c r="AK125" s="74"/>
      <c r="AL125" s="74"/>
      <c r="AM125" s="74"/>
      <c r="AN125" s="74"/>
      <c r="AO125" s="74"/>
      <c r="AP125" s="74"/>
      <c r="AQ125" s="74"/>
      <c r="AR125" s="74"/>
      <c r="AS125" s="74"/>
      <c r="AT125" s="74"/>
      <c r="AU125" s="74"/>
      <c r="AV125" s="74"/>
      <c r="AW125" s="74"/>
      <c r="AX125" s="74"/>
      <c r="AY125" s="74"/>
      <c r="AZ125" s="74"/>
      <c r="BA125" s="74"/>
      <c r="BB125" s="74"/>
      <c r="BC125" s="74"/>
      <c r="BD125" s="74"/>
      <c r="BE125" s="74"/>
      <c r="BF125" s="74"/>
      <c r="BG125" s="74"/>
      <c r="BH125" s="74"/>
      <c r="BI125" s="74"/>
      <c r="BJ125" s="74"/>
      <c r="BK125" s="74"/>
      <c r="BL125" s="74"/>
      <c r="BM125" s="74"/>
      <c r="BN125" s="74"/>
      <c r="BO125" s="74"/>
    </row>
    <row r="126" spans="1:67" x14ac:dyDescent="0.25">
      <c r="A126" s="74"/>
      <c r="B126" s="74"/>
      <c r="C126" s="74"/>
      <c r="D126" s="74"/>
      <c r="E126" s="74"/>
      <c r="F126" s="74"/>
      <c r="G126" s="74"/>
      <c r="H126" s="74"/>
      <c r="I126" s="74"/>
      <c r="J126" s="74"/>
      <c r="K126" s="74"/>
      <c r="L126" s="74"/>
      <c r="M126" s="74"/>
      <c r="N126" s="74"/>
      <c r="O126" s="74"/>
      <c r="P126" s="74"/>
      <c r="Q126" s="74"/>
      <c r="R126" s="74"/>
      <c r="S126" s="74"/>
      <c r="T126" s="74"/>
      <c r="U126" s="74"/>
      <c r="V126" s="74"/>
      <c r="W126" s="74"/>
      <c r="X126" s="74"/>
      <c r="Y126" s="74"/>
      <c r="Z126" s="74"/>
      <c r="AA126" s="74"/>
      <c r="AB126" s="74"/>
      <c r="AC126" s="74"/>
      <c r="AD126" s="74"/>
      <c r="AE126" s="74"/>
      <c r="AF126" s="74"/>
      <c r="AG126" s="74"/>
      <c r="AH126" s="74"/>
      <c r="AI126" s="74"/>
      <c r="AJ126" s="74"/>
      <c r="AK126" s="74"/>
      <c r="AL126" s="74"/>
      <c r="AM126" s="74"/>
      <c r="AN126" s="74"/>
      <c r="AO126" s="74"/>
      <c r="AP126" s="74"/>
      <c r="AQ126" s="74"/>
      <c r="AR126" s="74"/>
      <c r="AS126" s="74"/>
      <c r="AT126" s="74"/>
      <c r="AU126" s="74"/>
      <c r="AV126" s="74"/>
      <c r="AW126" s="74"/>
      <c r="AX126" s="74"/>
      <c r="AY126" s="74"/>
      <c r="AZ126" s="74"/>
      <c r="BA126" s="74"/>
      <c r="BB126" s="74"/>
      <c r="BC126" s="74"/>
      <c r="BD126" s="74"/>
      <c r="BE126" s="74"/>
      <c r="BF126" s="74"/>
      <c r="BG126" s="74"/>
      <c r="BH126" s="74"/>
      <c r="BI126" s="74"/>
      <c r="BJ126" s="74"/>
      <c r="BK126" s="74"/>
      <c r="BL126" s="74"/>
      <c r="BM126" s="74"/>
      <c r="BN126" s="74"/>
      <c r="BO126" s="74"/>
    </row>
    <row r="127" spans="1:67" x14ac:dyDescent="0.25">
      <c r="A127" s="74"/>
      <c r="B127" s="74"/>
      <c r="C127" s="74"/>
      <c r="D127" s="74"/>
      <c r="E127" s="74"/>
      <c r="F127" s="74"/>
      <c r="G127" s="74"/>
      <c r="H127" s="74"/>
      <c r="I127" s="74"/>
      <c r="J127" s="74"/>
      <c r="K127" s="74"/>
      <c r="L127" s="74"/>
      <c r="M127" s="74"/>
      <c r="N127" s="74"/>
      <c r="O127" s="74"/>
      <c r="P127" s="74"/>
      <c r="Q127" s="74"/>
      <c r="R127" s="74"/>
      <c r="S127" s="74"/>
      <c r="T127" s="74"/>
      <c r="U127" s="74"/>
      <c r="V127" s="74"/>
      <c r="W127" s="74"/>
      <c r="X127" s="74"/>
      <c r="Y127" s="74"/>
      <c r="Z127" s="74"/>
      <c r="AA127" s="74"/>
      <c r="AB127" s="74"/>
      <c r="AC127" s="74"/>
      <c r="AD127" s="74"/>
      <c r="AE127" s="74"/>
      <c r="AF127" s="74"/>
      <c r="AG127" s="74"/>
      <c r="AH127" s="74"/>
      <c r="AI127" s="74"/>
      <c r="AJ127" s="74"/>
      <c r="AK127" s="74"/>
      <c r="AL127" s="74"/>
      <c r="AM127" s="74"/>
      <c r="AN127" s="74"/>
      <c r="AO127" s="74"/>
      <c r="AP127" s="74"/>
      <c r="AQ127" s="74"/>
      <c r="AR127" s="74"/>
      <c r="AS127" s="74"/>
      <c r="AT127" s="74"/>
      <c r="AU127" s="74"/>
      <c r="AV127" s="74"/>
      <c r="AW127" s="74"/>
      <c r="AX127" s="74"/>
      <c r="AY127" s="74"/>
      <c r="AZ127" s="74"/>
      <c r="BA127" s="74"/>
      <c r="BB127" s="74"/>
      <c r="BC127" s="74"/>
      <c r="BD127" s="74"/>
      <c r="BE127" s="74"/>
      <c r="BF127" s="74"/>
      <c r="BG127" s="74"/>
      <c r="BH127" s="74"/>
      <c r="BI127" s="74"/>
      <c r="BJ127" s="74"/>
      <c r="BK127" s="74"/>
      <c r="BL127" s="74"/>
      <c r="BM127" s="74"/>
      <c r="BN127" s="74"/>
      <c r="BO127" s="74"/>
    </row>
    <row r="128" spans="1:67" x14ac:dyDescent="0.25">
      <c r="A128" s="74"/>
      <c r="B128" s="74"/>
      <c r="C128" s="74"/>
      <c r="D128" s="74"/>
      <c r="E128" s="74"/>
      <c r="F128" s="74"/>
      <c r="G128" s="74"/>
      <c r="H128" s="74"/>
      <c r="I128" s="74"/>
      <c r="J128" s="74"/>
      <c r="K128" s="74"/>
      <c r="L128" s="74"/>
      <c r="M128" s="74"/>
      <c r="N128" s="74"/>
      <c r="O128" s="74"/>
      <c r="P128" s="74"/>
      <c r="Q128" s="74"/>
      <c r="R128" s="74"/>
      <c r="S128" s="74"/>
      <c r="T128" s="74"/>
      <c r="U128" s="74"/>
      <c r="V128" s="74"/>
      <c r="W128" s="74"/>
      <c r="X128" s="74"/>
      <c r="Y128" s="74"/>
      <c r="Z128" s="74"/>
      <c r="AA128" s="74"/>
      <c r="AB128" s="74"/>
      <c r="AC128" s="74"/>
      <c r="AD128" s="74"/>
      <c r="AE128" s="74"/>
      <c r="AF128" s="74"/>
      <c r="AG128" s="74"/>
      <c r="AH128" s="74"/>
      <c r="AI128" s="74"/>
      <c r="AJ128" s="74"/>
      <c r="AK128" s="74"/>
      <c r="AL128" s="74"/>
      <c r="AM128" s="74"/>
      <c r="AN128" s="74"/>
      <c r="AO128" s="74"/>
      <c r="AP128" s="74"/>
      <c r="AQ128" s="74"/>
      <c r="AR128" s="74"/>
      <c r="AS128" s="74"/>
      <c r="AT128" s="74"/>
      <c r="AU128" s="74"/>
      <c r="AV128" s="74"/>
      <c r="AW128" s="74"/>
      <c r="AX128" s="74"/>
      <c r="AY128" s="74"/>
      <c r="AZ128" s="74"/>
      <c r="BA128" s="74"/>
      <c r="BB128" s="74"/>
      <c r="BC128" s="74"/>
      <c r="BD128" s="74"/>
      <c r="BE128" s="74"/>
      <c r="BF128" s="74"/>
      <c r="BG128" s="74"/>
      <c r="BH128" s="74"/>
      <c r="BI128" s="74"/>
      <c r="BJ128" s="74"/>
      <c r="BK128" s="74"/>
      <c r="BL128" s="74"/>
      <c r="BM128" s="74"/>
      <c r="BN128" s="74"/>
      <c r="BO128" s="74"/>
    </row>
    <row r="129" spans="1:67" x14ac:dyDescent="0.25">
      <c r="A129" s="74"/>
      <c r="B129" s="74"/>
      <c r="C129" s="74"/>
      <c r="D129" s="469" t="s">
        <v>740</v>
      </c>
      <c r="E129" s="74"/>
      <c r="F129" s="74"/>
      <c r="G129" s="469" t="s">
        <v>535</v>
      </c>
      <c r="H129" s="469" t="s">
        <v>536</v>
      </c>
      <c r="I129" s="469" t="s">
        <v>537</v>
      </c>
      <c r="J129" s="469" t="s">
        <v>538</v>
      </c>
      <c r="K129" s="469" t="s">
        <v>724</v>
      </c>
      <c r="L129" s="469" t="s">
        <v>725</v>
      </c>
      <c r="M129" s="469" t="s">
        <v>720</v>
      </c>
      <c r="N129" s="469" t="s">
        <v>721</v>
      </c>
      <c r="O129" s="469" t="s">
        <v>722</v>
      </c>
      <c r="P129" s="469" t="s">
        <v>727</v>
      </c>
      <c r="Q129" s="469" t="s">
        <v>533</v>
      </c>
      <c r="R129" s="469" t="s">
        <v>534</v>
      </c>
      <c r="S129" s="470"/>
      <c r="T129" s="470"/>
      <c r="U129" s="74"/>
      <c r="V129" s="74"/>
      <c r="W129" s="74"/>
      <c r="X129" s="74"/>
      <c r="Y129" s="74"/>
      <c r="Z129" s="74"/>
      <c r="AA129" s="74"/>
      <c r="AB129" s="74"/>
      <c r="AC129" s="74"/>
      <c r="AD129" s="74"/>
      <c r="AE129" s="74"/>
      <c r="AF129" s="74"/>
      <c r="AG129" s="74"/>
      <c r="AH129" s="74"/>
      <c r="AI129" s="74"/>
      <c r="AJ129" s="74"/>
      <c r="AK129" s="74"/>
      <c r="AL129" s="74"/>
      <c r="AM129" s="74"/>
      <c r="AN129" s="74"/>
      <c r="AO129" s="74"/>
      <c r="AP129" s="74"/>
      <c r="AQ129" s="74"/>
      <c r="AR129" s="74"/>
      <c r="AS129" s="74"/>
      <c r="AT129" s="74"/>
      <c r="AU129" s="74"/>
      <c r="AV129" s="74"/>
      <c r="AW129" s="74"/>
      <c r="AX129" s="74"/>
      <c r="AY129" s="74"/>
      <c r="AZ129" s="74"/>
      <c r="BA129" s="74"/>
      <c r="BB129" s="74"/>
      <c r="BC129" s="74"/>
      <c r="BD129" s="74"/>
      <c r="BE129" s="74"/>
      <c r="BF129" s="74"/>
      <c r="BG129" s="74"/>
      <c r="BH129" s="74"/>
      <c r="BI129" s="74"/>
      <c r="BJ129" s="74"/>
      <c r="BK129" s="74"/>
      <c r="BL129" s="74"/>
      <c r="BM129" s="74"/>
      <c r="BN129" s="74"/>
      <c r="BO129" s="74"/>
    </row>
    <row r="130" spans="1:67" x14ac:dyDescent="0.25">
      <c r="A130" s="74"/>
      <c r="B130" s="74"/>
      <c r="C130" s="74"/>
      <c r="D130" s="74"/>
      <c r="E130" s="74"/>
      <c r="F130" s="74"/>
      <c r="G130" s="471">
        <f>R130+4</f>
        <v>32</v>
      </c>
      <c r="H130" s="471">
        <f>G130+4</f>
        <v>36</v>
      </c>
      <c r="I130" s="471">
        <f>H130+4</f>
        <v>40</v>
      </c>
      <c r="J130" s="471">
        <f>I130+4</f>
        <v>44</v>
      </c>
      <c r="K130" s="471">
        <f>J130+4</f>
        <v>48</v>
      </c>
      <c r="L130" s="471">
        <f>K130+4</f>
        <v>52</v>
      </c>
      <c r="M130" s="471">
        <v>8</v>
      </c>
      <c r="N130" s="471">
        <f>M130+4</f>
        <v>12</v>
      </c>
      <c r="O130" s="471">
        <f>N130+4</f>
        <v>16</v>
      </c>
      <c r="P130" s="471">
        <f>O130+4</f>
        <v>20</v>
      </c>
      <c r="Q130" s="471">
        <f>P130+4</f>
        <v>24</v>
      </c>
      <c r="R130" s="471">
        <f>Q130+4</f>
        <v>28</v>
      </c>
      <c r="S130" s="472"/>
      <c r="T130" s="472"/>
      <c r="U130" s="74"/>
      <c r="V130" s="74"/>
      <c r="W130" s="74"/>
      <c r="X130" s="74"/>
      <c r="Y130" s="74"/>
      <c r="Z130" s="74"/>
      <c r="AA130" s="74"/>
      <c r="AB130" s="74"/>
      <c r="AC130" s="74"/>
      <c r="AD130" s="74"/>
      <c r="AE130" s="74"/>
      <c r="AF130" s="74"/>
      <c r="AG130" s="74"/>
      <c r="AH130" s="74"/>
      <c r="AI130" s="74"/>
      <c r="AJ130" s="74"/>
      <c r="AK130" s="74"/>
      <c r="AL130" s="74"/>
      <c r="AM130" s="74"/>
      <c r="AN130" s="74"/>
      <c r="AO130" s="74"/>
      <c r="AP130" s="74"/>
      <c r="AQ130" s="74"/>
      <c r="AR130" s="74"/>
      <c r="AS130" s="74"/>
      <c r="AT130" s="74"/>
      <c r="AU130" s="74"/>
      <c r="AV130" s="74"/>
      <c r="AW130" s="74"/>
      <c r="AX130" s="74"/>
      <c r="AY130" s="74"/>
      <c r="AZ130" s="74"/>
      <c r="BA130" s="74"/>
      <c r="BB130" s="74"/>
      <c r="BC130" s="74"/>
      <c r="BD130" s="74"/>
      <c r="BE130" s="74"/>
      <c r="BF130" s="74"/>
      <c r="BG130" s="74"/>
      <c r="BH130" s="74"/>
      <c r="BI130" s="74"/>
      <c r="BJ130" s="74"/>
      <c r="BK130" s="74"/>
      <c r="BL130" s="74"/>
      <c r="BM130" s="74"/>
      <c r="BN130" s="74"/>
      <c r="BO130" s="74"/>
    </row>
    <row r="131" spans="1:67" x14ac:dyDescent="0.25">
      <c r="A131" s="74"/>
      <c r="B131" s="74"/>
      <c r="C131" s="74"/>
      <c r="D131" s="74"/>
      <c r="E131" s="74"/>
      <c r="F131" s="74"/>
      <c r="G131" s="74"/>
      <c r="H131" s="74"/>
      <c r="I131" s="74"/>
      <c r="J131" s="74"/>
      <c r="K131" s="74"/>
      <c r="L131" s="74"/>
      <c r="M131" s="74"/>
      <c r="N131" s="74"/>
      <c r="O131" s="74"/>
      <c r="P131" s="74"/>
      <c r="Q131" s="74"/>
      <c r="R131" s="74"/>
      <c r="S131" s="74"/>
      <c r="T131" s="74"/>
      <c r="U131" s="74"/>
      <c r="V131" s="74"/>
      <c r="W131" s="74"/>
      <c r="X131" s="74"/>
      <c r="Y131" s="74"/>
      <c r="Z131" s="74"/>
      <c r="AA131" s="74"/>
      <c r="AB131" s="74"/>
      <c r="AC131" s="74"/>
      <c r="AD131" s="74"/>
      <c r="AE131" s="74"/>
      <c r="AF131" s="74"/>
      <c r="AG131" s="74"/>
      <c r="AH131" s="74"/>
    </row>
    <row r="132" spans="1:67" x14ac:dyDescent="0.25">
      <c r="A132" s="469"/>
      <c r="B132" s="474" t="s">
        <v>443</v>
      </c>
      <c r="C132" s="474" t="s">
        <v>741</v>
      </c>
      <c r="D132" s="474" t="s">
        <v>517</v>
      </c>
      <c r="E132" s="475" t="s">
        <v>528</v>
      </c>
      <c r="F132" s="474"/>
      <c r="G132" s="476" t="s">
        <v>902</v>
      </c>
      <c r="H132" s="476" t="s">
        <v>902</v>
      </c>
      <c r="I132" s="476" t="s">
        <v>902</v>
      </c>
      <c r="J132" s="476" t="s">
        <v>902</v>
      </c>
      <c r="K132" s="476" t="s">
        <v>902</v>
      </c>
      <c r="L132" s="476" t="s">
        <v>902</v>
      </c>
      <c r="M132" s="476" t="s">
        <v>902</v>
      </c>
      <c r="N132" s="476" t="s">
        <v>902</v>
      </c>
      <c r="O132" s="476" t="s">
        <v>902</v>
      </c>
      <c r="P132" s="476" t="s">
        <v>902</v>
      </c>
      <c r="Q132" s="476" t="s">
        <v>902</v>
      </c>
      <c r="R132" s="476" t="s">
        <v>902</v>
      </c>
      <c r="S132" s="74"/>
      <c r="T132" s="74"/>
      <c r="U132" s="74"/>
      <c r="V132" s="74"/>
      <c r="W132" s="74"/>
      <c r="X132" s="74"/>
      <c r="Y132" s="74"/>
      <c r="Z132" s="74"/>
      <c r="AA132" s="74"/>
      <c r="AB132" s="74"/>
      <c r="AC132" s="74"/>
      <c r="AD132" s="74"/>
      <c r="AE132" s="74"/>
      <c r="AF132" s="74"/>
      <c r="AG132" s="74"/>
      <c r="AH132" s="74"/>
    </row>
    <row r="133" spans="1:67" x14ac:dyDescent="0.25">
      <c r="A133" s="469"/>
      <c r="B133" s="474" t="s">
        <v>492</v>
      </c>
      <c r="C133" s="474" t="s">
        <v>516</v>
      </c>
      <c r="D133" s="474"/>
      <c r="E133" s="474" t="s">
        <v>530</v>
      </c>
      <c r="F133" s="478" t="s">
        <v>1600</v>
      </c>
      <c r="G133" s="474" t="s">
        <v>496</v>
      </c>
      <c r="H133" s="474" t="s">
        <v>496</v>
      </c>
      <c r="I133" s="474" t="s">
        <v>496</v>
      </c>
      <c r="J133" s="474" t="s">
        <v>496</v>
      </c>
      <c r="K133" s="474" t="s">
        <v>496</v>
      </c>
      <c r="L133" s="474" t="s">
        <v>496</v>
      </c>
      <c r="M133" s="474" t="s">
        <v>496</v>
      </c>
      <c r="N133" s="474" t="s">
        <v>496</v>
      </c>
      <c r="O133" s="474" t="s">
        <v>496</v>
      </c>
      <c r="P133" s="474" t="s">
        <v>496</v>
      </c>
      <c r="Q133" s="474" t="s">
        <v>496</v>
      </c>
      <c r="R133" s="474" t="s">
        <v>496</v>
      </c>
      <c r="S133" s="74"/>
      <c r="T133" s="74"/>
      <c r="U133" s="74"/>
      <c r="V133" s="74"/>
      <c r="W133" s="74"/>
      <c r="X133" s="74"/>
      <c r="Y133" s="74"/>
      <c r="Z133" s="74"/>
      <c r="AA133" s="74"/>
      <c r="AB133" s="74"/>
      <c r="AC133" s="74"/>
      <c r="AD133" s="74"/>
      <c r="AE133" s="74"/>
      <c r="AF133" s="74"/>
      <c r="AG133" s="74"/>
      <c r="AH133" s="74"/>
    </row>
    <row r="134" spans="1:67" x14ac:dyDescent="0.25">
      <c r="A134" s="480" t="s">
        <v>514</v>
      </c>
      <c r="B134" s="483">
        <f>'Ввод исходных данных'!G51</f>
        <v>0</v>
      </c>
      <c r="C134" s="482" t="e">
        <f>IF('Ввод исходных данных'!D70=0,IF('Ввод исходных данных'!D13=списки!Y51,'Серии теплотехника'!C412,IF('Ввод исходных данных'!D13=списки!Y50,'Серии теплотехника'!B412,VLOOKUP(CONCATENATE('Ввод исходных данных'!$D$14,IF('Ввод исходных данных'!$D$15="выберите ниже",'Ввод исходных данных'!$D$16,'Ввод исходных данных'!$D$15)),'Серии теплотехника'!B5:K33,10,FALSE))),'Ввод исходных данных'!D70)</f>
        <v>#N/A</v>
      </c>
      <c r="D134" s="481">
        <v>1</v>
      </c>
      <c r="E134" s="483" t="e">
        <f>IF(C134=0,0,B134/C134*D134)</f>
        <v>#N/A</v>
      </c>
      <c r="F134" s="484" t="e">
        <f>E134*(20-$D$145)</f>
        <v>#N/A</v>
      </c>
      <c r="G134" s="483" t="e">
        <f t="shared" ref="G134:R134" si="198">$E$134*0.024*G$147</f>
        <v>#N/A</v>
      </c>
      <c r="H134" s="483" t="e">
        <f t="shared" si="198"/>
        <v>#N/A</v>
      </c>
      <c r="I134" s="483" t="e">
        <f t="shared" si="198"/>
        <v>#N/A</v>
      </c>
      <c r="J134" s="483" t="e">
        <f t="shared" si="198"/>
        <v>#N/A</v>
      </c>
      <c r="K134" s="483" t="e">
        <f t="shared" si="198"/>
        <v>#N/A</v>
      </c>
      <c r="L134" s="483" t="e">
        <f t="shared" si="198"/>
        <v>#N/A</v>
      </c>
      <c r="M134" s="483" t="e">
        <f t="shared" si="198"/>
        <v>#N/A</v>
      </c>
      <c r="N134" s="483" t="e">
        <f t="shared" si="198"/>
        <v>#N/A</v>
      </c>
      <c r="O134" s="483" t="e">
        <f t="shared" si="198"/>
        <v>#N/A</v>
      </c>
      <c r="P134" s="483" t="e">
        <f t="shared" si="198"/>
        <v>#N/A</v>
      </c>
      <c r="Q134" s="483" t="e">
        <f t="shared" si="198"/>
        <v>#N/A</v>
      </c>
      <c r="R134" s="483" t="e">
        <f t="shared" si="198"/>
        <v>#N/A</v>
      </c>
      <c r="S134" s="74"/>
      <c r="T134" s="74"/>
      <c r="U134" s="74"/>
      <c r="V134" s="74"/>
      <c r="W134" s="74"/>
      <c r="X134" s="74"/>
      <c r="Y134" s="74"/>
      <c r="Z134" s="74"/>
      <c r="AA134" s="74"/>
      <c r="AB134" s="74"/>
      <c r="AC134" s="74"/>
      <c r="AD134" s="74"/>
      <c r="AE134" s="74"/>
      <c r="AF134" s="74"/>
      <c r="AG134" s="74"/>
      <c r="AH134" s="74"/>
    </row>
    <row r="135" spans="1:67" x14ac:dyDescent="0.25">
      <c r="A135" s="480" t="s">
        <v>611</v>
      </c>
      <c r="B135" s="483">
        <f>'Ввод исходных данных'!G53</f>
        <v>0</v>
      </c>
      <c r="C135" s="912" t="e">
        <f>IF('Ввод исходных данных'!D71=0,'Ввод исходных данных'!G54*(1-'Ввод исходных данных'!D33/'Ввод исходных данных'!G52)+('Ввод исходных данных'!G54+0.3)*('Ввод исходных данных'!D33/'Ввод исходных данных'!G52),'Ввод исходных данных'!D71)</f>
        <v>#N/A</v>
      </c>
      <c r="D135" s="481">
        <v>1</v>
      </c>
      <c r="E135" s="483" t="e">
        <f t="shared" ref="E135:E138" si="199">IF(C135=0,0,B135/C135*D135)</f>
        <v>#N/A</v>
      </c>
      <c r="F135" s="484" t="e">
        <f t="shared" ref="F135:F143" si="200">E135*(20-$D$145)</f>
        <v>#N/A</v>
      </c>
      <c r="G135" s="483" t="e">
        <f t="shared" ref="G135:R135" si="201">$E$135*0.024*G$147</f>
        <v>#N/A</v>
      </c>
      <c r="H135" s="483" t="e">
        <f t="shared" si="201"/>
        <v>#N/A</v>
      </c>
      <c r="I135" s="483" t="e">
        <f t="shared" si="201"/>
        <v>#N/A</v>
      </c>
      <c r="J135" s="483" t="e">
        <f t="shared" si="201"/>
        <v>#N/A</v>
      </c>
      <c r="K135" s="483" t="e">
        <f t="shared" si="201"/>
        <v>#N/A</v>
      </c>
      <c r="L135" s="483" t="e">
        <f t="shared" si="201"/>
        <v>#N/A</v>
      </c>
      <c r="M135" s="483" t="e">
        <f t="shared" si="201"/>
        <v>#N/A</v>
      </c>
      <c r="N135" s="483" t="e">
        <f t="shared" si="201"/>
        <v>#N/A</v>
      </c>
      <c r="O135" s="483" t="e">
        <f t="shared" si="201"/>
        <v>#N/A</v>
      </c>
      <c r="P135" s="483" t="e">
        <f t="shared" si="201"/>
        <v>#N/A</v>
      </c>
      <c r="Q135" s="483" t="e">
        <f t="shared" si="201"/>
        <v>#N/A</v>
      </c>
      <c r="R135" s="483" t="e">
        <f t="shared" si="201"/>
        <v>#N/A</v>
      </c>
      <c r="S135" s="74"/>
      <c r="T135" s="74"/>
      <c r="U135" s="74"/>
      <c r="V135" s="74"/>
      <c r="W135" s="74"/>
      <c r="X135" s="74"/>
      <c r="Y135" s="74"/>
      <c r="Z135" s="74"/>
      <c r="AA135" s="74"/>
      <c r="AB135" s="74"/>
      <c r="AC135" s="74"/>
      <c r="AD135" s="74"/>
      <c r="AE135" s="74"/>
      <c r="AF135" s="74"/>
      <c r="AG135" s="74"/>
      <c r="AH135" s="74"/>
    </row>
    <row r="136" spans="1:67" x14ac:dyDescent="0.25">
      <c r="A136" s="480" t="s">
        <v>612</v>
      </c>
      <c r="B136" s="483">
        <f>'Ввод исходных данных'!G56</f>
        <v>0</v>
      </c>
      <c r="C136" s="912" t="e">
        <f>IF('Ввод исходных данных'!D72=0,0.4*(1-'Ввод исходных данных'!$D$34/'Ввод исходных данных'!G55)+0.55*('Ввод исходных данных'!$D$34/'Ввод исходных данных'!G55),'Ввод исходных данных'!D72)</f>
        <v>#DIV/0!</v>
      </c>
      <c r="D136" s="481">
        <v>1</v>
      </c>
      <c r="E136" s="483" t="e">
        <f t="shared" si="199"/>
        <v>#DIV/0!</v>
      </c>
      <c r="F136" s="484" t="e">
        <f t="shared" si="200"/>
        <v>#DIV/0!</v>
      </c>
      <c r="G136" s="483" t="e">
        <f t="shared" ref="G136:R136" si="202">$E$136*0.024*G$147</f>
        <v>#DIV/0!</v>
      </c>
      <c r="H136" s="483" t="e">
        <f t="shared" si="202"/>
        <v>#DIV/0!</v>
      </c>
      <c r="I136" s="483" t="e">
        <f t="shared" si="202"/>
        <v>#DIV/0!</v>
      </c>
      <c r="J136" s="483" t="e">
        <f t="shared" si="202"/>
        <v>#DIV/0!</v>
      </c>
      <c r="K136" s="483" t="e">
        <f t="shared" si="202"/>
        <v>#DIV/0!</v>
      </c>
      <c r="L136" s="483" t="e">
        <f t="shared" si="202"/>
        <v>#DIV/0!</v>
      </c>
      <c r="M136" s="483" t="e">
        <f t="shared" si="202"/>
        <v>#DIV/0!</v>
      </c>
      <c r="N136" s="483" t="e">
        <f t="shared" si="202"/>
        <v>#DIV/0!</v>
      </c>
      <c r="O136" s="483" t="e">
        <f t="shared" si="202"/>
        <v>#DIV/0!</v>
      </c>
      <c r="P136" s="483" t="e">
        <f t="shared" si="202"/>
        <v>#DIV/0!</v>
      </c>
      <c r="Q136" s="483" t="e">
        <f t="shared" si="202"/>
        <v>#DIV/0!</v>
      </c>
      <c r="R136" s="483" t="e">
        <f t="shared" si="202"/>
        <v>#DIV/0!</v>
      </c>
      <c r="S136" s="74"/>
      <c r="T136" s="74"/>
      <c r="U136" s="74"/>
      <c r="V136" s="74"/>
      <c r="W136" s="74"/>
      <c r="X136" s="74"/>
      <c r="Y136" s="74"/>
      <c r="Z136" s="74"/>
      <c r="AA136" s="74"/>
      <c r="AB136" s="74"/>
      <c r="AC136" s="74"/>
      <c r="AD136" s="74"/>
      <c r="AE136" s="74"/>
      <c r="AF136" s="74"/>
      <c r="AG136" s="74"/>
      <c r="AH136" s="74"/>
    </row>
    <row r="137" spans="1:67" x14ac:dyDescent="0.25">
      <c r="A137" s="480" t="s">
        <v>1588</v>
      </c>
      <c r="B137" s="483">
        <f>'Ввод исходных данных'!G59</f>
        <v>0</v>
      </c>
      <c r="C137" s="912">
        <f>IF('Ввод исходных данных'!D73=0,IF(B137=0,0.4,0.4*(1-'Ввод исходных данных'!$D$35/'Ввод исходных данных'!G59)+0.55*('Ввод исходных данных'!$D$35/'Ввод исходных данных'!G59)),'Ввод исходных данных'!D73)</f>
        <v>0.4</v>
      </c>
      <c r="D137" s="481">
        <v>1</v>
      </c>
      <c r="E137" s="483">
        <f t="shared" ref="E137" si="203">IF(C137=0,0,B137/C137*D137)</f>
        <v>0</v>
      </c>
      <c r="F137" s="484" t="e">
        <f t="shared" si="200"/>
        <v>#N/A</v>
      </c>
      <c r="G137" s="483" t="e">
        <f>$E$137*0.024*G$147</f>
        <v>#N/A</v>
      </c>
      <c r="H137" s="483" t="e">
        <f t="shared" ref="H137:R137" si="204">$E$137*0.024*H$147</f>
        <v>#N/A</v>
      </c>
      <c r="I137" s="483" t="e">
        <f t="shared" si="204"/>
        <v>#N/A</v>
      </c>
      <c r="J137" s="483" t="e">
        <f t="shared" si="204"/>
        <v>#N/A</v>
      </c>
      <c r="K137" s="483" t="e">
        <f t="shared" si="204"/>
        <v>#N/A</v>
      </c>
      <c r="L137" s="483" t="e">
        <f t="shared" si="204"/>
        <v>#N/A</v>
      </c>
      <c r="M137" s="483" t="e">
        <f t="shared" si="204"/>
        <v>#N/A</v>
      </c>
      <c r="N137" s="483" t="e">
        <f t="shared" si="204"/>
        <v>#N/A</v>
      </c>
      <c r="O137" s="483" t="e">
        <f t="shared" si="204"/>
        <v>#N/A</v>
      </c>
      <c r="P137" s="483" t="e">
        <f t="shared" si="204"/>
        <v>#N/A</v>
      </c>
      <c r="Q137" s="483" t="e">
        <f t="shared" si="204"/>
        <v>#N/A</v>
      </c>
      <c r="R137" s="483" t="e">
        <f t="shared" si="204"/>
        <v>#N/A</v>
      </c>
      <c r="S137" s="74"/>
      <c r="T137" s="74"/>
      <c r="U137" s="74"/>
      <c r="V137" s="74"/>
      <c r="W137" s="74"/>
      <c r="X137" s="74"/>
      <c r="Y137" s="74"/>
      <c r="Z137" s="74"/>
      <c r="AA137" s="74"/>
      <c r="AB137" s="74"/>
      <c r="AC137" s="74"/>
      <c r="AD137" s="74"/>
      <c r="AE137" s="74"/>
      <c r="AF137" s="74"/>
      <c r="AG137" s="74"/>
      <c r="AH137" s="74"/>
    </row>
    <row r="138" spans="1:67" x14ac:dyDescent="0.25">
      <c r="A138" s="480" t="s">
        <v>1329</v>
      </c>
      <c r="B138" s="483">
        <f>'Ввод исходных данных'!G60</f>
        <v>0</v>
      </c>
      <c r="C138" s="912">
        <f>IF('Ввод исходных данных'!D74=0,IF('Ввод исходных данных'!D13=списки!Y51,'Серии теплотехника'!C413,IF('Ввод исходных данных'!D13=списки!Y50,'Серии теплотехника'!B413,'Серии теплотехника'!B47))+IF(списки!D36=1,1,0),'Ввод исходных данных'!D74)</f>
        <v>1.32</v>
      </c>
      <c r="D138" s="481">
        <v>1</v>
      </c>
      <c r="E138" s="483">
        <f t="shared" si="199"/>
        <v>0</v>
      </c>
      <c r="F138" s="484" t="e">
        <f t="shared" si="200"/>
        <v>#N/A</v>
      </c>
      <c r="G138" s="483" t="e">
        <f t="shared" ref="G138:R138" si="205">$E$138*0.024*G$147</f>
        <v>#N/A</v>
      </c>
      <c r="H138" s="483" t="e">
        <f t="shared" si="205"/>
        <v>#N/A</v>
      </c>
      <c r="I138" s="483" t="e">
        <f t="shared" si="205"/>
        <v>#N/A</v>
      </c>
      <c r="J138" s="483" t="e">
        <f t="shared" si="205"/>
        <v>#N/A</v>
      </c>
      <c r="K138" s="483" t="e">
        <f t="shared" si="205"/>
        <v>#N/A</v>
      </c>
      <c r="L138" s="483" t="e">
        <f t="shared" si="205"/>
        <v>#N/A</v>
      </c>
      <c r="M138" s="483" t="e">
        <f t="shared" si="205"/>
        <v>#N/A</v>
      </c>
      <c r="N138" s="483" t="e">
        <f t="shared" si="205"/>
        <v>#N/A</v>
      </c>
      <c r="O138" s="483" t="e">
        <f t="shared" si="205"/>
        <v>#N/A</v>
      </c>
      <c r="P138" s="483" t="e">
        <f t="shared" si="205"/>
        <v>#N/A</v>
      </c>
      <c r="Q138" s="483" t="e">
        <f t="shared" si="205"/>
        <v>#N/A</v>
      </c>
      <c r="R138" s="483" t="e">
        <f t="shared" si="205"/>
        <v>#N/A</v>
      </c>
      <c r="S138" s="74"/>
      <c r="T138" s="74"/>
      <c r="U138" s="74"/>
      <c r="V138" s="74"/>
      <c r="W138" s="74"/>
      <c r="X138" s="74"/>
      <c r="Y138" s="74"/>
      <c r="Z138" s="74"/>
      <c r="AA138" s="74"/>
      <c r="AB138" s="74"/>
      <c r="AC138" s="74"/>
      <c r="AD138" s="74"/>
      <c r="AE138" s="74"/>
      <c r="AF138" s="74"/>
      <c r="AG138" s="74"/>
      <c r="AH138" s="74"/>
    </row>
    <row r="139" spans="1:67" x14ac:dyDescent="0.25">
      <c r="A139" s="480" t="s">
        <v>1330</v>
      </c>
      <c r="B139" s="483">
        <f>'Ввод исходных данных'!G62</f>
        <v>0</v>
      </c>
      <c r="C139" s="913" t="e">
        <f>IF('Ввод исходных данных'!D74=0,IF('Ввод исходных данных'!D13=списки!Y51,'Серии теплотехника'!C414,IF('Ввод исходных данных'!D13=списки!Y50,'Серии теплотехника'!B414,'Серии теплотехника'!B48))+IF(списки!D36=1,1,0),'Ввод исходных данных'!D74)</f>
        <v>#N/A</v>
      </c>
      <c r="D139" s="914" t="e">
        <f>(20-'Расчет базового уровня'!$D$159)/(20-'Расчет базового уровня'!$D$145)</f>
        <v>#N/A</v>
      </c>
      <c r="E139" s="483" t="e">
        <f>IF(C139=0,0,B139/C139*D139)</f>
        <v>#N/A</v>
      </c>
      <c r="F139" s="484" t="e">
        <f t="shared" si="200"/>
        <v>#N/A</v>
      </c>
      <c r="G139" s="483" t="e">
        <f t="shared" ref="G139:R140" si="206">$E$139*0.024*G$147</f>
        <v>#N/A</v>
      </c>
      <c r="H139" s="483" t="e">
        <f t="shared" si="206"/>
        <v>#N/A</v>
      </c>
      <c r="I139" s="483" t="e">
        <f t="shared" si="206"/>
        <v>#N/A</v>
      </c>
      <c r="J139" s="483" t="e">
        <f t="shared" si="206"/>
        <v>#N/A</v>
      </c>
      <c r="K139" s="483" t="e">
        <f t="shared" si="206"/>
        <v>#N/A</v>
      </c>
      <c r="L139" s="483" t="e">
        <f t="shared" si="206"/>
        <v>#N/A</v>
      </c>
      <c r="M139" s="483" t="e">
        <f t="shared" si="206"/>
        <v>#N/A</v>
      </c>
      <c r="N139" s="483" t="e">
        <f t="shared" si="206"/>
        <v>#N/A</v>
      </c>
      <c r="O139" s="483" t="e">
        <f t="shared" si="206"/>
        <v>#N/A</v>
      </c>
      <c r="P139" s="483" t="e">
        <f t="shared" si="206"/>
        <v>#N/A</v>
      </c>
      <c r="Q139" s="483" t="e">
        <f t="shared" si="206"/>
        <v>#N/A</v>
      </c>
      <c r="R139" s="483" t="e">
        <f t="shared" si="206"/>
        <v>#N/A</v>
      </c>
      <c r="S139" s="74"/>
      <c r="T139" s="74"/>
      <c r="U139" s="74"/>
      <c r="V139" s="74"/>
      <c r="W139" s="74"/>
      <c r="X139" s="74"/>
      <c r="Y139" s="74"/>
      <c r="Z139" s="74"/>
      <c r="AA139" s="74"/>
      <c r="AB139" s="74"/>
      <c r="AC139" s="74"/>
      <c r="AD139" s="74"/>
      <c r="AE139" s="74"/>
      <c r="AF139" s="74"/>
      <c r="AG139" s="74"/>
      <c r="AH139" s="74"/>
    </row>
    <row r="140" spans="1:67" x14ac:dyDescent="0.25">
      <c r="A140" s="480" t="s">
        <v>1331</v>
      </c>
      <c r="B140" s="483">
        <f>'Ввод исходных данных'!G61</f>
        <v>0</v>
      </c>
      <c r="C140" s="913" t="e">
        <f>IF('Ввод исходных данных'!D74=0,IF('Ввод исходных данных'!D13=списки!Y51,'Серии теплотехника'!C414,IF('Ввод исходных данных'!D13=списки!Y50,'Серии теплотехника'!B414,'Серии теплотехника'!B48))+IF(списки!D36=1,1,0),'Ввод исходных данных'!D74)</f>
        <v>#N/A</v>
      </c>
      <c r="D140" s="481">
        <v>0.9</v>
      </c>
      <c r="E140" s="483" t="e">
        <f>IF(C140=0,0,B140/C140*D140)</f>
        <v>#N/A</v>
      </c>
      <c r="F140" s="484" t="e">
        <f t="shared" si="200"/>
        <v>#N/A</v>
      </c>
      <c r="G140" s="483" t="e">
        <f t="shared" si="206"/>
        <v>#N/A</v>
      </c>
      <c r="H140" s="483" t="e">
        <f t="shared" si="206"/>
        <v>#N/A</v>
      </c>
      <c r="I140" s="483" t="e">
        <f t="shared" si="206"/>
        <v>#N/A</v>
      </c>
      <c r="J140" s="483" t="e">
        <f t="shared" si="206"/>
        <v>#N/A</v>
      </c>
      <c r="K140" s="483" t="e">
        <f t="shared" si="206"/>
        <v>#N/A</v>
      </c>
      <c r="L140" s="483" t="e">
        <f t="shared" si="206"/>
        <v>#N/A</v>
      </c>
      <c r="M140" s="483" t="e">
        <f t="shared" si="206"/>
        <v>#N/A</v>
      </c>
      <c r="N140" s="483" t="e">
        <f t="shared" si="206"/>
        <v>#N/A</v>
      </c>
      <c r="O140" s="483" t="e">
        <f t="shared" si="206"/>
        <v>#N/A</v>
      </c>
      <c r="P140" s="483" t="e">
        <f t="shared" si="206"/>
        <v>#N/A</v>
      </c>
      <c r="Q140" s="483" t="e">
        <f t="shared" si="206"/>
        <v>#N/A</v>
      </c>
      <c r="R140" s="483" t="e">
        <f t="shared" si="206"/>
        <v>#N/A</v>
      </c>
      <c r="S140" s="74"/>
      <c r="T140" s="74"/>
      <c r="U140" s="74"/>
      <c r="V140" s="74"/>
      <c r="W140" s="74"/>
      <c r="X140" s="74"/>
      <c r="Y140" s="74"/>
      <c r="Z140" s="74"/>
      <c r="AA140" s="74"/>
      <c r="AB140" s="74"/>
      <c r="AC140" s="74"/>
      <c r="AD140" s="74"/>
      <c r="AE140" s="74"/>
      <c r="AF140" s="74"/>
      <c r="AG140" s="74"/>
      <c r="AH140" s="74"/>
    </row>
    <row r="141" spans="1:67" x14ac:dyDescent="0.25">
      <c r="A141" s="480" t="s">
        <v>1332</v>
      </c>
      <c r="B141" s="483">
        <f>'Ввод исходных данных'!G64</f>
        <v>0</v>
      </c>
      <c r="C141" s="482" t="e">
        <f>IF('Ввод исходных данных'!D75=0,'Серии теплотехника'!B51+IF(списки!D37=1,1,0),'Ввод исходных данных'!D75)</f>
        <v>#N/A</v>
      </c>
      <c r="D141" s="481">
        <v>1</v>
      </c>
      <c r="E141" s="483" t="e">
        <f>IF(C141=0,0,B141/C141*D141)</f>
        <v>#N/A</v>
      </c>
      <c r="F141" s="484" t="e">
        <f t="shared" si="200"/>
        <v>#N/A</v>
      </c>
      <c r="G141" s="483" t="e">
        <f t="shared" ref="G141:R141" si="207">$E$141*0.024*G$147</f>
        <v>#N/A</v>
      </c>
      <c r="H141" s="483" t="e">
        <f t="shared" si="207"/>
        <v>#N/A</v>
      </c>
      <c r="I141" s="483" t="e">
        <f t="shared" si="207"/>
        <v>#N/A</v>
      </c>
      <c r="J141" s="483" t="e">
        <f t="shared" si="207"/>
        <v>#N/A</v>
      </c>
      <c r="K141" s="483" t="e">
        <f t="shared" si="207"/>
        <v>#N/A</v>
      </c>
      <c r="L141" s="483" t="e">
        <f t="shared" si="207"/>
        <v>#N/A</v>
      </c>
      <c r="M141" s="483" t="e">
        <f t="shared" si="207"/>
        <v>#N/A</v>
      </c>
      <c r="N141" s="483" t="e">
        <f t="shared" si="207"/>
        <v>#N/A</v>
      </c>
      <c r="O141" s="483" t="e">
        <f t="shared" si="207"/>
        <v>#N/A</v>
      </c>
      <c r="P141" s="483" t="e">
        <f t="shared" si="207"/>
        <v>#N/A</v>
      </c>
      <c r="Q141" s="483" t="e">
        <f t="shared" si="207"/>
        <v>#N/A</v>
      </c>
      <c r="R141" s="483" t="e">
        <f t="shared" si="207"/>
        <v>#N/A</v>
      </c>
      <c r="S141" s="74"/>
      <c r="T141" s="74"/>
      <c r="U141" s="74"/>
      <c r="V141" s="74"/>
      <c r="W141" s="74"/>
      <c r="X141" s="74"/>
      <c r="Y141" s="74"/>
      <c r="Z141" s="74"/>
      <c r="AA141" s="74"/>
      <c r="AB141" s="74"/>
      <c r="AC141" s="74"/>
      <c r="AD141" s="74"/>
      <c r="AE141" s="74"/>
      <c r="AF141" s="74"/>
      <c r="AG141" s="74"/>
      <c r="AH141" s="74"/>
    </row>
    <row r="142" spans="1:67" x14ac:dyDescent="0.25">
      <c r="A142" s="480" t="s">
        <v>1328</v>
      </c>
      <c r="B142" s="483">
        <f>'Ввод исходных данных'!G63</f>
        <v>0</v>
      </c>
      <c r="C142" s="915" t="e">
        <f>IF('Ввод исходных данных'!D74=0,IF('Ввод исходных данных'!D13=списки!Y51,'Серии теплотехника'!C414,IF('Ввод исходных данных'!D13=списки!Y50,'Серии теплотехника'!B414,'Серии теплотехника'!B50))+IF(списки!D37=1,1,0),'Ввод исходных данных'!D75)</f>
        <v>#N/A</v>
      </c>
      <c r="D142" s="486" t="e">
        <f>('Ввод исходных данных'!D83-'Расчет базового уровня'!$D$160)/('Ввод исходных данных'!D83-'Расчет базового уровня'!$D$145)</f>
        <v>#N/A</v>
      </c>
      <c r="E142" s="483" t="e">
        <f>IF(C142=0,0,B142/C142*D142)</f>
        <v>#N/A</v>
      </c>
      <c r="F142" s="484" t="e">
        <f t="shared" si="200"/>
        <v>#N/A</v>
      </c>
      <c r="G142" s="483" t="e">
        <f>$E$142*0.024*G$147</f>
        <v>#N/A</v>
      </c>
      <c r="H142" s="483" t="e">
        <f>$E$142*0.024*H$147</f>
        <v>#N/A</v>
      </c>
      <c r="I142" s="483" t="e">
        <f t="shared" ref="I142:R142" si="208">$E$142*0.024*I$147</f>
        <v>#N/A</v>
      </c>
      <c r="J142" s="483" t="e">
        <f t="shared" si="208"/>
        <v>#N/A</v>
      </c>
      <c r="K142" s="483" t="e">
        <f t="shared" si="208"/>
        <v>#N/A</v>
      </c>
      <c r="L142" s="483" t="e">
        <f t="shared" si="208"/>
        <v>#N/A</v>
      </c>
      <c r="M142" s="483" t="e">
        <f t="shared" si="208"/>
        <v>#N/A</v>
      </c>
      <c r="N142" s="483" t="e">
        <f t="shared" si="208"/>
        <v>#N/A</v>
      </c>
      <c r="O142" s="483" t="e">
        <f t="shared" si="208"/>
        <v>#N/A</v>
      </c>
      <c r="P142" s="483" t="e">
        <f t="shared" si="208"/>
        <v>#N/A</v>
      </c>
      <c r="Q142" s="483" t="e">
        <f t="shared" si="208"/>
        <v>#N/A</v>
      </c>
      <c r="R142" s="483" t="e">
        <f t="shared" si="208"/>
        <v>#N/A</v>
      </c>
      <c r="S142" s="74"/>
      <c r="T142" s="74"/>
      <c r="U142" s="74"/>
      <c r="V142" s="74"/>
      <c r="W142" s="74"/>
      <c r="X142" s="74"/>
      <c r="Y142" s="74"/>
      <c r="Z142" s="74"/>
      <c r="AA142" s="74"/>
      <c r="AB142" s="74"/>
      <c r="AC142" s="74"/>
      <c r="AD142" s="74"/>
      <c r="AE142" s="74"/>
      <c r="AF142" s="74"/>
      <c r="AG142" s="74"/>
      <c r="AH142" s="74"/>
    </row>
    <row r="143" spans="1:67" x14ac:dyDescent="0.25">
      <c r="A143" s="480" t="s">
        <v>1231</v>
      </c>
      <c r="B143" s="483">
        <f>'Ввод исходных данных'!G66</f>
        <v>0</v>
      </c>
      <c r="C143" s="916">
        <f>IF('Ввод исходных данных'!D76=0,IF(списки!D35=0,0.5,0.95),'Ввод исходных данных'!D76)</f>
        <v>0.5</v>
      </c>
      <c r="D143" s="486">
        <v>1</v>
      </c>
      <c r="E143" s="483">
        <f>IF(C143=0,0,B143/C143*D143)</f>
        <v>0</v>
      </c>
      <c r="F143" s="484" t="e">
        <f t="shared" si="200"/>
        <v>#N/A</v>
      </c>
      <c r="G143" s="483" t="e">
        <f>$E$143*0.024*G$147</f>
        <v>#N/A</v>
      </c>
      <c r="H143" s="483" t="e">
        <f t="shared" ref="H143:R143" si="209">$E$143*0.024*H$147</f>
        <v>#N/A</v>
      </c>
      <c r="I143" s="483" t="e">
        <f t="shared" si="209"/>
        <v>#N/A</v>
      </c>
      <c r="J143" s="483" t="e">
        <f t="shared" si="209"/>
        <v>#N/A</v>
      </c>
      <c r="K143" s="483" t="e">
        <f t="shared" si="209"/>
        <v>#N/A</v>
      </c>
      <c r="L143" s="483" t="e">
        <f t="shared" si="209"/>
        <v>#N/A</v>
      </c>
      <c r="M143" s="483" t="e">
        <f t="shared" si="209"/>
        <v>#N/A</v>
      </c>
      <c r="N143" s="483" t="e">
        <f t="shared" si="209"/>
        <v>#N/A</v>
      </c>
      <c r="O143" s="483" t="e">
        <f t="shared" si="209"/>
        <v>#N/A</v>
      </c>
      <c r="P143" s="483" t="e">
        <f t="shared" si="209"/>
        <v>#N/A</v>
      </c>
      <c r="Q143" s="483" t="e">
        <f t="shared" si="209"/>
        <v>#N/A</v>
      </c>
      <c r="R143" s="483" t="e">
        <f t="shared" si="209"/>
        <v>#N/A</v>
      </c>
      <c r="S143" s="74"/>
      <c r="T143" s="74"/>
      <c r="U143" s="74"/>
      <c r="V143" s="74"/>
      <c r="W143" s="74"/>
      <c r="X143" s="74"/>
      <c r="Y143" s="74"/>
      <c r="Z143" s="74"/>
      <c r="AA143" s="74"/>
      <c r="AB143" s="74"/>
      <c r="AC143" s="74"/>
      <c r="AD143" s="74"/>
      <c r="AE143" s="74"/>
      <c r="AF143" s="74"/>
      <c r="AG143" s="74"/>
      <c r="AH143" s="74"/>
    </row>
    <row r="144" spans="1:67" x14ac:dyDescent="0.25">
      <c r="A144" s="480" t="s">
        <v>515</v>
      </c>
      <c r="B144" s="483">
        <f>SUM(B134:B141)</f>
        <v>0</v>
      </c>
      <c r="C144" s="916"/>
      <c r="D144" s="481"/>
      <c r="E144" s="483" t="e">
        <f>SUM(E134:E143)</f>
        <v>#N/A</v>
      </c>
      <c r="F144" s="484" t="e">
        <f>E144*(20-$D$145)/1000</f>
        <v>#N/A</v>
      </c>
      <c r="G144" s="483" t="e">
        <f>SUM(G134:G143)</f>
        <v>#N/A</v>
      </c>
      <c r="H144" s="483" t="e">
        <f t="shared" ref="H144:R144" si="210">SUM(H134:H143)</f>
        <v>#N/A</v>
      </c>
      <c r="I144" s="483" t="e">
        <f t="shared" si="210"/>
        <v>#N/A</v>
      </c>
      <c r="J144" s="483" t="e">
        <f t="shared" si="210"/>
        <v>#N/A</v>
      </c>
      <c r="K144" s="483" t="e">
        <f t="shared" si="210"/>
        <v>#N/A</v>
      </c>
      <c r="L144" s="483" t="e">
        <f t="shared" si="210"/>
        <v>#N/A</v>
      </c>
      <c r="M144" s="483" t="e">
        <f t="shared" si="210"/>
        <v>#N/A</v>
      </c>
      <c r="N144" s="483" t="e">
        <f t="shared" si="210"/>
        <v>#N/A</v>
      </c>
      <c r="O144" s="483" t="e">
        <f t="shared" si="210"/>
        <v>#N/A</v>
      </c>
      <c r="P144" s="483" t="e">
        <f t="shared" si="210"/>
        <v>#N/A</v>
      </c>
      <c r="Q144" s="483" t="e">
        <f t="shared" si="210"/>
        <v>#N/A</v>
      </c>
      <c r="R144" s="483" t="e">
        <f t="shared" si="210"/>
        <v>#N/A</v>
      </c>
      <c r="S144" s="74"/>
      <c r="T144" s="74"/>
      <c r="U144" s="74"/>
      <c r="V144" s="74"/>
      <c r="W144" s="74"/>
      <c r="X144" s="74"/>
      <c r="Y144" s="74"/>
      <c r="Z144" s="74"/>
      <c r="AA144" s="74"/>
      <c r="AB144" s="74"/>
      <c r="AC144" s="74"/>
      <c r="AD144" s="74"/>
      <c r="AE144" s="74"/>
      <c r="AF144" s="74"/>
      <c r="AG144" s="74"/>
      <c r="AH144" s="74"/>
    </row>
    <row r="145" spans="1:34" x14ac:dyDescent="0.25">
      <c r="A145" s="74"/>
      <c r="B145" s="488" t="s">
        <v>742</v>
      </c>
      <c r="C145" s="489" t="s">
        <v>747</v>
      </c>
      <c r="D145" s="481" t="e">
        <f>VLOOKUP(CONCATENATE('Ввод исходных данных'!$D$10,'Ввод исходных данных'!$D$11),Климатология!$D$9:$BF$548,4,0)</f>
        <v>#N/A</v>
      </c>
      <c r="E145" s="74"/>
      <c r="F145" s="317"/>
      <c r="G145" s="74"/>
      <c r="H145" s="74"/>
      <c r="I145" s="74"/>
      <c r="J145" s="74"/>
      <c r="K145" s="74"/>
      <c r="L145" s="74"/>
      <c r="M145" s="74"/>
      <c r="N145" s="74"/>
      <c r="O145" s="74"/>
      <c r="P145" s="74"/>
      <c r="Q145" s="74"/>
      <c r="R145" s="74"/>
      <c r="S145" s="74"/>
      <c r="T145" s="74"/>
      <c r="U145" s="74"/>
      <c r="V145" s="74"/>
      <c r="W145" s="74"/>
      <c r="X145" s="74"/>
      <c r="Y145" s="74"/>
      <c r="Z145" s="74"/>
      <c r="AA145" s="74"/>
      <c r="AB145" s="74"/>
      <c r="AC145" s="74"/>
      <c r="AD145" s="74"/>
      <c r="AE145" s="74"/>
      <c r="AF145" s="74"/>
      <c r="AG145" s="74"/>
      <c r="AH145" s="74"/>
    </row>
    <row r="146" spans="1:34" x14ac:dyDescent="0.25">
      <c r="A146" s="74"/>
      <c r="B146" s="488" t="s">
        <v>529</v>
      </c>
      <c r="C146" s="489" t="s">
        <v>748</v>
      </c>
      <c r="D146" s="481" t="e">
        <f>VLOOKUP(CONCATENATE('Ввод исходных данных'!$D$10,'Ввод исходных данных'!$D$11),Климатология!$D$9:$BF$548,2,0)</f>
        <v>#N/A</v>
      </c>
      <c r="E146" s="74"/>
      <c r="F146" s="317"/>
      <c r="G146" s="490" t="e">
        <f>VLOOKUP(CONCATENATE('Ввод исходных данных'!$D$10,'Ввод исходных данных'!$D$11),Климатология!$D$9:$BF$548,G130+2,0)</f>
        <v>#N/A</v>
      </c>
      <c r="H146" s="490" t="e">
        <f>VLOOKUP(CONCATENATE('Ввод исходных данных'!$D$10,'Ввод исходных данных'!$D$11),Климатология!$D$9:$BF$548,H130+2,0)</f>
        <v>#N/A</v>
      </c>
      <c r="I146" s="490" t="e">
        <f>VLOOKUP(CONCATENATE('Ввод исходных данных'!$D$10,'Ввод исходных данных'!$D$11),Климатология!$D$9:$BF$548,I130+2,0)</f>
        <v>#N/A</v>
      </c>
      <c r="J146" s="490" t="e">
        <f>VLOOKUP(CONCATENATE('Ввод исходных данных'!$D$10,'Ввод исходных данных'!$D$11),Климатология!$D$9:$BF$548,J130+2,0)</f>
        <v>#N/A</v>
      </c>
      <c r="K146" s="490" t="e">
        <f>VLOOKUP(CONCATENATE('Ввод исходных данных'!$D$10,'Ввод исходных данных'!$D$11),Климатология!$D$9:$BF$548,K130+2,0)</f>
        <v>#N/A</v>
      </c>
      <c r="L146" s="490" t="e">
        <f>VLOOKUP(CONCATENATE('Ввод исходных данных'!$D$10,'Ввод исходных данных'!$D$11),Климатология!$D$9:$BF$548,L130+2,0)</f>
        <v>#N/A</v>
      </c>
      <c r="M146" s="490" t="e">
        <f>VLOOKUP(CONCATENATE('Ввод исходных данных'!$D$10,'Ввод исходных данных'!$D$11),Климатология!$D$9:$BF$548,M130+2,0)</f>
        <v>#N/A</v>
      </c>
      <c r="N146" s="490" t="e">
        <f>VLOOKUP(CONCATENATE('Ввод исходных данных'!$D$10,'Ввод исходных данных'!$D$11),Климатология!$D$9:$BF$548,N130+2,0)</f>
        <v>#N/A</v>
      </c>
      <c r="O146" s="490" t="e">
        <f>VLOOKUP(CONCATENATE('Ввод исходных данных'!$D$10,'Ввод исходных данных'!$D$11),Климатология!$D$9:$BF$548,O130+2,0)</f>
        <v>#N/A</v>
      </c>
      <c r="P146" s="490" t="e">
        <f>VLOOKUP(CONCATENATE('Ввод исходных данных'!$D$10,'Ввод исходных данных'!$D$11),Климатология!$D$9:$BF$548,P130+2,0)</f>
        <v>#N/A</v>
      </c>
      <c r="Q146" s="490" t="e">
        <f>VLOOKUP(CONCATENATE('Ввод исходных данных'!$D$10,'Ввод исходных данных'!$D$11),Климатология!$D$9:$BF$548,Q130+2,0)</f>
        <v>#N/A</v>
      </c>
      <c r="R146" s="490" t="e">
        <f>VLOOKUP(CONCATENATE('Ввод исходных данных'!$D$10,'Ввод исходных данных'!$D$11),Климатология!$D$9:$BF$548,R130+2,0)</f>
        <v>#N/A</v>
      </c>
      <c r="S146" s="74"/>
      <c r="T146" s="74"/>
      <c r="U146" s="74"/>
      <c r="V146" s="74"/>
      <c r="W146" s="74"/>
      <c r="X146" s="74"/>
      <c r="Y146" s="74"/>
      <c r="Z146" s="74"/>
      <c r="AA146" s="74"/>
      <c r="AB146" s="74"/>
      <c r="AC146" s="74"/>
      <c r="AD146" s="74"/>
      <c r="AE146" s="74"/>
      <c r="AF146" s="74"/>
      <c r="AG146" s="74"/>
      <c r="AH146" s="74"/>
    </row>
    <row r="147" spans="1:34" x14ac:dyDescent="0.25">
      <c r="A147" s="74"/>
      <c r="B147" s="488" t="s">
        <v>462</v>
      </c>
      <c r="C147" s="489" t="s">
        <v>749</v>
      </c>
      <c r="D147" s="481" t="e">
        <f>VLOOKUP(CONCATENATE('Ввод исходных данных'!$D$10,'Ввод исходных данных'!$D$11),Климатология!$D$9:$BF$548,6,0)</f>
        <v>#N/A</v>
      </c>
      <c r="E147" s="74"/>
      <c r="F147" s="317"/>
      <c r="G147" s="490" t="e">
        <f>VLOOKUP(CONCATENATE('Ввод исходных данных'!$D$10,'Ввод исходных данных'!$D$11),Климатология!$D$9:$BF$548,G130+3,0)</f>
        <v>#N/A</v>
      </c>
      <c r="H147" s="490" t="e">
        <f>VLOOKUP(CONCATENATE('Ввод исходных данных'!$D$10,'Ввод исходных данных'!$D$11),Климатология!$D$9:$BF$548,H130+3,0)</f>
        <v>#N/A</v>
      </c>
      <c r="I147" s="490" t="e">
        <f>VLOOKUP(CONCATENATE('Ввод исходных данных'!$D$10,'Ввод исходных данных'!$D$11),Климатология!$D$9:$BF$548,I130+3,0)</f>
        <v>#N/A</v>
      </c>
      <c r="J147" s="490" t="e">
        <f>VLOOKUP(CONCATENATE('Ввод исходных данных'!$D$10,'Ввод исходных данных'!$D$11),Климатология!$D$9:$BF$548,J130+3,0)</f>
        <v>#N/A</v>
      </c>
      <c r="K147" s="490" t="e">
        <f>VLOOKUP(CONCATENATE('Ввод исходных данных'!$D$10,'Ввод исходных данных'!$D$11),Климатология!$D$9:$BF$548,K130+3,0)</f>
        <v>#N/A</v>
      </c>
      <c r="L147" s="490" t="e">
        <f>VLOOKUP(CONCATENATE('Ввод исходных данных'!$D$10,'Ввод исходных данных'!$D$11),Климатология!$D$9:$BF$548,L130+3,0)</f>
        <v>#N/A</v>
      </c>
      <c r="M147" s="490" t="e">
        <f>VLOOKUP(CONCATENATE('Ввод исходных данных'!$D$10,'Ввод исходных данных'!$D$11),Климатология!$D$9:$BF$548,M130+3,0)</f>
        <v>#N/A</v>
      </c>
      <c r="N147" s="490" t="e">
        <f>VLOOKUP(CONCATENATE('Ввод исходных данных'!$D$10,'Ввод исходных данных'!$D$11),Климатология!$D$9:$BF$548,N130+3,0)</f>
        <v>#N/A</v>
      </c>
      <c r="O147" s="490" t="e">
        <f>VLOOKUP(CONCATENATE('Ввод исходных данных'!$D$10,'Ввод исходных данных'!$D$11),Климатология!$D$9:$BF$548,O130+3,0)</f>
        <v>#N/A</v>
      </c>
      <c r="P147" s="490" t="e">
        <f>VLOOKUP(CONCATENATE('Ввод исходных данных'!$D$10,'Ввод исходных данных'!$D$11),Климатология!$D$9:$BF$548,P130+3,0)</f>
        <v>#N/A</v>
      </c>
      <c r="Q147" s="490" t="e">
        <f>VLOOKUP(CONCATENATE('Ввод исходных данных'!$D$10,'Ввод исходных данных'!$D$11),Климатология!$D$9:$BF$548,Q130+3,0)</f>
        <v>#N/A</v>
      </c>
      <c r="R147" s="490" t="e">
        <f>VLOOKUP(CONCATENATE('Ввод исходных данных'!$D$10,'Ввод исходных данных'!$D$11),Климатология!$D$9:$BF$548,R130+3,0)</f>
        <v>#N/A</v>
      </c>
      <c r="S147" s="74"/>
      <c r="T147" s="74"/>
      <c r="U147" s="74"/>
      <c r="V147" s="74"/>
      <c r="W147" s="74"/>
      <c r="X147" s="74"/>
      <c r="Y147" s="74"/>
      <c r="Z147" s="74"/>
      <c r="AA147" s="74"/>
      <c r="AB147" s="74"/>
      <c r="AC147" s="74"/>
      <c r="AD147" s="74"/>
      <c r="AE147" s="74"/>
      <c r="AF147" s="74"/>
      <c r="AG147" s="74"/>
      <c r="AH147" s="74"/>
    </row>
    <row r="148" spans="1:34" x14ac:dyDescent="0.25">
      <c r="A148" s="491" t="s">
        <v>497</v>
      </c>
      <c r="B148" s="492" t="s">
        <v>531</v>
      </c>
      <c r="C148" s="493" t="s">
        <v>498</v>
      </c>
      <c r="D148" s="494" t="e">
        <f>IF(D149&gt;45,10,IF(D149&lt;=20,17,17-(D149-20)*7/25))</f>
        <v>#DIV/0!</v>
      </c>
      <c r="E148" s="74"/>
      <c r="F148" s="495">
        <f>17*D150/1000</f>
        <v>0</v>
      </c>
      <c r="G148" s="917"/>
      <c r="H148" s="917"/>
      <c r="I148" s="917"/>
      <c r="J148" s="917"/>
      <c r="K148" s="917"/>
      <c r="L148" s="917"/>
      <c r="M148" s="917"/>
      <c r="N148" s="917"/>
      <c r="O148" s="917"/>
      <c r="P148" s="917"/>
      <c r="Q148" s="917"/>
      <c r="R148" s="917"/>
      <c r="S148" s="74"/>
      <c r="T148" s="74"/>
      <c r="U148" s="74"/>
      <c r="V148" s="74"/>
      <c r="W148" s="74"/>
      <c r="X148" s="74"/>
      <c r="Y148" s="74"/>
      <c r="Z148" s="74"/>
      <c r="AA148" s="74"/>
      <c r="AB148" s="74"/>
      <c r="AC148" s="74"/>
      <c r="AD148" s="74"/>
      <c r="AE148" s="74"/>
      <c r="AF148" s="74"/>
      <c r="AG148" s="74"/>
      <c r="AH148" s="74"/>
    </row>
    <row r="149" spans="1:34" x14ac:dyDescent="0.25">
      <c r="A149" s="491" t="s">
        <v>499</v>
      </c>
      <c r="B149" s="492" t="s">
        <v>500</v>
      </c>
      <c r="C149" s="493" t="s">
        <v>501</v>
      </c>
      <c r="D149" s="496" t="e">
        <f>'Ввод исходных данных'!$G$45/'Ввод исходных данных'!$D$22</f>
        <v>#DIV/0!</v>
      </c>
      <c r="E149" s="74"/>
      <c r="F149" s="74"/>
      <c r="G149" s="917"/>
      <c r="H149" s="917"/>
      <c r="I149" s="917"/>
      <c r="J149" s="917"/>
      <c r="K149" s="917"/>
      <c r="L149" s="917"/>
      <c r="M149" s="917"/>
      <c r="N149" s="917"/>
      <c r="O149" s="917"/>
      <c r="P149" s="917"/>
      <c r="Q149" s="917"/>
      <c r="R149" s="917"/>
      <c r="S149" s="74"/>
      <c r="T149" s="74"/>
      <c r="U149" s="74"/>
      <c r="V149" s="74"/>
      <c r="W149" s="74"/>
      <c r="X149" s="74"/>
      <c r="Y149" s="74"/>
      <c r="Z149" s="74"/>
      <c r="AA149" s="74"/>
      <c r="AB149" s="74"/>
      <c r="AC149" s="74"/>
      <c r="AD149" s="74"/>
      <c r="AE149" s="74"/>
      <c r="AF149" s="74"/>
      <c r="AG149" s="74"/>
      <c r="AH149" s="74"/>
    </row>
    <row r="150" spans="1:34" x14ac:dyDescent="0.25">
      <c r="A150" s="476" t="s">
        <v>1403</v>
      </c>
      <c r="B150" s="492" t="s">
        <v>1404</v>
      </c>
      <c r="C150" s="497" t="s">
        <v>492</v>
      </c>
      <c r="D150" s="496">
        <f>'Ввод исходных данных'!G46</f>
        <v>0</v>
      </c>
      <c r="E150" s="74"/>
      <c r="F150" s="74"/>
      <c r="G150" s="74"/>
      <c r="H150" s="74"/>
      <c r="I150" s="74"/>
      <c r="J150" s="74"/>
      <c r="K150" s="74"/>
      <c r="L150" s="74"/>
      <c r="M150" s="74"/>
      <c r="N150" s="74"/>
      <c r="O150" s="74"/>
      <c r="P150" s="74"/>
      <c r="Q150" s="74"/>
      <c r="R150" s="74"/>
      <c r="S150" s="74"/>
      <c r="T150" s="74"/>
      <c r="U150" s="74"/>
      <c r="V150" s="74"/>
      <c r="W150" s="74"/>
      <c r="X150" s="74"/>
      <c r="Y150" s="74"/>
      <c r="Z150" s="74"/>
      <c r="AA150" s="74"/>
      <c r="AB150" s="74"/>
      <c r="AC150" s="74"/>
      <c r="AD150" s="74"/>
      <c r="AE150" s="74"/>
      <c r="AF150" s="74"/>
      <c r="AG150" s="74"/>
      <c r="AH150" s="74"/>
    </row>
    <row r="151" spans="1:34" x14ac:dyDescent="0.25">
      <c r="A151" s="498" t="s">
        <v>512</v>
      </c>
      <c r="B151" s="499" t="s">
        <v>522</v>
      </c>
      <c r="C151" s="497" t="s">
        <v>526</v>
      </c>
      <c r="D151" s="500">
        <v>30</v>
      </c>
      <c r="E151" s="74"/>
      <c r="F151" s="495" t="e">
        <f>(D151*D152*'Ввод исходных данных'!$D$22*0.28+D189*0.28)*1.006*0.001*(20+25)+E161*(20+25)</f>
        <v>#DIV/0!</v>
      </c>
      <c r="G151" s="74"/>
      <c r="H151" s="74"/>
      <c r="I151" s="74"/>
      <c r="J151" s="74"/>
      <c r="K151" s="74"/>
      <c r="L151" s="74"/>
      <c r="M151" s="74"/>
      <c r="N151" s="74"/>
      <c r="O151" s="74"/>
      <c r="P151" s="74"/>
      <c r="Q151" s="74"/>
      <c r="R151" s="74"/>
      <c r="S151" s="74"/>
      <c r="T151" s="74"/>
      <c r="U151" s="74"/>
      <c r="V151" s="74"/>
      <c r="W151" s="74"/>
      <c r="X151" s="74"/>
      <c r="Y151" s="74"/>
      <c r="Z151" s="74"/>
      <c r="AA151" s="74"/>
      <c r="AB151" s="74"/>
      <c r="AC151" s="74"/>
      <c r="AD151" s="74"/>
      <c r="AE151" s="74"/>
      <c r="AF151" s="74"/>
      <c r="AG151" s="74"/>
      <c r="AH151" s="74"/>
    </row>
    <row r="152" spans="1:34" x14ac:dyDescent="0.25">
      <c r="A152" s="491" t="s">
        <v>506</v>
      </c>
      <c r="B152" s="492" t="s">
        <v>507</v>
      </c>
      <c r="C152" s="493" t="s">
        <v>505</v>
      </c>
      <c r="D152" s="494">
        <f>353/(273+20)</f>
        <v>1.204778156996587</v>
      </c>
      <c r="E152" s="716"/>
      <c r="F152" s="74"/>
      <c r="G152" s="74"/>
      <c r="H152" s="74"/>
      <c r="I152" s="74"/>
      <c r="J152" s="74"/>
      <c r="K152" s="74"/>
      <c r="L152" s="74"/>
      <c r="M152" s="74"/>
      <c r="N152" s="74"/>
      <c r="O152" s="74"/>
      <c r="P152" s="74"/>
      <c r="Q152" s="74"/>
      <c r="R152" s="74"/>
      <c r="S152" s="74"/>
      <c r="T152" s="74"/>
      <c r="U152" s="74"/>
      <c r="V152" s="74"/>
      <c r="W152" s="74"/>
      <c r="X152" s="74"/>
      <c r="Y152" s="74"/>
      <c r="Z152" s="74"/>
      <c r="AA152" s="74"/>
      <c r="AB152" s="74"/>
      <c r="AC152" s="74"/>
      <c r="AD152" s="74"/>
      <c r="AE152" s="74"/>
      <c r="AF152" s="74"/>
      <c r="AG152" s="74"/>
      <c r="AH152" s="74"/>
    </row>
    <row r="153" spans="1:34" x14ac:dyDescent="0.25">
      <c r="A153" s="498" t="s">
        <v>745</v>
      </c>
      <c r="B153" s="499" t="s">
        <v>1312</v>
      </c>
      <c r="C153" s="489" t="s">
        <v>746</v>
      </c>
      <c r="D153" s="501">
        <v>1</v>
      </c>
      <c r="E153" s="74"/>
      <c r="F153" s="74"/>
      <c r="G153" s="74"/>
      <c r="H153" s="74"/>
      <c r="I153" s="74"/>
      <c r="J153" s="74"/>
      <c r="K153" s="74"/>
      <c r="L153" s="74"/>
      <c r="M153" s="74"/>
      <c r="N153" s="74"/>
      <c r="O153" s="74"/>
      <c r="P153" s="74"/>
      <c r="Q153" s="74"/>
      <c r="R153" s="74"/>
      <c r="S153" s="74"/>
      <c r="T153" s="74"/>
      <c r="U153" s="74"/>
      <c r="V153" s="74"/>
      <c r="W153" s="74"/>
      <c r="X153" s="74"/>
      <c r="Y153" s="74"/>
      <c r="Z153" s="74"/>
      <c r="AA153" s="74"/>
      <c r="AB153" s="74"/>
      <c r="AC153" s="74"/>
      <c r="AD153" s="74"/>
      <c r="AE153" s="74"/>
      <c r="AF153" s="74"/>
      <c r="AG153" s="74"/>
      <c r="AH153" s="74"/>
    </row>
    <row r="154" spans="1:34" x14ac:dyDescent="0.25">
      <c r="A154" s="498" t="s">
        <v>523</v>
      </c>
      <c r="B154" s="499" t="s">
        <v>524</v>
      </c>
      <c r="C154" s="489" t="s">
        <v>746</v>
      </c>
      <c r="D154" s="501">
        <v>0.9</v>
      </c>
      <c r="E154" s="74"/>
      <c r="F154" s="74"/>
      <c r="G154" s="74"/>
      <c r="H154" s="74"/>
      <c r="I154" s="74"/>
      <c r="J154" s="74"/>
      <c r="K154" s="74"/>
      <c r="L154" s="74"/>
      <c r="M154" s="74"/>
      <c r="N154" s="74"/>
      <c r="O154" s="74"/>
      <c r="P154" s="74"/>
      <c r="Q154" s="74"/>
      <c r="R154" s="74"/>
      <c r="S154" s="74"/>
      <c r="T154" s="74"/>
      <c r="U154" s="74"/>
      <c r="V154" s="74"/>
      <c r="W154" s="74"/>
      <c r="X154" s="74"/>
      <c r="Y154" s="74"/>
      <c r="Z154" s="74"/>
      <c r="AA154" s="74"/>
      <c r="AB154" s="74"/>
      <c r="AC154" s="74"/>
      <c r="AD154" s="74"/>
      <c r="AE154" s="74"/>
      <c r="AF154" s="74"/>
      <c r="AG154" s="74"/>
      <c r="AH154" s="74"/>
    </row>
    <row r="155" spans="1:34" x14ac:dyDescent="0.25">
      <c r="A155" s="491" t="s">
        <v>502</v>
      </c>
      <c r="B155" s="492" t="s">
        <v>503</v>
      </c>
      <c r="C155" s="493" t="s">
        <v>504</v>
      </c>
      <c r="D155" s="494">
        <v>1</v>
      </c>
      <c r="E155" s="74"/>
      <c r="F155" s="74"/>
      <c r="G155" s="74"/>
      <c r="H155" s="74"/>
      <c r="I155" s="74"/>
      <c r="J155" s="74"/>
      <c r="K155" s="74"/>
      <c r="L155" s="74"/>
      <c r="M155" s="74"/>
      <c r="N155" s="74"/>
      <c r="O155" s="74"/>
      <c r="P155" s="74"/>
      <c r="Q155" s="74"/>
      <c r="R155" s="74"/>
      <c r="S155" s="74"/>
      <c r="T155" s="74"/>
      <c r="U155" s="74"/>
      <c r="V155" s="74"/>
      <c r="W155" s="74"/>
      <c r="X155" s="74"/>
      <c r="Y155" s="74"/>
      <c r="Z155" s="74"/>
      <c r="AA155" s="74"/>
      <c r="AB155" s="74"/>
      <c r="AC155" s="74"/>
      <c r="AD155" s="74"/>
      <c r="AE155" s="74"/>
      <c r="AF155" s="74"/>
      <c r="AG155" s="74"/>
      <c r="AH155" s="74"/>
    </row>
    <row r="156" spans="1:34" x14ac:dyDescent="0.25">
      <c r="A156" s="491" t="s">
        <v>508</v>
      </c>
      <c r="B156" s="492" t="s">
        <v>509</v>
      </c>
      <c r="C156" s="497" t="s">
        <v>746</v>
      </c>
      <c r="D156" s="918">
        <f>IF(OR('Система отопления'!F5=1,'Система отопления'!F6=1),0.85,0.5)</f>
        <v>0.5</v>
      </c>
      <c r="E156" s="74"/>
      <c r="F156" s="74"/>
      <c r="G156" s="74"/>
      <c r="H156" s="74"/>
      <c r="I156" s="74"/>
      <c r="J156" s="74"/>
      <c r="K156" s="74"/>
      <c r="L156" s="74"/>
      <c r="M156" s="74"/>
      <c r="N156" s="74"/>
      <c r="O156" s="74"/>
      <c r="P156" s="74"/>
      <c r="Q156" s="74"/>
      <c r="R156" s="74"/>
      <c r="S156" s="74"/>
      <c r="T156" s="74"/>
      <c r="U156" s="74"/>
      <c r="V156" s="74"/>
      <c r="W156" s="74"/>
      <c r="X156" s="74"/>
      <c r="Y156" s="74"/>
      <c r="Z156" s="74"/>
      <c r="AA156" s="74"/>
      <c r="AB156" s="74"/>
      <c r="AC156" s="74"/>
      <c r="AD156" s="74"/>
      <c r="AE156" s="74"/>
      <c r="AF156" s="74"/>
      <c r="AG156" s="74"/>
      <c r="AH156" s="74"/>
    </row>
    <row r="157" spans="1:34" x14ac:dyDescent="0.25">
      <c r="A157" s="491" t="s">
        <v>510</v>
      </c>
      <c r="B157" s="492" t="s">
        <v>511</v>
      </c>
      <c r="C157" s="497" t="s">
        <v>746</v>
      </c>
      <c r="D157" s="494">
        <v>1</v>
      </c>
      <c r="E157" s="74"/>
      <c r="F157" s="74"/>
      <c r="G157" s="74"/>
      <c r="H157" s="74"/>
      <c r="I157" s="74"/>
      <c r="J157" s="74"/>
      <c r="K157" s="74"/>
      <c r="L157" s="74"/>
      <c r="M157" s="74"/>
      <c r="N157" s="74"/>
      <c r="O157" s="74"/>
      <c r="P157" s="74"/>
      <c r="Q157" s="74"/>
      <c r="R157" s="74"/>
      <c r="S157" s="74"/>
      <c r="T157" s="74"/>
      <c r="U157" s="74"/>
      <c r="V157" s="74"/>
      <c r="W157" s="74"/>
      <c r="X157" s="74"/>
      <c r="Y157" s="74"/>
      <c r="Z157" s="74"/>
      <c r="AA157" s="74"/>
      <c r="AB157" s="74"/>
      <c r="AC157" s="74"/>
      <c r="AD157" s="74"/>
      <c r="AE157" s="74"/>
    </row>
    <row r="158" spans="1:34" x14ac:dyDescent="0.25">
      <c r="A158" s="491" t="s">
        <v>527</v>
      </c>
      <c r="B158" s="492" t="s">
        <v>532</v>
      </c>
      <c r="C158" s="489" t="s">
        <v>746</v>
      </c>
      <c r="D158" s="919">
        <f>SUMPRODUCT('Система отопления'!B23:B28,'Система отопления'!C23:C28)</f>
        <v>1.0900000000000001</v>
      </c>
      <c r="E158" s="74"/>
      <c r="F158" s="74"/>
      <c r="G158" s="74"/>
      <c r="H158" s="74"/>
      <c r="I158" s="74"/>
      <c r="J158" s="74"/>
      <c r="K158" s="74"/>
      <c r="L158" s="74"/>
      <c r="M158" s="74"/>
      <c r="N158" s="74"/>
      <c r="O158" s="74"/>
      <c r="P158" s="74"/>
      <c r="Q158" s="74"/>
      <c r="R158" s="74"/>
      <c r="S158" s="74"/>
      <c r="T158" s="74"/>
      <c r="U158" s="74"/>
      <c r="V158" s="74"/>
      <c r="W158" s="74"/>
      <c r="X158" s="74"/>
      <c r="Y158" s="74"/>
      <c r="Z158" s="74"/>
      <c r="AA158" s="74"/>
      <c r="AB158" s="74"/>
      <c r="AC158" s="74"/>
      <c r="AD158" s="74"/>
      <c r="AE158" s="74"/>
    </row>
    <row r="159" spans="1:34" x14ac:dyDescent="0.25">
      <c r="A159" s="469" t="s">
        <v>743</v>
      </c>
      <c r="B159" s="504" t="s">
        <v>1307</v>
      </c>
      <c r="C159" s="489" t="s">
        <v>747</v>
      </c>
      <c r="D159" s="95">
        <f>'Ввод исходных данных'!D84</f>
        <v>16</v>
      </c>
      <c r="E159" s="74"/>
      <c r="F159" s="74"/>
      <c r="G159" s="74"/>
      <c r="H159" s="74"/>
      <c r="I159" s="74"/>
      <c r="J159" s="74"/>
      <c r="K159" s="74"/>
      <c r="L159" s="74"/>
      <c r="M159" s="74"/>
      <c r="N159" s="74"/>
      <c r="O159" s="74"/>
      <c r="P159" s="74"/>
      <c r="Q159" s="74"/>
      <c r="R159" s="74"/>
      <c r="S159" s="74"/>
      <c r="T159" s="74"/>
      <c r="U159" s="74"/>
      <c r="V159" s="74"/>
      <c r="W159" s="74"/>
      <c r="X159" s="74"/>
      <c r="Y159" s="74"/>
      <c r="Z159" s="74"/>
      <c r="AA159" s="74"/>
      <c r="AB159" s="74"/>
      <c r="AC159" s="74"/>
      <c r="AD159" s="74"/>
      <c r="AE159" s="74"/>
    </row>
    <row r="160" spans="1:34" x14ac:dyDescent="0.25">
      <c r="A160" s="469" t="s">
        <v>744</v>
      </c>
      <c r="B160" s="504" t="s">
        <v>1306</v>
      </c>
      <c r="C160" s="489" t="s">
        <v>747</v>
      </c>
      <c r="D160" s="500">
        <f>'Ввод исходных данных'!$D$85</f>
        <v>2</v>
      </c>
      <c r="E160" s="74"/>
      <c r="F160" s="74"/>
      <c r="G160" s="74"/>
      <c r="H160" s="74"/>
      <c r="I160" s="74"/>
      <c r="J160" s="74"/>
      <c r="K160" s="74"/>
      <c r="L160" s="74"/>
      <c r="M160" s="74"/>
      <c r="N160" s="74"/>
      <c r="O160" s="74"/>
      <c r="P160" s="74"/>
      <c r="Q160" s="74"/>
      <c r="R160" s="74"/>
      <c r="S160" s="74"/>
      <c r="T160" s="74"/>
      <c r="U160" s="74"/>
      <c r="V160" s="74"/>
      <c r="W160" s="74"/>
      <c r="X160" s="74"/>
      <c r="Y160" s="74"/>
      <c r="Z160" s="74"/>
      <c r="AA160" s="74"/>
      <c r="AB160" s="74"/>
      <c r="AC160" s="74"/>
      <c r="AD160" s="74"/>
      <c r="AE160" s="74"/>
    </row>
    <row r="161" spans="1:31" ht="17.25" customHeight="1" x14ac:dyDescent="0.25">
      <c r="A161" s="469" t="s">
        <v>1590</v>
      </c>
      <c r="B161" s="504"/>
      <c r="C161" s="489" t="s">
        <v>496</v>
      </c>
      <c r="D161" s="500">
        <f>IF(OR('Ввод исходных данных'!$D$23=0,'Ввод исходных данных'!G58=0),0,0.28*(4*'Ввод исходных данных'!$D$23*'Расчет базового уровня'!$D$152*0.5+'Расчет базового уровня'!$D$162*'Расчет базового уровня'!$D$154*0.5)*'Расчет базового уровня'!$D$155*0.024*'Расчет базового уровня'!D147)</f>
        <v>0</v>
      </c>
      <c r="E161" s="74">
        <f>IF('Ввод исходных данных'!$D$23=0,0,0.28*(4*'Ввод исходных данных'!$D$23*'Расчет базового уровня'!$D$152*0.5+'Расчет базового уровня'!$D$162*'Расчет базового уровня'!$D$154*0.5)*'Расчет базового уровня'!$D$155*0.001)</f>
        <v>0</v>
      </c>
      <c r="F161" s="74"/>
      <c r="G161" s="920">
        <f>IF(OR('Ввод исходных данных'!$D$23=0,'Ввод исходных данных'!G58=0),0,0.28*(4*'Ввод исходных данных'!$D$23*'Расчет базового уровня'!$D$152*0.5+'Расчет базового уровня'!$D$162*'Расчет базового уровня'!$D$154*0.5)*'Расчет базового уровня'!$D$155*0.024*'Расчет базового уровня'!G147)</f>
        <v>0</v>
      </c>
      <c r="H161" s="920">
        <f>IF(OR('Ввод исходных данных'!$D$23=0,'Ввод исходных данных'!G58=0),0,0.28*(4*'Ввод исходных данных'!$D$23*'Расчет базового уровня'!$D$152*0.5+'Расчет базового уровня'!$D$162*'Расчет базового уровня'!$D$154*0.5)*'Расчет базового уровня'!$D$155*0.024*'Расчет базового уровня'!H147)</f>
        <v>0</v>
      </c>
      <c r="I161" s="920">
        <f>IF(OR('Ввод исходных данных'!$D$23=0,'Ввод исходных данных'!G58=0),0,0.28*(4*'Ввод исходных данных'!$D$23*'Расчет базового уровня'!$D$152*0.5+'Расчет базового уровня'!$D$162*'Расчет базового уровня'!$D$154*0.5)*'Расчет базового уровня'!$D$155*0.024*'Расчет базового уровня'!I147)</f>
        <v>0</v>
      </c>
      <c r="J161" s="920">
        <f>IF(OR('Ввод исходных данных'!$D$23=0,'Ввод исходных данных'!G58=0),0,0.28*(4*'Ввод исходных данных'!$D$23*'Расчет базового уровня'!$D$152*0.5+'Расчет базового уровня'!$D$162*'Расчет базового уровня'!$D$154*0.5)*'Расчет базового уровня'!$D$155*0.024*'Расчет базового уровня'!J147)</f>
        <v>0</v>
      </c>
      <c r="K161" s="920">
        <f>IF(OR('Ввод исходных данных'!$D$23=0,'Ввод исходных данных'!G58=0),0,0.28*(4*'Ввод исходных данных'!$D$23*'Расчет базового уровня'!$D$152*0.5+'Расчет базового уровня'!$D$162*'Расчет базового уровня'!$D$154*0.5)*'Расчет базового уровня'!$D$155*0.024*'Расчет базового уровня'!K147)</f>
        <v>0</v>
      </c>
      <c r="L161" s="920">
        <f>IF(OR('Ввод исходных данных'!$D$23=0,'Ввод исходных данных'!G58=0),0,0.28*(4*'Ввод исходных данных'!$D$23*'Расчет базового уровня'!$D$152*0.5+'Расчет базового уровня'!$D$162*'Расчет базового уровня'!$D$154*0.5)*'Расчет базового уровня'!$D$155*0.024*'Расчет базового уровня'!L147)</f>
        <v>0</v>
      </c>
      <c r="M161" s="920">
        <f>IF(OR('Ввод исходных данных'!$D$23=0,'Ввод исходных данных'!G58=0),0,0.28*(4*'Ввод исходных данных'!$D$23*'Расчет базового уровня'!$D$152*0.5+'Расчет базового уровня'!$D$162*'Расчет базового уровня'!$D$154*0.5)*'Расчет базового уровня'!$D$155*0.024*'Расчет базового уровня'!M147)</f>
        <v>0</v>
      </c>
      <c r="N161" s="920">
        <f>IF(OR('Ввод исходных данных'!$D$23=0,'Ввод исходных данных'!G58=0),0,0.28*(4*'Ввод исходных данных'!$D$23*'Расчет базового уровня'!$D$152*0.5+'Расчет базового уровня'!$D$162*'Расчет базового уровня'!$D$154*0.5)*'Расчет базового уровня'!$D$155*0.024*'Расчет базового уровня'!N147)</f>
        <v>0</v>
      </c>
      <c r="O161" s="920">
        <f>IF(OR('Ввод исходных данных'!$D$23=0,'Ввод исходных данных'!G58=0),0,0.28*(4*'Ввод исходных данных'!$D$23*'Расчет базового уровня'!$D$152*0.5+'Расчет базового уровня'!$D$162*'Расчет базового уровня'!$D$154*0.5)*'Расчет базового уровня'!$D$155*0.024*'Расчет базового уровня'!O147)</f>
        <v>0</v>
      </c>
      <c r="P161" s="920">
        <f>IF(OR('Ввод исходных данных'!$D$23=0,'Ввод исходных данных'!G58=0),0,0.28*(4*'Ввод исходных данных'!$D$23*'Расчет базового уровня'!$D$152*0.5+'Расчет базового уровня'!$D$162*'Расчет базового уровня'!$D$154*0.5)*'Расчет базового уровня'!$D$155*0.024*'Расчет базового уровня'!P147)</f>
        <v>0</v>
      </c>
      <c r="Q161" s="920">
        <f>IF(OR('Ввод исходных данных'!$D$23=0,'Ввод исходных данных'!G58=0),0,0.28*(4*'Ввод исходных данных'!$D$23*'Расчет базового уровня'!$D$152*0.5+'Расчет базового уровня'!$D$162*'Расчет базового уровня'!$D$154*0.5)*'Расчет базового уровня'!$D$155*0.024*'Расчет базового уровня'!Q147)</f>
        <v>0</v>
      </c>
      <c r="R161" s="920">
        <f>IF(OR('Ввод исходных данных'!$D$23=0,'Ввод исходных данных'!G58=0),0,0.28*(4*'Ввод исходных данных'!$D$23*'Расчет базового уровня'!$D$152*0.5+'Расчет базового уровня'!$D$162*'Расчет базового уровня'!$D$154*0.5)*'Расчет базового уровня'!$D$155*0.024*'Расчет базового уровня'!R147)</f>
        <v>0</v>
      </c>
      <c r="S161" s="74"/>
      <c r="T161" s="74"/>
      <c r="U161" s="74"/>
      <c r="V161" s="74"/>
      <c r="W161" s="74"/>
      <c r="X161" s="74"/>
      <c r="Y161" s="74"/>
      <c r="Z161" s="74"/>
      <c r="AA161" s="74"/>
      <c r="AB161" s="74"/>
      <c r="AC161" s="74"/>
      <c r="AD161" s="74"/>
      <c r="AE161" s="74"/>
    </row>
    <row r="162" spans="1:31" x14ac:dyDescent="0.25">
      <c r="A162" s="469" t="s">
        <v>1591</v>
      </c>
      <c r="B162" s="504"/>
      <c r="C162" s="489" t="s">
        <v>1582</v>
      </c>
      <c r="D162" s="500">
        <f>IF(OR('Ввод исходных данных'!$D$23=0,'Ввод исходных данных'!G58=0),0,($B$137/(0.12*(1-'Ввод исходных данных'!$D$35/'Ввод исходных данных'!$G$59)+0.86*('Ввод исходных данных'!$D$35/'Ввод исходных данных'!$G$59)))*('Расчет базового уровня'!$D$182/10)^(2/3))</f>
        <v>0</v>
      </c>
      <c r="E162" s="74"/>
      <c r="F162" s="74"/>
      <c r="G162" s="74"/>
      <c r="H162" s="74"/>
      <c r="I162" s="74"/>
      <c r="J162" s="74"/>
      <c r="K162" s="74"/>
      <c r="L162" s="74"/>
      <c r="M162" s="74"/>
      <c r="N162" s="74"/>
      <c r="O162" s="74"/>
      <c r="P162" s="74"/>
      <c r="Q162" s="74"/>
      <c r="R162" s="74"/>
      <c r="S162" s="74"/>
      <c r="T162" s="74"/>
      <c r="U162" s="74"/>
      <c r="V162" s="74"/>
      <c r="W162" s="74"/>
      <c r="X162" s="74"/>
      <c r="Y162" s="74"/>
      <c r="Z162" s="74"/>
      <c r="AA162" s="74"/>
      <c r="AB162" s="74"/>
      <c r="AC162" s="74"/>
      <c r="AD162" s="74"/>
      <c r="AE162" s="74"/>
    </row>
    <row r="163" spans="1:31" x14ac:dyDescent="0.25">
      <c r="A163" s="469"/>
      <c r="B163" s="504"/>
      <c r="C163" s="489"/>
      <c r="D163" s="921"/>
      <c r="E163" s="74"/>
      <c r="F163" s="74"/>
      <c r="G163" s="74"/>
      <c r="H163" s="74"/>
      <c r="I163" s="74"/>
      <c r="J163" s="74"/>
      <c r="K163" s="74"/>
      <c r="L163" s="74"/>
      <c r="M163" s="74"/>
      <c r="N163" s="74"/>
      <c r="O163" s="74"/>
      <c r="P163" s="74"/>
      <c r="Q163" s="74"/>
      <c r="R163" s="74"/>
      <c r="S163" s="74"/>
      <c r="T163" s="74"/>
      <c r="U163" s="74"/>
      <c r="V163" s="74"/>
      <c r="W163" s="74"/>
      <c r="X163" s="74"/>
      <c r="Y163" s="74"/>
      <c r="Z163" s="74"/>
      <c r="AA163" s="74"/>
      <c r="AB163" s="74"/>
      <c r="AC163" s="74"/>
      <c r="AD163" s="74"/>
      <c r="AE163" s="74"/>
    </row>
    <row r="164" spans="1:31" x14ac:dyDescent="0.25">
      <c r="A164" s="469"/>
      <c r="B164" s="504"/>
      <c r="C164" s="489"/>
      <c r="D164" s="500"/>
      <c r="E164" s="74"/>
      <c r="F164" s="74"/>
      <c r="G164" s="74"/>
      <c r="H164" s="74"/>
      <c r="I164" s="74"/>
      <c r="J164" s="74"/>
      <c r="K164" s="74"/>
      <c r="L164" s="74"/>
      <c r="M164" s="74"/>
      <c r="N164" s="74"/>
      <c r="O164" s="74"/>
      <c r="P164" s="74"/>
      <c r="Q164" s="74"/>
      <c r="R164" s="74"/>
      <c r="S164" s="74"/>
      <c r="T164" s="74"/>
      <c r="U164" s="74"/>
      <c r="V164" s="74"/>
      <c r="W164" s="74"/>
      <c r="X164" s="74"/>
      <c r="Y164" s="74"/>
      <c r="Z164" s="74"/>
      <c r="AA164" s="74"/>
      <c r="AB164" s="74"/>
      <c r="AC164" s="74"/>
      <c r="AD164" s="74"/>
      <c r="AE164" s="74"/>
    </row>
    <row r="165" spans="1:31" x14ac:dyDescent="0.25">
      <c r="A165" s="74"/>
      <c r="B165" s="74"/>
      <c r="C165" s="74"/>
      <c r="D165" s="74"/>
      <c r="E165" s="74"/>
      <c r="F165" s="74"/>
      <c r="G165" s="74">
        <v>31</v>
      </c>
      <c r="H165" s="74">
        <v>28</v>
      </c>
      <c r="I165" s="74">
        <v>31</v>
      </c>
      <c r="J165" s="74">
        <v>30</v>
      </c>
      <c r="K165" s="74">
        <v>31</v>
      </c>
      <c r="L165" s="74">
        <v>30</v>
      </c>
      <c r="M165" s="74">
        <v>31</v>
      </c>
      <c r="N165" s="74">
        <v>31</v>
      </c>
      <c r="O165" s="74">
        <v>30</v>
      </c>
      <c r="P165" s="74">
        <v>31</v>
      </c>
      <c r="Q165" s="74">
        <v>30</v>
      </c>
      <c r="R165" s="74">
        <v>31</v>
      </c>
      <c r="S165" s="74"/>
      <c r="T165" s="74"/>
      <c r="U165" s="74"/>
      <c r="V165" s="74"/>
      <c r="W165" s="74"/>
      <c r="X165" s="74"/>
      <c r="Y165" s="74"/>
      <c r="Z165" s="74"/>
      <c r="AA165" s="74"/>
      <c r="AB165" s="74"/>
      <c r="AC165" s="74"/>
      <c r="AD165" s="74"/>
      <c r="AE165" s="74"/>
    </row>
    <row r="166" spans="1:31" x14ac:dyDescent="0.25">
      <c r="A166" s="469" t="s">
        <v>541</v>
      </c>
      <c r="B166" s="469"/>
      <c r="C166" s="469"/>
      <c r="D166" s="469"/>
      <c r="E166" s="74"/>
      <c r="F166" s="74"/>
      <c r="G166" s="74">
        <f>IF('Ввод исходных данных'!$D$111='Расчет базового уровня'!G129,1,0)</f>
        <v>0</v>
      </c>
      <c r="H166" s="74">
        <f>IF('Ввод исходных данных'!$D$111='Расчет базового уровня'!H129,1,0)</f>
        <v>0</v>
      </c>
      <c r="I166" s="74">
        <f>IF('Ввод исходных данных'!$D$111='Расчет базового уровня'!I129,1,0)</f>
        <v>0</v>
      </c>
      <c r="J166" s="74">
        <f>IF('Ввод исходных данных'!$D$111='Расчет базового уровня'!J129,1,0)</f>
        <v>0</v>
      </c>
      <c r="K166" s="74">
        <f>IF('Ввод исходных данных'!$D$111='Расчет базового уровня'!K129,1,0)</f>
        <v>0</v>
      </c>
      <c r="L166" s="74">
        <f>IF('Ввод исходных данных'!$D$111='Расчет базового уровня'!L129,1,0)</f>
        <v>0</v>
      </c>
      <c r="M166" s="74">
        <f>IF('Ввод исходных данных'!$D$111='Расчет базового уровня'!M129,1,0)</f>
        <v>1</v>
      </c>
      <c r="N166" s="74">
        <f>IF('Ввод исходных данных'!$D$111='Расчет базового уровня'!N129,1,0)</f>
        <v>0</v>
      </c>
      <c r="O166" s="74">
        <f>IF('Ввод исходных данных'!$D$111='Расчет базового уровня'!O129,1,0)</f>
        <v>0</v>
      </c>
      <c r="P166" s="74">
        <f>IF('Ввод исходных данных'!$D$111='Расчет базового уровня'!P129,1,0)</f>
        <v>0</v>
      </c>
      <c r="Q166" s="74">
        <f>IF('Ввод исходных данных'!$D$111='Расчет базового уровня'!Q129,1,0)</f>
        <v>0</v>
      </c>
      <c r="R166" s="74">
        <f>IF('Ввод исходных данных'!$D$111='Расчет базового уровня'!R129,1,0)</f>
        <v>0</v>
      </c>
      <c r="S166" s="74"/>
      <c r="T166" s="74"/>
      <c r="U166" s="74"/>
      <c r="V166" s="74"/>
      <c r="W166" s="74"/>
      <c r="X166" s="74"/>
      <c r="Y166" s="74"/>
      <c r="Z166" s="74"/>
      <c r="AA166" s="74"/>
      <c r="AB166" s="74"/>
      <c r="AC166" s="74"/>
      <c r="AD166" s="74"/>
      <c r="AE166" s="74"/>
    </row>
    <row r="167" spans="1:31" ht="15.75" customHeight="1" x14ac:dyDescent="0.25">
      <c r="A167" s="506" t="s">
        <v>905</v>
      </c>
      <c r="B167" s="507" t="s">
        <v>1474</v>
      </c>
      <c r="C167" s="489" t="s">
        <v>906</v>
      </c>
      <c r="D167" s="508" t="e">
        <f>D168*365/(D146+D169*(D170-D146))</f>
        <v>#N/A</v>
      </c>
      <c r="E167" s="74"/>
      <c r="F167" s="317" t="e">
        <f>SUMPRODUCT(G167:R167,G170:R170)/365</f>
        <v>#N/A</v>
      </c>
      <c r="G167" s="508" t="e">
        <f>IF(G146&gt;=0.8*G165,$D$167,$D$169*$D$167)</f>
        <v>#N/A</v>
      </c>
      <c r="H167" s="508" t="e">
        <f t="shared" ref="H167:R167" si="211">IF(H146&gt;=0.8*H165,$D$167,$D$169*$D$167)</f>
        <v>#N/A</v>
      </c>
      <c r="I167" s="508" t="e">
        <f t="shared" si="211"/>
        <v>#N/A</v>
      </c>
      <c r="J167" s="508" t="e">
        <f t="shared" si="211"/>
        <v>#N/A</v>
      </c>
      <c r="K167" s="508" t="e">
        <f t="shared" si="211"/>
        <v>#N/A</v>
      </c>
      <c r="L167" s="508" t="e">
        <f t="shared" si="211"/>
        <v>#N/A</v>
      </c>
      <c r="M167" s="508" t="e">
        <f t="shared" si="211"/>
        <v>#N/A</v>
      </c>
      <c r="N167" s="508" t="e">
        <f t="shared" si="211"/>
        <v>#N/A</v>
      </c>
      <c r="O167" s="508" t="e">
        <f t="shared" si="211"/>
        <v>#N/A</v>
      </c>
      <c r="P167" s="508" t="e">
        <f t="shared" si="211"/>
        <v>#N/A</v>
      </c>
      <c r="Q167" s="508" t="e">
        <f t="shared" si="211"/>
        <v>#N/A</v>
      </c>
      <c r="R167" s="508" t="e">
        <f t="shared" si="211"/>
        <v>#N/A</v>
      </c>
      <c r="S167" s="74"/>
      <c r="T167" s="74"/>
      <c r="U167" s="74"/>
      <c r="V167" s="74"/>
      <c r="W167" s="74"/>
      <c r="X167" s="74"/>
      <c r="Y167" s="74"/>
      <c r="Z167" s="74"/>
      <c r="AA167" s="74"/>
      <c r="AB167" s="74"/>
      <c r="AC167" s="74"/>
      <c r="AD167" s="74"/>
      <c r="AE167" s="74"/>
    </row>
    <row r="168" spans="1:31" ht="15.75" customHeight="1" x14ac:dyDescent="0.25">
      <c r="A168" s="506" t="s">
        <v>907</v>
      </c>
      <c r="B168" s="507" t="s">
        <v>542</v>
      </c>
      <c r="C168" s="489" t="s">
        <v>906</v>
      </c>
      <c r="D168" s="509">
        <f>SUMPRODUCT('Система ГВС'!D5:D9,'Система ГВС'!E5:E9)</f>
        <v>90</v>
      </c>
      <c r="E168" s="74"/>
      <c r="F168" s="74"/>
      <c r="G168" s="922">
        <f>SUMPRODUCT('Система ГВС'!D5:D9,'Система ГВС'!E5:E9)</f>
        <v>90</v>
      </c>
      <c r="H168" s="922">
        <f>SUMPRODUCT('Система ГВС'!D5:D9,'Система ГВС'!E5:E9)</f>
        <v>90</v>
      </c>
      <c r="I168" s="922">
        <f>SUMPRODUCT('Система ГВС'!D5:D9,'Система ГВС'!E5:E9)</f>
        <v>90</v>
      </c>
      <c r="J168" s="922">
        <f>SUMPRODUCT('Система ГВС'!D5:D9,'Система ГВС'!E5:E9)</f>
        <v>90</v>
      </c>
      <c r="K168" s="922">
        <f>SUMPRODUCT('Система ГВС'!D5:D9,'Система ГВС'!E5:E9)</f>
        <v>90</v>
      </c>
      <c r="L168" s="922">
        <f>SUMPRODUCT('Система ГВС'!D5:D9,'Система ГВС'!E5:E9)</f>
        <v>90</v>
      </c>
      <c r="M168" s="922">
        <f>SUMPRODUCT('Система ГВС'!D5:D9,'Система ГВС'!E5:E9)</f>
        <v>90</v>
      </c>
      <c r="N168" s="922">
        <f>SUMPRODUCT('Система ГВС'!D5:D9,'Система ГВС'!E5:E9)</f>
        <v>90</v>
      </c>
      <c r="O168" s="922">
        <f>SUMPRODUCT('Система ГВС'!D5:D9,'Система ГВС'!E5:E9)</f>
        <v>90</v>
      </c>
      <c r="P168" s="922">
        <f>SUMPRODUCT('Система ГВС'!D5:D9,'Система ГВС'!E5:E9)</f>
        <v>90</v>
      </c>
      <c r="Q168" s="922">
        <f>SUMPRODUCT('Система ГВС'!D5:D9,'Система ГВС'!E5:E9)</f>
        <v>90</v>
      </c>
      <c r="R168" s="922">
        <f>SUMPRODUCT('Система ГВС'!D5:D9,'Система ГВС'!E5:E9)</f>
        <v>90</v>
      </c>
      <c r="S168" s="74"/>
      <c r="T168" s="74"/>
      <c r="U168" s="74"/>
      <c r="V168" s="74"/>
      <c r="W168" s="74"/>
      <c r="X168" s="74"/>
      <c r="Y168" s="74"/>
      <c r="Z168" s="74"/>
      <c r="AA168" s="74"/>
      <c r="AB168" s="74"/>
      <c r="AC168" s="74"/>
      <c r="AD168" s="74"/>
      <c r="AE168" s="74"/>
    </row>
    <row r="169" spans="1:31" ht="15.75" customHeight="1" x14ac:dyDescent="0.25">
      <c r="A169" s="510" t="s">
        <v>544</v>
      </c>
      <c r="B169" s="507" t="s">
        <v>545</v>
      </c>
      <c r="C169" s="489" t="s">
        <v>746</v>
      </c>
      <c r="D169" s="511">
        <f>'Ввод исходных данных'!D112</f>
        <v>0.9</v>
      </c>
      <c r="E169" s="74"/>
      <c r="F169" s="74"/>
      <c r="G169" s="74"/>
      <c r="H169" s="74"/>
      <c r="I169" s="74"/>
      <c r="J169" s="74"/>
      <c r="K169" s="74"/>
      <c r="L169" s="74"/>
      <c r="M169" s="74"/>
      <c r="N169" s="74"/>
      <c r="O169" s="74"/>
      <c r="P169" s="74"/>
      <c r="Q169" s="74"/>
      <c r="R169" s="74"/>
      <c r="S169" s="74"/>
      <c r="T169" s="74"/>
      <c r="U169" s="74"/>
      <c r="V169" s="74"/>
      <c r="W169" s="74"/>
      <c r="X169" s="74"/>
      <c r="Y169" s="74"/>
      <c r="Z169" s="74"/>
      <c r="AA169" s="74"/>
      <c r="AB169" s="74"/>
      <c r="AC169" s="74"/>
      <c r="AD169" s="74"/>
      <c r="AE169" s="74"/>
    </row>
    <row r="170" spans="1:31" ht="15.75" customHeight="1" x14ac:dyDescent="0.25">
      <c r="A170" s="506"/>
      <c r="B170" s="507" t="s">
        <v>546</v>
      </c>
      <c r="C170" s="489" t="s">
        <v>543</v>
      </c>
      <c r="D170" s="511">
        <f>365-'Ввод исходных данных'!D110</f>
        <v>351</v>
      </c>
      <c r="E170" s="74"/>
      <c r="F170" s="74"/>
      <c r="G170" s="511">
        <f>G165-G166*'Ввод исходных данных'!$D$110</f>
        <v>31</v>
      </c>
      <c r="H170" s="511">
        <f>H165-H166*'Ввод исходных данных'!$D$110</f>
        <v>28</v>
      </c>
      <c r="I170" s="511">
        <f>I165-I166*'Ввод исходных данных'!$D$110</f>
        <v>31</v>
      </c>
      <c r="J170" s="511">
        <f>J165-J166*'Ввод исходных данных'!$D$110</f>
        <v>30</v>
      </c>
      <c r="K170" s="511">
        <f>K165-K166*'Ввод исходных данных'!$D$110</f>
        <v>31</v>
      </c>
      <c r="L170" s="511">
        <f>L165-L166*'Ввод исходных данных'!$D$110</f>
        <v>30</v>
      </c>
      <c r="M170" s="511">
        <f>M165-M166*'Ввод исходных данных'!$D$110</f>
        <v>17</v>
      </c>
      <c r="N170" s="511">
        <f>N165-N166*'Ввод исходных данных'!$D$110</f>
        <v>31</v>
      </c>
      <c r="O170" s="511">
        <f>O165-O166*'Ввод исходных данных'!$D$110</f>
        <v>30</v>
      </c>
      <c r="P170" s="511">
        <f>P165-P166*'Ввод исходных данных'!$D$110</f>
        <v>31</v>
      </c>
      <c r="Q170" s="511">
        <f>Q165-Q166*'Ввод исходных данных'!$D$110</f>
        <v>30</v>
      </c>
      <c r="R170" s="511">
        <f>R165-R166*'Ввод исходных данных'!$D$110</f>
        <v>31</v>
      </c>
      <c r="S170" s="74"/>
      <c r="T170" s="74"/>
      <c r="U170" s="74"/>
      <c r="V170" s="74"/>
      <c r="W170" s="74"/>
      <c r="X170" s="74"/>
      <c r="Y170" s="74"/>
      <c r="Z170" s="74"/>
      <c r="AA170" s="74"/>
      <c r="AB170" s="74"/>
      <c r="AC170" s="74"/>
      <c r="AD170" s="74"/>
      <c r="AE170" s="74"/>
    </row>
    <row r="171" spans="1:31" ht="15.75" customHeight="1" x14ac:dyDescent="0.25">
      <c r="A171" s="506" t="s">
        <v>908</v>
      </c>
      <c r="B171" s="507" t="s">
        <v>547</v>
      </c>
      <c r="C171" s="489" t="s">
        <v>559</v>
      </c>
      <c r="D171" s="512" t="e">
        <f>D167*'Ввод исходных данных'!$D$22/24/1000</f>
        <v>#N/A</v>
      </c>
      <c r="E171" s="74"/>
      <c r="F171" s="74"/>
      <c r="G171" s="512" t="e">
        <f>G167*'Ввод исходных данных'!$D$22/24/1000</f>
        <v>#N/A</v>
      </c>
      <c r="H171" s="512" t="e">
        <f>H167*'Ввод исходных данных'!$D$22/24/1000</f>
        <v>#N/A</v>
      </c>
      <c r="I171" s="512" t="e">
        <f>I167*'Ввод исходных данных'!$D$22/24/1000</f>
        <v>#N/A</v>
      </c>
      <c r="J171" s="512" t="e">
        <f>J167*'Ввод исходных данных'!$D$22/24/1000</f>
        <v>#N/A</v>
      </c>
      <c r="K171" s="512" t="e">
        <f>K167*'Ввод исходных данных'!$D$22/24/1000</f>
        <v>#N/A</v>
      </c>
      <c r="L171" s="512" t="e">
        <f>L167*'Ввод исходных данных'!$D$22/24/1000</f>
        <v>#N/A</v>
      </c>
      <c r="M171" s="512" t="e">
        <f>M167*'Ввод исходных данных'!$D$22/24/1000</f>
        <v>#N/A</v>
      </c>
      <c r="N171" s="512" t="e">
        <f>N167*'Ввод исходных данных'!$D$22/24/1000</f>
        <v>#N/A</v>
      </c>
      <c r="O171" s="512" t="e">
        <f>O167*'Ввод исходных данных'!$D$22/24/1000</f>
        <v>#N/A</v>
      </c>
      <c r="P171" s="512" t="e">
        <f>P167*'Ввод исходных данных'!$D$22/24/1000</f>
        <v>#N/A</v>
      </c>
      <c r="Q171" s="512" t="e">
        <f>Q167*'Ввод исходных данных'!$D$22/24/1000</f>
        <v>#N/A</v>
      </c>
      <c r="R171" s="512" t="e">
        <f>R167*'Ввод исходных данных'!$D$22/24/1000</f>
        <v>#N/A</v>
      </c>
      <c r="S171" s="74"/>
      <c r="T171" s="74"/>
      <c r="U171" s="74"/>
      <c r="V171" s="74"/>
      <c r="W171" s="74"/>
      <c r="X171" s="74"/>
      <c r="Y171" s="74"/>
      <c r="Z171" s="74"/>
      <c r="AA171" s="74"/>
      <c r="AB171" s="74"/>
      <c r="AC171" s="74"/>
      <c r="AD171" s="74"/>
      <c r="AE171" s="74"/>
    </row>
    <row r="172" spans="1:31" ht="15.75" customHeight="1" x14ac:dyDescent="0.25">
      <c r="A172" s="506" t="s">
        <v>909</v>
      </c>
      <c r="B172" s="507" t="s">
        <v>548</v>
      </c>
      <c r="C172" s="489" t="s">
        <v>559</v>
      </c>
      <c r="D172" s="512" t="e">
        <f>D171*'Система электроснабжения'!$C$55</f>
        <v>#N/A</v>
      </c>
      <c r="E172" s="74" t="e">
        <f>D172*(60-5)*4.2/3.6*1.1</f>
        <v>#N/A</v>
      </c>
      <c r="F172" s="74"/>
      <c r="G172" s="74"/>
      <c r="H172" s="74"/>
      <c r="I172" s="74"/>
      <c r="J172" s="74"/>
      <c r="K172" s="74"/>
      <c r="L172" s="74"/>
      <c r="M172" s="74"/>
      <c r="N172" s="74"/>
      <c r="O172" s="74"/>
      <c r="P172" s="74"/>
      <c r="Q172" s="74"/>
      <c r="R172" s="74"/>
      <c r="S172" s="74"/>
      <c r="T172" s="74"/>
      <c r="U172" s="74"/>
      <c r="V172" s="74"/>
      <c r="W172" s="74"/>
      <c r="X172" s="74"/>
      <c r="Y172" s="74"/>
      <c r="Z172" s="74"/>
      <c r="AA172" s="74"/>
      <c r="AB172" s="74"/>
      <c r="AC172" s="74"/>
      <c r="AD172" s="74"/>
      <c r="AE172" s="74"/>
    </row>
    <row r="173" spans="1:31" ht="15.75" customHeight="1" x14ac:dyDescent="0.25">
      <c r="A173" s="506" t="s">
        <v>910</v>
      </c>
      <c r="B173" s="507" t="s">
        <v>551</v>
      </c>
      <c r="C173" s="489" t="s">
        <v>513</v>
      </c>
      <c r="D173" s="513" t="e">
        <f xml:space="preserve"> (D167*(D174-D175)*(1+D176)*1*D177)/(3.6*24*D178)</f>
        <v>#N/A</v>
      </c>
      <c r="E173" s="74" t="e">
        <f>E172*0.86/1000</f>
        <v>#N/A</v>
      </c>
      <c r="F173" s="74"/>
      <c r="G173" s="513" t="e">
        <f xml:space="preserve"> (G167*($D$174-IF(G146&gt;=0.8*G165,$D$175,'Ввод исходных данных'!$D$109))*(1+$D$176)*1*$D$177)/(3.6*24*$D$178)</f>
        <v>#N/A</v>
      </c>
      <c r="H173" s="513" t="e">
        <f xml:space="preserve"> (H167*($D$174-IF(H146&gt;=0.8*H165,$D$175,'Ввод исходных данных'!$D$109))*(1+$D$176)*1*$D$177)/(3.6*24*$D$178)</f>
        <v>#N/A</v>
      </c>
      <c r="I173" s="513" t="e">
        <f xml:space="preserve"> (I167*($D$174-IF(I146&gt;=0.8*I165,$D$175,'Ввод исходных данных'!$D$109))*(1+$D$176)*1*$D$177)/(3.6*24*$D$178)</f>
        <v>#N/A</v>
      </c>
      <c r="J173" s="513" t="e">
        <f xml:space="preserve"> (J167*($D$174-IF(J146&gt;=0.8*J165,$D$175,'Ввод исходных данных'!$D$109))*(1+$D$176)*1*$D$177)/(3.6*24*$D$178)</f>
        <v>#N/A</v>
      </c>
      <c r="K173" s="513" t="e">
        <f xml:space="preserve"> (K167*($D$174-IF(K146&gt;=0.8*K165,$D$175,'Ввод исходных данных'!$D$109))*(1+$D$176)*1*$D$177)/(3.6*24*$D$178)</f>
        <v>#N/A</v>
      </c>
      <c r="L173" s="513" t="e">
        <f xml:space="preserve"> (L167*($D$174-IF(L146&gt;=0.8*L165,$D$175,'Ввод исходных данных'!$D$109))*(1+$D$176)*1*$D$177)/(3.6*24*$D$178)</f>
        <v>#N/A</v>
      </c>
      <c r="M173" s="513" t="e">
        <f xml:space="preserve"> (M167*($D$174-IF(M146&gt;=0.8*M165,$D$175,'Ввод исходных данных'!$D$109))*(1+$D$176)*1*$D$177)/(3.6*24*$D$178)</f>
        <v>#N/A</v>
      </c>
      <c r="N173" s="513" t="e">
        <f xml:space="preserve"> (N167*($D$174-IF(N146&gt;=0.8*N165,$D$175,'Ввод исходных данных'!$D$109))*(1+$D$176)*1*$D$177)/(3.6*24*$D$178)</f>
        <v>#N/A</v>
      </c>
      <c r="O173" s="513" t="e">
        <f xml:space="preserve"> (O167*($D$174-IF(O146&gt;=0.8*O165,$D$175,'Ввод исходных данных'!$D$109))*(1+$D$176)*1*$D$177)/(3.6*24*$D$178)</f>
        <v>#N/A</v>
      </c>
      <c r="P173" s="513" t="e">
        <f xml:space="preserve"> (P167*($D$174-IF(P146&gt;=0.8*P165,$D$175,'Ввод исходных данных'!$D$109))*(1+$D$176)*1*$D$177)/(3.6*24*$D$178)</f>
        <v>#N/A</v>
      </c>
      <c r="Q173" s="513" t="e">
        <f xml:space="preserve"> (Q167*($D$174-IF(Q146&gt;=0.8*Q165,$D$175,'Ввод исходных данных'!$D$109))*(1+$D$176)*1*$D$177)/(3.6*24*$D$178)</f>
        <v>#N/A</v>
      </c>
      <c r="R173" s="513" t="e">
        <f xml:space="preserve"> (R167*($D$174-IF(R146&gt;=0.8*R165,$D$175,'Ввод исходных данных'!$D$109))*(1+$D$176)*1*$D$177)/(3.6*24*$D$178)</f>
        <v>#N/A</v>
      </c>
      <c r="S173" s="74"/>
      <c r="T173" s="74"/>
      <c r="U173" s="74"/>
      <c r="V173" s="74"/>
      <c r="W173" s="74"/>
      <c r="X173" s="74"/>
      <c r="Y173" s="74"/>
      <c r="Z173" s="74"/>
      <c r="AA173" s="74"/>
      <c r="AB173" s="74"/>
      <c r="AC173" s="74"/>
      <c r="AD173" s="74"/>
      <c r="AE173" s="74"/>
    </row>
    <row r="174" spans="1:31" ht="15.75" customHeight="1" x14ac:dyDescent="0.25">
      <c r="A174" s="506" t="s">
        <v>552</v>
      </c>
      <c r="B174" s="507" t="s">
        <v>911</v>
      </c>
      <c r="C174" s="489" t="s">
        <v>747</v>
      </c>
      <c r="D174" s="511">
        <f>'Ввод исходных данных'!D107</f>
        <v>60</v>
      </c>
      <c r="E174" s="74"/>
      <c r="F174" s="74"/>
      <c r="G174" s="74"/>
      <c r="H174" s="74"/>
      <c r="I174" s="74"/>
      <c r="J174" s="74"/>
      <c r="K174" s="74"/>
      <c r="L174" s="74"/>
      <c r="M174" s="74"/>
      <c r="N174" s="74"/>
      <c r="O174" s="74"/>
      <c r="P174" s="74"/>
      <c r="Q174" s="74"/>
      <c r="R174" s="74"/>
      <c r="S174" s="74"/>
      <c r="T174" s="74"/>
      <c r="U174" s="74"/>
      <c r="V174" s="74"/>
      <c r="W174" s="74"/>
      <c r="X174" s="74"/>
      <c r="Y174" s="74"/>
      <c r="Z174" s="74"/>
      <c r="AA174" s="74"/>
      <c r="AB174" s="74"/>
      <c r="AC174" s="74"/>
      <c r="AD174" s="74"/>
      <c r="AE174" s="74"/>
    </row>
    <row r="175" spans="1:31" ht="15.75" customHeight="1" x14ac:dyDescent="0.35">
      <c r="A175" s="510" t="s">
        <v>560</v>
      </c>
      <c r="B175" s="507" t="s">
        <v>912</v>
      </c>
      <c r="C175" s="489" t="s">
        <v>747</v>
      </c>
      <c r="D175" s="511">
        <f>'Ввод исходных данных'!D108</f>
        <v>5</v>
      </c>
      <c r="E175" s="74"/>
      <c r="F175" s="74"/>
      <c r="G175" s="74"/>
      <c r="H175" s="74"/>
      <c r="I175" s="74"/>
      <c r="J175" s="74"/>
      <c r="K175" s="74"/>
      <c r="L175" s="74"/>
      <c r="M175" s="74"/>
      <c r="N175" s="74"/>
      <c r="O175" s="74"/>
      <c r="P175" s="74"/>
      <c r="Q175" s="74"/>
      <c r="R175" s="74"/>
      <c r="S175" s="74"/>
      <c r="T175" s="74"/>
      <c r="U175" s="74"/>
      <c r="V175" s="74"/>
      <c r="W175" s="74"/>
      <c r="X175" s="74"/>
      <c r="Y175" s="74"/>
      <c r="Z175" s="74"/>
      <c r="AA175" s="74"/>
      <c r="AB175" s="74"/>
      <c r="AC175" s="74"/>
      <c r="AD175" s="74"/>
      <c r="AE175" s="74"/>
    </row>
    <row r="176" spans="1:31" ht="15.75" customHeight="1" x14ac:dyDescent="0.35">
      <c r="A176" s="510" t="s">
        <v>561</v>
      </c>
      <c r="B176" s="515" t="s">
        <v>553</v>
      </c>
      <c r="C176" s="489" t="s">
        <v>746</v>
      </c>
      <c r="D176" s="516">
        <f>'Система ГВС'!E12</f>
        <v>0.25</v>
      </c>
      <c r="E176" s="74"/>
      <c r="F176" s="74"/>
      <c r="G176" s="74"/>
      <c r="H176" s="74"/>
      <c r="I176" s="74"/>
      <c r="J176" s="74"/>
      <c r="K176" s="74"/>
      <c r="L176" s="74"/>
      <c r="M176" s="74"/>
      <c r="N176" s="74"/>
      <c r="O176" s="74"/>
      <c r="P176" s="74"/>
      <c r="Q176" s="74"/>
      <c r="R176" s="74"/>
      <c r="S176" s="74"/>
      <c r="T176" s="74"/>
      <c r="U176" s="74"/>
      <c r="V176" s="74"/>
      <c r="W176" s="74"/>
      <c r="X176" s="74"/>
      <c r="Y176" s="74"/>
      <c r="Z176" s="74"/>
      <c r="AA176" s="74"/>
      <c r="AB176" s="74"/>
      <c r="AC176" s="74"/>
      <c r="AD176" s="74"/>
      <c r="AE176" s="74"/>
    </row>
    <row r="177" spans="1:32" ht="15.75" customHeight="1" x14ac:dyDescent="0.25">
      <c r="A177" s="510" t="s">
        <v>1236</v>
      </c>
      <c r="B177" s="515"/>
      <c r="C177" s="489" t="s">
        <v>1237</v>
      </c>
      <c r="D177" s="516">
        <v>4.2</v>
      </c>
      <c r="E177" s="74"/>
      <c r="F177" s="74"/>
      <c r="G177" s="74"/>
      <c r="H177" s="74"/>
      <c r="I177" s="74"/>
      <c r="J177" s="74"/>
      <c r="K177" s="74"/>
      <c r="L177" s="74"/>
      <c r="M177" s="74"/>
      <c r="N177" s="74"/>
      <c r="O177" s="74"/>
      <c r="P177" s="74"/>
      <c r="Q177" s="74"/>
      <c r="R177" s="74"/>
      <c r="S177" s="74"/>
      <c r="T177" s="74"/>
      <c r="U177" s="74"/>
      <c r="V177" s="74"/>
      <c r="W177" s="74"/>
      <c r="X177" s="74"/>
      <c r="Y177" s="74"/>
      <c r="Z177" s="74"/>
      <c r="AA177" s="74"/>
      <c r="AB177" s="74"/>
      <c r="AC177" s="74"/>
      <c r="AD177" s="74"/>
      <c r="AE177" s="74"/>
    </row>
    <row r="178" spans="1:32" ht="15.75" customHeight="1" x14ac:dyDescent="0.25">
      <c r="A178" s="510" t="s">
        <v>913</v>
      </c>
      <c r="B178" s="515" t="s">
        <v>1475</v>
      </c>
      <c r="C178" s="489" t="s">
        <v>562</v>
      </c>
      <c r="D178" s="511">
        <v>20</v>
      </c>
      <c r="E178" s="74"/>
      <c r="F178" s="74"/>
      <c r="G178" s="74"/>
      <c r="H178" s="74"/>
      <c r="I178" s="74"/>
      <c r="J178" s="74"/>
      <c r="K178" s="74"/>
      <c r="L178" s="74"/>
      <c r="M178" s="74"/>
      <c r="N178" s="74"/>
      <c r="O178" s="74"/>
      <c r="P178" s="74"/>
      <c r="Q178" s="74"/>
      <c r="R178" s="74"/>
      <c r="S178" s="74"/>
      <c r="T178" s="74"/>
      <c r="U178" s="74"/>
      <c r="V178" s="74"/>
      <c r="W178" s="74"/>
      <c r="X178" s="74"/>
      <c r="Y178" s="74"/>
      <c r="Z178" s="74"/>
      <c r="AA178" s="74"/>
      <c r="AB178" s="74"/>
      <c r="AC178" s="74"/>
      <c r="AD178" s="74"/>
      <c r="AE178" s="74"/>
    </row>
    <row r="179" spans="1:32" ht="15.75" customHeight="1" x14ac:dyDescent="0.25">
      <c r="A179" s="510" t="s">
        <v>914</v>
      </c>
      <c r="B179" s="515" t="s">
        <v>750</v>
      </c>
      <c r="C179" s="489" t="s">
        <v>562</v>
      </c>
      <c r="D179" s="508" t="e">
        <f>'Ввод исходных данных'!G45/'Ввод исходных данных'!D22</f>
        <v>#DIV/0!</v>
      </c>
      <c r="E179" s="74"/>
      <c r="F179" s="74"/>
      <c r="G179" s="74"/>
      <c r="H179" s="74"/>
      <c r="I179" s="74"/>
      <c r="J179" s="74"/>
      <c r="K179" s="74"/>
      <c r="L179" s="74"/>
      <c r="M179" s="74"/>
      <c r="N179" s="74"/>
      <c r="O179" s="74"/>
      <c r="P179" s="74"/>
      <c r="Q179" s="74"/>
      <c r="R179" s="74"/>
      <c r="S179" s="74"/>
      <c r="T179" s="74"/>
      <c r="U179" s="74"/>
      <c r="V179" s="74"/>
      <c r="W179" s="74"/>
      <c r="X179" s="74"/>
      <c r="Y179" s="74"/>
      <c r="Z179" s="74"/>
      <c r="AA179" s="74"/>
      <c r="AB179" s="74"/>
      <c r="AC179" s="74"/>
      <c r="AD179" s="74"/>
      <c r="AE179" s="74"/>
    </row>
    <row r="180" spans="1:32" ht="15.75" customHeight="1" x14ac:dyDescent="0.25">
      <c r="A180" s="74"/>
      <c r="B180" s="74"/>
      <c r="C180" s="74"/>
      <c r="D180" s="74"/>
      <c r="E180" s="74"/>
      <c r="F180" s="74"/>
      <c r="G180" s="74"/>
      <c r="H180" s="74"/>
      <c r="I180" s="74"/>
      <c r="J180" s="74"/>
      <c r="K180" s="74"/>
      <c r="L180" s="74"/>
      <c r="M180" s="74"/>
      <c r="N180" s="74"/>
      <c r="O180" s="74"/>
      <c r="P180" s="74"/>
      <c r="Q180" s="74"/>
      <c r="R180" s="74"/>
      <c r="S180" s="74"/>
      <c r="T180" s="74"/>
      <c r="U180" s="74"/>
      <c r="V180" s="74"/>
      <c r="W180" s="74"/>
      <c r="X180" s="74"/>
      <c r="Y180" s="74"/>
      <c r="Z180" s="74"/>
      <c r="AA180" s="74"/>
      <c r="AB180" s="74"/>
      <c r="AC180" s="74"/>
      <c r="AD180" s="74"/>
      <c r="AE180" s="74"/>
    </row>
    <row r="181" spans="1:32" x14ac:dyDescent="0.25">
      <c r="A181" s="510" t="s">
        <v>1572</v>
      </c>
      <c r="B181" s="515" t="s">
        <v>1573</v>
      </c>
      <c r="C181" s="489" t="s">
        <v>1579</v>
      </c>
      <c r="D181" s="508" t="e">
        <f>0.28*'Ввод исходных данных'!$G$49*(D183-D184)+0.03*D183*Климатология!$H$2^2</f>
        <v>#N/A</v>
      </c>
      <c r="E181" s="74"/>
      <c r="F181" s="74"/>
      <c r="G181" s="74"/>
      <c r="H181" s="74"/>
      <c r="I181" s="74"/>
      <c r="J181" s="74"/>
      <c r="K181" s="74"/>
      <c r="L181" s="74"/>
      <c r="M181" s="74"/>
      <c r="N181" s="74"/>
      <c r="O181" s="74"/>
      <c r="P181" s="74"/>
      <c r="Q181" s="74"/>
      <c r="R181" s="74"/>
      <c r="S181" s="74"/>
      <c r="T181" s="74"/>
      <c r="U181" s="74"/>
      <c r="V181" s="74"/>
      <c r="W181" s="74"/>
      <c r="X181" s="74"/>
      <c r="Y181" s="74"/>
      <c r="Z181" s="74"/>
      <c r="AA181" s="74"/>
      <c r="AB181" s="74"/>
      <c r="AC181" s="74"/>
      <c r="AD181" s="74"/>
      <c r="AE181" s="74"/>
    </row>
    <row r="182" spans="1:32" x14ac:dyDescent="0.25">
      <c r="A182" s="510" t="s">
        <v>1575</v>
      </c>
      <c r="B182" s="515" t="s">
        <v>1574</v>
      </c>
      <c r="C182" s="489" t="s">
        <v>1579</v>
      </c>
      <c r="D182" s="508" t="e">
        <f>0.55*('Ввод исходных данных'!$G$49-1)*(D183-D184)+0.03*D183*Климатология!$H$2^2</f>
        <v>#N/A</v>
      </c>
      <c r="E182" s="74"/>
      <c r="F182" s="74"/>
      <c r="G182" s="74"/>
      <c r="H182" s="74"/>
      <c r="I182" s="74"/>
      <c r="J182" s="74"/>
      <c r="K182" s="74"/>
      <c r="L182" s="74"/>
      <c r="M182" s="74"/>
      <c r="N182" s="74"/>
      <c r="O182" s="74"/>
      <c r="P182" s="74"/>
      <c r="Q182" s="74"/>
      <c r="R182" s="74"/>
      <c r="S182" s="74"/>
      <c r="T182" s="74"/>
      <c r="U182" s="74"/>
      <c r="V182" s="74"/>
      <c r="W182" s="74"/>
      <c r="X182" s="74"/>
      <c r="Y182" s="74"/>
      <c r="Z182" s="74"/>
      <c r="AA182" s="74"/>
      <c r="AB182" s="74"/>
      <c r="AC182" s="74"/>
      <c r="AD182" s="74"/>
      <c r="AE182" s="74"/>
      <c r="AF182" s="74"/>
    </row>
    <row r="183" spans="1:32" x14ac:dyDescent="0.25">
      <c r="A183" s="510" t="s">
        <v>1576</v>
      </c>
      <c r="B183" s="515"/>
      <c r="C183" s="489" t="s">
        <v>1580</v>
      </c>
      <c r="D183" s="508" t="e">
        <f>3463/(273+Климатология!$F$2)</f>
        <v>#N/A</v>
      </c>
      <c r="E183" s="74"/>
      <c r="F183" s="74"/>
      <c r="G183" s="74"/>
      <c r="H183" s="74"/>
      <c r="I183" s="74"/>
      <c r="J183" s="74"/>
      <c r="K183" s="74"/>
      <c r="L183" s="74"/>
      <c r="M183" s="74"/>
      <c r="N183" s="74"/>
      <c r="O183" s="74"/>
      <c r="P183" s="74"/>
      <c r="Q183" s="74"/>
      <c r="R183" s="74"/>
      <c r="S183" s="74"/>
      <c r="T183" s="74"/>
      <c r="U183" s="74"/>
      <c r="V183" s="74"/>
      <c r="W183" s="74"/>
      <c r="X183" s="74"/>
      <c r="Y183" s="74"/>
      <c r="Z183" s="74"/>
      <c r="AA183" s="74"/>
      <c r="AB183" s="74"/>
      <c r="AC183" s="74"/>
      <c r="AD183" s="74"/>
      <c r="AE183" s="74"/>
    </row>
    <row r="184" spans="1:32" x14ac:dyDescent="0.25">
      <c r="A184" s="510" t="s">
        <v>1577</v>
      </c>
      <c r="B184" s="515"/>
      <c r="C184" s="489" t="s">
        <v>1580</v>
      </c>
      <c r="D184" s="508">
        <f>3463/(273+'Ввод исходных данных'!$D$83)</f>
        <v>11.819112627986348</v>
      </c>
      <c r="E184" s="74"/>
      <c r="F184" s="74"/>
      <c r="G184" s="74"/>
      <c r="H184" s="74"/>
      <c r="I184" s="74"/>
      <c r="J184" s="74"/>
      <c r="K184" s="74"/>
      <c r="L184" s="74"/>
      <c r="M184" s="74"/>
      <c r="N184" s="74"/>
      <c r="O184" s="74"/>
      <c r="P184" s="74"/>
      <c r="Q184" s="74"/>
      <c r="R184" s="74"/>
      <c r="S184" s="74"/>
      <c r="T184" s="74"/>
      <c r="U184" s="74"/>
      <c r="V184" s="74"/>
      <c r="W184" s="74"/>
      <c r="X184" s="74"/>
      <c r="Y184" s="74"/>
      <c r="Z184" s="74"/>
      <c r="AA184" s="74"/>
      <c r="AB184" s="74"/>
      <c r="AC184" s="74"/>
      <c r="AD184" s="74"/>
      <c r="AE184" s="74"/>
    </row>
    <row r="185" spans="1:32" x14ac:dyDescent="0.25">
      <c r="A185" s="510" t="s">
        <v>1571</v>
      </c>
      <c r="B185" s="515"/>
      <c r="C185" s="489" t="s">
        <v>1581</v>
      </c>
      <c r="D185" s="517" t="e">
        <f>0.12*(1-'Ввод исходных данных'!$D$34/'Ввод исходных данных'!$G$55)+0.86*'Ввод исходных данных'!$D$34/'Ввод исходных данных'!$G$55</f>
        <v>#DIV/0!</v>
      </c>
      <c r="E185" s="74"/>
      <c r="F185" s="74"/>
      <c r="G185" s="74"/>
      <c r="H185" s="74"/>
      <c r="I185" s="74"/>
      <c r="J185" s="74"/>
      <c r="K185" s="74"/>
      <c r="L185" s="74"/>
      <c r="M185" s="74"/>
      <c r="N185" s="74"/>
      <c r="O185" s="74"/>
      <c r="P185" s="74"/>
      <c r="Q185" s="74"/>
      <c r="R185" s="74"/>
      <c r="S185" s="74"/>
      <c r="T185" s="74"/>
      <c r="U185" s="74"/>
      <c r="V185" s="74"/>
      <c r="W185" s="74"/>
      <c r="X185" s="74"/>
      <c r="Y185" s="74"/>
      <c r="Z185" s="74"/>
      <c r="AA185" s="74"/>
      <c r="AB185" s="74"/>
      <c r="AC185" s="74"/>
      <c r="AD185" s="74"/>
      <c r="AE185" s="74"/>
    </row>
    <row r="186" spans="1:32" x14ac:dyDescent="0.25">
      <c r="A186" s="510" t="s">
        <v>1570</v>
      </c>
      <c r="B186" s="515"/>
      <c r="C186" s="489" t="s">
        <v>1581</v>
      </c>
      <c r="D186" s="517">
        <f>IF(списки!$D$35=0,0.14,0.16)</f>
        <v>0.14000000000000001</v>
      </c>
      <c r="E186" s="74"/>
      <c r="F186" s="74"/>
      <c r="G186" s="74"/>
      <c r="H186" s="74"/>
      <c r="I186" s="74"/>
      <c r="J186" s="74"/>
      <c r="K186" s="74"/>
      <c r="L186" s="74"/>
      <c r="M186" s="74"/>
      <c r="N186" s="74"/>
      <c r="O186" s="74"/>
      <c r="P186" s="74"/>
      <c r="Q186" s="74"/>
      <c r="R186" s="74"/>
      <c r="S186" s="74"/>
      <c r="T186" s="74"/>
      <c r="U186" s="74"/>
      <c r="V186" s="74"/>
      <c r="W186" s="74"/>
      <c r="X186" s="74"/>
      <c r="Y186" s="74"/>
      <c r="Z186" s="74"/>
      <c r="AA186" s="74"/>
      <c r="AB186" s="74"/>
      <c r="AC186" s="74"/>
      <c r="AD186" s="74"/>
      <c r="AE186" s="74"/>
    </row>
    <row r="187" spans="1:32" x14ac:dyDescent="0.25">
      <c r="A187" s="510" t="s">
        <v>1569</v>
      </c>
      <c r="B187" s="515"/>
      <c r="C187" s="489" t="s">
        <v>1582</v>
      </c>
      <c r="D187" s="508" t="e">
        <f>(B136/D185)*(D181/10)^(2/3)</f>
        <v>#DIV/0!</v>
      </c>
      <c r="E187" s="74"/>
      <c r="F187" s="74"/>
      <c r="G187" s="74"/>
      <c r="H187" s="74"/>
      <c r="I187" s="74"/>
      <c r="J187" s="74"/>
      <c r="K187" s="74"/>
      <c r="L187" s="74"/>
      <c r="M187" s="74"/>
      <c r="N187" s="74"/>
      <c r="O187" s="74"/>
      <c r="P187" s="74"/>
      <c r="Q187" s="74"/>
      <c r="R187" s="74"/>
      <c r="S187" s="74"/>
      <c r="T187" s="74"/>
      <c r="U187" s="74"/>
      <c r="V187" s="74"/>
      <c r="W187" s="74"/>
      <c r="X187" s="74"/>
      <c r="Y187" s="74"/>
      <c r="Z187" s="74"/>
      <c r="AA187" s="74"/>
      <c r="AB187" s="74"/>
      <c r="AC187" s="74"/>
      <c r="AD187" s="74"/>
      <c r="AE187" s="74"/>
    </row>
    <row r="188" spans="1:32" x14ac:dyDescent="0.25">
      <c r="A188" s="510" t="s">
        <v>1568</v>
      </c>
      <c r="B188" s="515"/>
      <c r="C188" s="489" t="s">
        <v>1582</v>
      </c>
      <c r="D188" s="508" t="e">
        <f>(B143/D186)*(D182/10)^(1/2)</f>
        <v>#N/A</v>
      </c>
      <c r="E188" s="74"/>
      <c r="F188" s="74"/>
      <c r="G188" s="74"/>
      <c r="H188" s="74"/>
      <c r="I188" s="74"/>
      <c r="J188" s="74"/>
      <c r="K188" s="74"/>
      <c r="L188" s="74"/>
      <c r="M188" s="74"/>
      <c r="N188" s="74"/>
      <c r="O188" s="74"/>
      <c r="P188" s="74"/>
      <c r="Q188" s="74"/>
      <c r="R188" s="74"/>
      <c r="S188" s="74"/>
      <c r="T188" s="74"/>
      <c r="U188" s="74"/>
      <c r="V188" s="74"/>
      <c r="W188" s="74"/>
      <c r="X188" s="74"/>
      <c r="Y188" s="74"/>
      <c r="Z188" s="74"/>
      <c r="AA188" s="74"/>
      <c r="AB188" s="74"/>
      <c r="AC188" s="74"/>
      <c r="AD188" s="74"/>
      <c r="AE188" s="74"/>
    </row>
    <row r="189" spans="1:32" x14ac:dyDescent="0.25">
      <c r="A189" s="510" t="s">
        <v>1567</v>
      </c>
      <c r="B189" s="515"/>
      <c r="C189" s="489" t="s">
        <v>1582</v>
      </c>
      <c r="D189" s="508" t="e">
        <f>D187+D188</f>
        <v>#DIV/0!</v>
      </c>
      <c r="E189" s="74"/>
      <c r="F189" s="74"/>
      <c r="G189" s="74"/>
      <c r="H189" s="74"/>
      <c r="I189" s="74"/>
      <c r="J189" s="74"/>
      <c r="K189" s="74"/>
      <c r="L189" s="74"/>
      <c r="M189" s="74"/>
      <c r="N189" s="74"/>
      <c r="O189" s="74"/>
      <c r="P189" s="74"/>
      <c r="Q189" s="74"/>
      <c r="R189" s="74"/>
      <c r="S189" s="74"/>
      <c r="T189" s="74"/>
      <c r="U189" s="74"/>
      <c r="V189" s="74"/>
      <c r="W189" s="74"/>
      <c r="X189" s="74"/>
      <c r="Y189" s="74"/>
      <c r="Z189" s="74"/>
      <c r="AA189" s="74"/>
      <c r="AB189" s="74"/>
      <c r="AC189" s="74"/>
      <c r="AD189" s="74"/>
      <c r="AE189" s="74"/>
    </row>
    <row r="190" spans="1:32" x14ac:dyDescent="0.25">
      <c r="A190" s="510" t="s">
        <v>1566</v>
      </c>
      <c r="B190" s="515"/>
      <c r="C190" s="489" t="s">
        <v>496</v>
      </c>
      <c r="D190" s="508" t="e">
        <f>0.024*$D$187*'Расчет базового уровня'!$D$147*0.28</f>
        <v>#DIV/0!</v>
      </c>
      <c r="E190" s="74"/>
      <c r="F190" s="74"/>
      <c r="G190" s="508" t="e">
        <f>0.024*$D$187*'Расчет базового уровня'!G$147*0.28</f>
        <v>#DIV/0!</v>
      </c>
      <c r="H190" s="508" t="e">
        <f>0.024*$D$187*'Расчет базового уровня'!H$147*0.28</f>
        <v>#DIV/0!</v>
      </c>
      <c r="I190" s="508" t="e">
        <f>0.024*$D$187*'Расчет базового уровня'!I$147*0.28</f>
        <v>#DIV/0!</v>
      </c>
      <c r="J190" s="508" t="e">
        <f>0.024*$D$187*'Расчет базового уровня'!J$147*0.28</f>
        <v>#DIV/0!</v>
      </c>
      <c r="K190" s="508" t="e">
        <f>0.024*$D$187*'Расчет базового уровня'!K$147*0.28</f>
        <v>#DIV/0!</v>
      </c>
      <c r="L190" s="508" t="e">
        <f>0.024*$D$187*'Расчет базового уровня'!L$147*0.28</f>
        <v>#DIV/0!</v>
      </c>
      <c r="M190" s="508" t="e">
        <f>0.024*$D$187*'Расчет базового уровня'!M$147*0.28</f>
        <v>#DIV/0!</v>
      </c>
      <c r="N190" s="508" t="e">
        <f>0.024*$D$187*'Расчет базового уровня'!N$147*0.28</f>
        <v>#DIV/0!</v>
      </c>
      <c r="O190" s="508" t="e">
        <f>0.024*$D$187*'Расчет базового уровня'!O$147*0.28</f>
        <v>#DIV/0!</v>
      </c>
      <c r="P190" s="508" t="e">
        <f>0.024*$D$187*'Расчет базового уровня'!P$147*0.28</f>
        <v>#DIV/0!</v>
      </c>
      <c r="Q190" s="508" t="e">
        <f>0.024*$D$187*'Расчет базового уровня'!Q$147*0.28</f>
        <v>#DIV/0!</v>
      </c>
      <c r="R190" s="508" t="e">
        <f>0.024*$D$187*'Расчет базового уровня'!R$147*0.28</f>
        <v>#DIV/0!</v>
      </c>
      <c r="S190" s="74"/>
      <c r="T190" s="74"/>
      <c r="U190" s="74"/>
      <c r="V190" s="74"/>
      <c r="W190" s="74"/>
      <c r="X190" s="74"/>
      <c r="Y190" s="74"/>
      <c r="Z190" s="74"/>
      <c r="AA190" s="74"/>
      <c r="AB190" s="74"/>
      <c r="AC190" s="74"/>
      <c r="AD190" s="74"/>
      <c r="AE190" s="74"/>
    </row>
    <row r="191" spans="1:32" x14ac:dyDescent="0.25">
      <c r="A191" s="510" t="s">
        <v>1565</v>
      </c>
      <c r="B191" s="515"/>
      <c r="C191" s="489" t="s">
        <v>496</v>
      </c>
      <c r="D191" s="508" t="e">
        <f>0.024*$D$188*'Расчет базового уровня'!$D$147*0.28</f>
        <v>#N/A</v>
      </c>
      <c r="E191" s="74"/>
      <c r="F191" s="74"/>
      <c r="G191" s="508" t="e">
        <f>0.024*$D$188*'Расчет базового уровня'!G$147*0.28</f>
        <v>#N/A</v>
      </c>
      <c r="H191" s="508" t="e">
        <f>0.024*$D$188*'Расчет базового уровня'!H$147*0.28</f>
        <v>#N/A</v>
      </c>
      <c r="I191" s="508" t="e">
        <f>0.024*$D$188*'Расчет базового уровня'!I$147*0.28</f>
        <v>#N/A</v>
      </c>
      <c r="J191" s="508" t="e">
        <f>0.024*$D$188*'Расчет базового уровня'!J$147*0.28</f>
        <v>#N/A</v>
      </c>
      <c r="K191" s="508" t="e">
        <f>0.024*$D$188*'Расчет базового уровня'!K$147*0.28</f>
        <v>#N/A</v>
      </c>
      <c r="L191" s="508" t="e">
        <f>0.024*$D$188*'Расчет базового уровня'!L$147*0.28</f>
        <v>#N/A</v>
      </c>
      <c r="M191" s="508" t="e">
        <f>0.024*$D$188*'Расчет базового уровня'!M$147*0.28</f>
        <v>#N/A</v>
      </c>
      <c r="N191" s="508" t="e">
        <f>0.024*$D$188*'Расчет базового уровня'!N$147*0.28</f>
        <v>#N/A</v>
      </c>
      <c r="O191" s="508" t="e">
        <f>0.024*$D$188*'Расчет базового уровня'!O$147*0.28</f>
        <v>#N/A</v>
      </c>
      <c r="P191" s="508" t="e">
        <f>0.024*$D$188*'Расчет базового уровня'!P$147*0.28</f>
        <v>#N/A</v>
      </c>
      <c r="Q191" s="508" t="e">
        <f>0.024*$D$188*'Расчет базового уровня'!Q$147*0.28</f>
        <v>#N/A</v>
      </c>
      <c r="R191" s="508" t="e">
        <f>0.024*$D$188*'Расчет базового уровня'!R$147*0.28</f>
        <v>#N/A</v>
      </c>
      <c r="S191" s="74"/>
      <c r="T191" s="74"/>
      <c r="U191" s="74"/>
      <c r="V191" s="74"/>
      <c r="W191" s="74"/>
      <c r="X191" s="74"/>
      <c r="Y191" s="74"/>
      <c r="Z191" s="74"/>
      <c r="AA191" s="74"/>
      <c r="AB191" s="74"/>
      <c r="AC191" s="74"/>
      <c r="AD191" s="74"/>
      <c r="AE191" s="74"/>
    </row>
    <row r="192" spans="1:32" x14ac:dyDescent="0.25">
      <c r="A192" s="510" t="s">
        <v>1564</v>
      </c>
      <c r="B192" s="515"/>
      <c r="C192" s="489" t="s">
        <v>496</v>
      </c>
      <c r="D192" s="508" t="e">
        <f>0.024*$D$189*'Расчет базового уровня'!$D$147*0.28</f>
        <v>#DIV/0!</v>
      </c>
      <c r="E192" s="74"/>
      <c r="F192" s="74"/>
      <c r="G192" s="508" t="e">
        <f>0.024*$D$189*'Расчет базового уровня'!G$147*0.28</f>
        <v>#DIV/0!</v>
      </c>
      <c r="H192" s="508" t="e">
        <f>0.024*$D$189*'Расчет базового уровня'!H$147*0.28</f>
        <v>#DIV/0!</v>
      </c>
      <c r="I192" s="508" t="e">
        <f>0.024*$D$189*'Расчет базового уровня'!I$147*0.28</f>
        <v>#DIV/0!</v>
      </c>
      <c r="J192" s="508" t="e">
        <f>0.024*$D$189*'Расчет базового уровня'!J$147*0.28</f>
        <v>#DIV/0!</v>
      </c>
      <c r="K192" s="508" t="e">
        <f>0.024*$D$189*'Расчет базового уровня'!K$147*0.28</f>
        <v>#DIV/0!</v>
      </c>
      <c r="L192" s="508" t="e">
        <f>0.024*$D$189*'Расчет базового уровня'!L$147*0.28</f>
        <v>#DIV/0!</v>
      </c>
      <c r="M192" s="508" t="e">
        <f>0.024*$D$189*'Расчет базового уровня'!M$147*0.28</f>
        <v>#DIV/0!</v>
      </c>
      <c r="N192" s="508" t="e">
        <f>0.024*$D$189*'Расчет базового уровня'!N$147*0.28</f>
        <v>#DIV/0!</v>
      </c>
      <c r="O192" s="508" t="e">
        <f>0.024*$D$189*'Расчет базового уровня'!O$147*0.28</f>
        <v>#DIV/0!</v>
      </c>
      <c r="P192" s="508" t="e">
        <f>0.024*$D$189*'Расчет базового уровня'!P$147*0.28</f>
        <v>#DIV/0!</v>
      </c>
      <c r="Q192" s="508" t="e">
        <f>0.024*$D$189*'Расчет базового уровня'!Q$147*0.28</f>
        <v>#DIV/0!</v>
      </c>
      <c r="R192" s="508" t="e">
        <f>0.024*$D$189*'Расчет базового уровня'!R$147*0.28</f>
        <v>#DIV/0!</v>
      </c>
      <c r="S192" s="74"/>
      <c r="T192" s="74"/>
      <c r="U192" s="74"/>
      <c r="V192" s="74"/>
      <c r="W192" s="74"/>
      <c r="X192" s="74"/>
      <c r="Y192" s="74"/>
      <c r="Z192" s="74"/>
      <c r="AA192" s="74"/>
      <c r="AB192" s="74"/>
      <c r="AC192" s="74"/>
      <c r="AD192" s="74"/>
      <c r="AE192" s="74"/>
    </row>
    <row r="193" spans="4:31" x14ac:dyDescent="0.25">
      <c r="I193" s="74"/>
      <c r="J193" s="74"/>
      <c r="K193" s="74"/>
      <c r="L193" s="74"/>
      <c r="M193" s="74"/>
      <c r="N193" s="74"/>
      <c r="O193" s="74"/>
      <c r="P193" s="74"/>
      <c r="Q193" s="74"/>
      <c r="R193" s="74"/>
      <c r="S193" s="74"/>
      <c r="T193" s="74"/>
      <c r="U193" s="74"/>
      <c r="V193" s="74"/>
      <c r="W193" s="74"/>
      <c r="X193" s="74"/>
      <c r="Y193" s="74"/>
      <c r="Z193" s="74"/>
      <c r="AA193" s="74"/>
      <c r="AB193" s="74"/>
      <c r="AC193" s="74"/>
      <c r="AD193" s="74"/>
      <c r="AE193" s="74"/>
    </row>
    <row r="194" spans="4:31" x14ac:dyDescent="0.25">
      <c r="I194" s="74"/>
      <c r="J194" s="74"/>
      <c r="K194" s="74"/>
      <c r="L194" s="74"/>
      <c r="M194" s="74"/>
      <c r="N194" s="74"/>
      <c r="O194" s="74"/>
      <c r="P194" s="74"/>
      <c r="Q194" s="74"/>
      <c r="R194" s="74"/>
      <c r="S194" s="74"/>
      <c r="T194" s="74"/>
      <c r="U194" s="74"/>
      <c r="V194" s="74"/>
      <c r="W194" s="74"/>
      <c r="X194" s="74"/>
      <c r="Y194" s="74"/>
      <c r="Z194" s="74"/>
      <c r="AA194" s="74"/>
      <c r="AB194" s="74"/>
      <c r="AC194" s="74"/>
      <c r="AD194" s="74"/>
      <c r="AE194" s="74"/>
    </row>
    <row r="195" spans="4:31" x14ac:dyDescent="0.25">
      <c r="D195" s="99"/>
    </row>
  </sheetData>
  <sheetProtection algorithmName="SHA-512" hashValue="Qxl6639Trj0xkARY96xM8i6jLmLmAmhxFLL2CbFis7aV7uMJ2Gq3ieh0IQBta3X45nrKllaUKmRLcZxHwq4v0w==" saltValue="EP68Ky6QQU3ayG03YbTI4g==" spinCount="100000" sheet="1" objects="1" scenarios="1"/>
  <mergeCells count="78">
    <mergeCell ref="H33:H34"/>
    <mergeCell ref="I98:J98"/>
    <mergeCell ref="A33:A34"/>
    <mergeCell ref="G33:G34"/>
    <mergeCell ref="E33:E34"/>
    <mergeCell ref="D33:D34"/>
    <mergeCell ref="C33:C34"/>
    <mergeCell ref="B33:B34"/>
    <mergeCell ref="A97:D97"/>
    <mergeCell ref="G98:G99"/>
    <mergeCell ref="H98:H99"/>
    <mergeCell ref="A82:D82"/>
    <mergeCell ref="G83:G84"/>
    <mergeCell ref="H83:H84"/>
    <mergeCell ref="A83:A84"/>
    <mergeCell ref="B83:B84"/>
    <mergeCell ref="A3:E3"/>
    <mergeCell ref="G4:G5"/>
    <mergeCell ref="H4:H5"/>
    <mergeCell ref="I4:K4"/>
    <mergeCell ref="L4:N4"/>
    <mergeCell ref="A4:A5"/>
    <mergeCell ref="B4:B5"/>
    <mergeCell ref="C4:C5"/>
    <mergeCell ref="D4:D5"/>
    <mergeCell ref="E4:E5"/>
    <mergeCell ref="AJ4:AL4"/>
    <mergeCell ref="AM4:AO4"/>
    <mergeCell ref="AP4:AR4"/>
    <mergeCell ref="A32:D32"/>
    <mergeCell ref="R4:T4"/>
    <mergeCell ref="U4:W4"/>
    <mergeCell ref="X4:Z4"/>
    <mergeCell ref="AA4:AC4"/>
    <mergeCell ref="AD4:AF4"/>
    <mergeCell ref="AG4:AI4"/>
    <mergeCell ref="O4:Q4"/>
    <mergeCell ref="C83:C84"/>
    <mergeCell ref="D83:D84"/>
    <mergeCell ref="A98:A99"/>
    <mergeCell ref="B98:B99"/>
    <mergeCell ref="C98:C99"/>
    <mergeCell ref="D98:D99"/>
    <mergeCell ref="AP33:AR33"/>
    <mergeCell ref="I33:K33"/>
    <mergeCell ref="L33:N33"/>
    <mergeCell ref="O33:Q33"/>
    <mergeCell ref="R33:T33"/>
    <mergeCell ref="U33:W33"/>
    <mergeCell ref="X33:Z33"/>
    <mergeCell ref="AA33:AC33"/>
    <mergeCell ref="AD33:AF33"/>
    <mergeCell ref="AG33:AI33"/>
    <mergeCell ref="AJ33:AL33"/>
    <mergeCell ref="AM33:AO33"/>
    <mergeCell ref="Y83:Z83"/>
    <mergeCell ref="AA83:AB83"/>
    <mergeCell ref="I83:J83"/>
    <mergeCell ref="K83:L83"/>
    <mergeCell ref="M83:N83"/>
    <mergeCell ref="O83:P83"/>
    <mergeCell ref="Q83:R83"/>
    <mergeCell ref="AC83:AD83"/>
    <mergeCell ref="AE83:AF83"/>
    <mergeCell ref="K98:L98"/>
    <mergeCell ref="M98:N98"/>
    <mergeCell ref="O98:P98"/>
    <mergeCell ref="S98:T98"/>
    <mergeCell ref="U98:V98"/>
    <mergeCell ref="Q98:R98"/>
    <mergeCell ref="W98:X98"/>
    <mergeCell ref="Y98:Z98"/>
    <mergeCell ref="AA98:AB98"/>
    <mergeCell ref="AC98:AD98"/>
    <mergeCell ref="AE98:AF98"/>
    <mergeCell ref="S83:T83"/>
    <mergeCell ref="U83:V83"/>
    <mergeCell ref="W83:X83"/>
  </mergeCells>
  <pageMargins left="0.7" right="0.7" top="0.75" bottom="0.75" header="0.3" footer="0.3"/>
  <ignoredErrors>
    <ignoredError sqref="L35 O35 R35 U35 X35:AD35 AG35 AJ35 AM35 AP35 C107 O13:R14 D103 C105 C103 K15:K18 L13 N15:N18 O17:R17 O15:Q15 O16:P16 R15:R16 O18 Q18:R18 T15 T17:T18 U13 W15 W17:W18 Z15 Z17:Z18 X13 AC15:AC18 AA13 AD13 AF15 AF17:AF18 AI15:AI18 AL15:AL18 AJ13 AG13 AM13:AO15 AO17:AO18 T112 R112 V112 X112 Z112 AB101:AF101 AC111 AB107:AF107 Z101 X101 V101 P103 R101 T101 J101 L101 D105 J103 J105 J107 L103 L105 L107 P105 P107 R103 R105 R107 T103 T105 T107 V103 V105 V107 X103 X105 X107 Z103 Z105 Z107 AC100 AB103:AF103 AC102 AB105:AF105 AC104 AE100 AE102 AE104 AE111" formula="1"/>
  </ignoredErrors>
  <drawing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Лист16"/>
  <dimension ref="A1:BG196"/>
  <sheetViews>
    <sheetView topLeftCell="A124" zoomScale="70" zoomScaleNormal="70" workbookViewId="0">
      <selection activeCell="C131" sqref="C131"/>
    </sheetView>
  </sheetViews>
  <sheetFormatPr defaultColWidth="9.140625" defaultRowHeight="15" x14ac:dyDescent="0.25"/>
  <cols>
    <col min="1" max="1" width="32.7109375" style="75" customWidth="1"/>
    <col min="2" max="2" width="9.28515625" style="75" customWidth="1"/>
    <col min="3" max="3" width="15.5703125" style="75" customWidth="1"/>
    <col min="4" max="4" width="13.140625" style="75" customWidth="1"/>
    <col min="5" max="5" width="15.140625" style="75" customWidth="1"/>
    <col min="6" max="6" width="12" style="75" customWidth="1"/>
    <col min="7" max="7" width="34.5703125" style="75" customWidth="1"/>
    <col min="8" max="8" width="7.7109375" style="75" customWidth="1"/>
    <col min="9" max="9" width="12.7109375" style="75" customWidth="1"/>
    <col min="10" max="10" width="13.42578125" style="75" customWidth="1"/>
    <col min="11" max="11" width="12.28515625" style="75" customWidth="1"/>
    <col min="12" max="12" width="13.140625" style="75" customWidth="1"/>
    <col min="13" max="13" width="12.7109375" style="75" customWidth="1"/>
    <col min="14" max="14" width="11.28515625" style="75" customWidth="1"/>
    <col min="15" max="15" width="15.7109375" style="75" customWidth="1"/>
    <col min="16" max="16" width="11.7109375" style="75" customWidth="1"/>
    <col min="17" max="17" width="11.42578125" style="75" customWidth="1"/>
    <col min="18" max="19" width="12.42578125" style="75" customWidth="1"/>
    <col min="20" max="20" width="12.5703125" style="75" customWidth="1"/>
    <col min="21" max="21" width="11.5703125" style="75" customWidth="1"/>
    <col min="22" max="22" width="12" style="75" customWidth="1"/>
    <col min="23" max="23" width="12.42578125" style="75" customWidth="1"/>
    <col min="24" max="24" width="14.140625" style="75" customWidth="1"/>
    <col min="25" max="25" width="12" style="75" customWidth="1"/>
    <col min="26" max="26" width="10.42578125" style="75" customWidth="1"/>
    <col min="27" max="27" width="11.7109375" style="75" customWidth="1"/>
    <col min="28" max="28" width="12.5703125" style="75" customWidth="1"/>
    <col min="29" max="29" width="12.7109375" style="75" customWidth="1"/>
    <col min="30" max="30" width="12.42578125" style="75" customWidth="1"/>
    <col min="31" max="31" width="12.5703125" style="75" customWidth="1"/>
    <col min="32" max="32" width="13.28515625" style="75" customWidth="1"/>
    <col min="33" max="16384" width="9.140625" style="75"/>
  </cols>
  <sheetData>
    <row r="1" spans="1:47" x14ac:dyDescent="0.25">
      <c r="A1" s="74"/>
      <c r="B1" s="74"/>
      <c r="C1" s="74"/>
      <c r="D1" s="74"/>
      <c r="E1" s="74"/>
      <c r="F1" s="74"/>
      <c r="G1" s="74"/>
      <c r="H1" s="74"/>
      <c r="I1" s="74"/>
      <c r="J1" s="74"/>
      <c r="K1" s="74"/>
      <c r="L1" s="74"/>
      <c r="M1" s="74"/>
      <c r="N1" s="74"/>
      <c r="O1" s="74"/>
      <c r="P1" s="74"/>
      <c r="Q1" s="74"/>
      <c r="R1" s="74"/>
      <c r="S1" s="74"/>
      <c r="T1" s="74"/>
      <c r="U1" s="74"/>
      <c r="V1" s="74"/>
      <c r="W1" s="74"/>
      <c r="X1" s="74"/>
      <c r="Y1" s="74"/>
      <c r="Z1" s="74"/>
      <c r="AA1" s="74"/>
      <c r="AB1" s="74"/>
      <c r="AC1" s="74"/>
      <c r="AD1" s="74"/>
      <c r="AE1" s="74"/>
      <c r="AF1" s="74"/>
      <c r="AG1" s="74"/>
      <c r="AH1" s="74"/>
      <c r="AI1" s="74"/>
      <c r="AJ1" s="74"/>
      <c r="AK1" s="74"/>
      <c r="AL1" s="74"/>
      <c r="AM1" s="74"/>
      <c r="AN1" s="74"/>
      <c r="AO1" s="74"/>
      <c r="AP1" s="74"/>
      <c r="AQ1" s="74"/>
      <c r="AR1" s="74"/>
      <c r="AS1" s="74"/>
      <c r="AT1" s="74"/>
      <c r="AU1" s="74"/>
    </row>
    <row r="2" spans="1:47" x14ac:dyDescent="0.25">
      <c r="A2" s="74"/>
      <c r="B2" s="74"/>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row>
    <row r="3" spans="1:47" ht="34.5" customHeight="1" thickBot="1" x14ac:dyDescent="0.3">
      <c r="A3" s="1786" t="s">
        <v>1172</v>
      </c>
      <c r="B3" s="1786"/>
      <c r="C3" s="1786"/>
      <c r="D3" s="1786"/>
      <c r="E3" s="1786"/>
      <c r="F3" s="297"/>
      <c r="G3" s="298" t="s">
        <v>1173</v>
      </c>
      <c r="H3" s="298"/>
      <c r="I3" s="299"/>
      <c r="J3" s="299"/>
      <c r="K3" s="300"/>
      <c r="L3" s="300"/>
      <c r="M3" s="300"/>
      <c r="N3" s="300"/>
      <c r="O3" s="300"/>
      <c r="P3" s="300"/>
      <c r="Q3" s="297"/>
      <c r="R3" s="297"/>
      <c r="S3" s="297"/>
      <c r="T3" s="297"/>
      <c r="U3" s="297"/>
      <c r="V3" s="297"/>
      <c r="W3" s="297"/>
      <c r="X3" s="297"/>
      <c r="Y3" s="297"/>
      <c r="Z3" s="297"/>
      <c r="AA3" s="297"/>
      <c r="AB3" s="297"/>
      <c r="AC3" s="297"/>
      <c r="AD3" s="297"/>
      <c r="AE3" s="297"/>
      <c r="AF3" s="297"/>
      <c r="AG3" s="74"/>
      <c r="AH3" s="74"/>
      <c r="AI3" s="74"/>
      <c r="AJ3" s="74"/>
      <c r="AK3" s="74"/>
      <c r="AL3" s="74"/>
      <c r="AM3" s="74"/>
      <c r="AN3" s="74"/>
      <c r="AO3" s="74"/>
      <c r="AP3" s="74"/>
      <c r="AQ3" s="74"/>
      <c r="AR3" s="74"/>
      <c r="AS3" s="74"/>
      <c r="AT3" s="74"/>
      <c r="AU3" s="74"/>
    </row>
    <row r="4" spans="1:47" ht="29.25" customHeight="1" x14ac:dyDescent="0.25">
      <c r="A4" s="1772" t="s">
        <v>834</v>
      </c>
      <c r="B4" s="1791" t="s">
        <v>1174</v>
      </c>
      <c r="C4" s="1795" t="s">
        <v>1338</v>
      </c>
      <c r="D4" s="1793" t="s">
        <v>1337</v>
      </c>
      <c r="E4" s="74"/>
      <c r="F4" s="74"/>
      <c r="G4" s="1822" t="s">
        <v>834</v>
      </c>
      <c r="H4" s="1784" t="s">
        <v>1174</v>
      </c>
      <c r="I4" s="1784" t="s">
        <v>488</v>
      </c>
      <c r="J4" s="1784"/>
      <c r="K4" s="1784" t="s">
        <v>489</v>
      </c>
      <c r="L4" s="1784"/>
      <c r="M4" s="1784" t="s">
        <v>490</v>
      </c>
      <c r="N4" s="1784"/>
      <c r="O4" s="1784" t="s">
        <v>491</v>
      </c>
      <c r="P4" s="1784"/>
      <c r="Q4" s="1784" t="s">
        <v>805</v>
      </c>
      <c r="R4" s="1784"/>
      <c r="S4" s="1784" t="s">
        <v>806</v>
      </c>
      <c r="T4" s="1784"/>
      <c r="U4" s="1784" t="s">
        <v>807</v>
      </c>
      <c r="V4" s="1784"/>
      <c r="W4" s="1784" t="s">
        <v>808</v>
      </c>
      <c r="X4" s="1784"/>
      <c r="Y4" s="1784" t="s">
        <v>809</v>
      </c>
      <c r="Z4" s="1784"/>
      <c r="AA4" s="1784" t="s">
        <v>482</v>
      </c>
      <c r="AB4" s="1784"/>
      <c r="AC4" s="1784" t="s">
        <v>486</v>
      </c>
      <c r="AD4" s="1784"/>
      <c r="AE4" s="1784" t="s">
        <v>487</v>
      </c>
      <c r="AF4" s="1784"/>
      <c r="AG4" s="74"/>
      <c r="AH4" s="74"/>
      <c r="AI4" s="74"/>
      <c r="AJ4" s="74"/>
      <c r="AK4" s="74"/>
      <c r="AL4" s="74"/>
      <c r="AM4" s="74"/>
      <c r="AN4" s="74"/>
      <c r="AO4" s="74"/>
      <c r="AP4" s="74"/>
      <c r="AQ4" s="74"/>
      <c r="AR4" s="74"/>
      <c r="AS4" s="74"/>
      <c r="AT4" s="74"/>
      <c r="AU4" s="74"/>
    </row>
    <row r="5" spans="1:47" ht="72.95" customHeight="1" x14ac:dyDescent="0.25">
      <c r="A5" s="1827"/>
      <c r="B5" s="1828"/>
      <c r="C5" s="1826"/>
      <c r="D5" s="1825"/>
      <c r="E5" s="74"/>
      <c r="F5" s="74"/>
      <c r="G5" s="1823"/>
      <c r="H5" s="1824"/>
      <c r="I5" s="301" t="s">
        <v>1338</v>
      </c>
      <c r="J5" s="302" t="s">
        <v>1337</v>
      </c>
      <c r="K5" s="301" t="s">
        <v>1338</v>
      </c>
      <c r="L5" s="302" t="s">
        <v>1337</v>
      </c>
      <c r="M5" s="301" t="s">
        <v>1338</v>
      </c>
      <c r="N5" s="302" t="s">
        <v>1337</v>
      </c>
      <c r="O5" s="301" t="s">
        <v>1338</v>
      </c>
      <c r="P5" s="302" t="s">
        <v>1337</v>
      </c>
      <c r="Q5" s="301" t="s">
        <v>1338</v>
      </c>
      <c r="R5" s="302" t="s">
        <v>1337</v>
      </c>
      <c r="S5" s="301" t="s">
        <v>1338</v>
      </c>
      <c r="T5" s="302" t="s">
        <v>1337</v>
      </c>
      <c r="U5" s="301" t="s">
        <v>1338</v>
      </c>
      <c r="V5" s="302" t="s">
        <v>1337</v>
      </c>
      <c r="W5" s="301" t="s">
        <v>1338</v>
      </c>
      <c r="X5" s="302" t="s">
        <v>1337</v>
      </c>
      <c r="Y5" s="301" t="s">
        <v>1338</v>
      </c>
      <c r="Z5" s="302" t="s">
        <v>1337</v>
      </c>
      <c r="AA5" s="301" t="s">
        <v>1338</v>
      </c>
      <c r="AB5" s="302" t="s">
        <v>1337</v>
      </c>
      <c r="AC5" s="301" t="s">
        <v>1338</v>
      </c>
      <c r="AD5" s="302" t="s">
        <v>1337</v>
      </c>
      <c r="AE5" s="301" t="s">
        <v>1338</v>
      </c>
      <c r="AF5" s="302" t="s">
        <v>1337</v>
      </c>
      <c r="AG5" s="74"/>
      <c r="AH5" s="74"/>
      <c r="AI5" s="74"/>
      <c r="AJ5" s="74"/>
      <c r="AK5" s="74"/>
      <c r="AL5" s="74"/>
      <c r="AM5" s="74"/>
      <c r="AN5" s="74"/>
      <c r="AO5" s="74"/>
      <c r="AP5" s="74"/>
      <c r="AQ5" s="74"/>
      <c r="AR5" s="74"/>
      <c r="AS5" s="74"/>
      <c r="AT5" s="74"/>
      <c r="AU5" s="74"/>
    </row>
    <row r="6" spans="1:47" ht="25.5" customHeight="1" x14ac:dyDescent="0.25">
      <c r="A6" s="303" t="s">
        <v>1178</v>
      </c>
      <c r="B6" s="304" t="s">
        <v>842</v>
      </c>
      <c r="C6" s="305">
        <f>'Расчет базового уровня'!D6</f>
        <v>0</v>
      </c>
      <c r="D6" s="305" t="e">
        <f>D12+D15+D18</f>
        <v>#N/A</v>
      </c>
      <c r="E6" s="74"/>
      <c r="F6" s="74"/>
      <c r="G6" s="303" t="s">
        <v>1178</v>
      </c>
      <c r="H6" s="304" t="s">
        <v>842</v>
      </c>
      <c r="I6" s="306" t="e">
        <f>'Расчет базового уровня'!J6</f>
        <v>#N/A</v>
      </c>
      <c r="J6" s="306" t="e">
        <f>J12+J15+J18</f>
        <v>#N/A</v>
      </c>
      <c r="K6" s="306" t="e">
        <f>'Расчет базового уровня'!M6</f>
        <v>#N/A</v>
      </c>
      <c r="L6" s="306" t="e">
        <f>L12+L15+L18</f>
        <v>#N/A</v>
      </c>
      <c r="M6" s="306" t="e">
        <f>'Расчет базового уровня'!P6</f>
        <v>#N/A</v>
      </c>
      <c r="N6" s="306" t="e">
        <f>N12+N15+N18</f>
        <v>#N/A</v>
      </c>
      <c r="O6" s="306" t="e">
        <f>'Расчет базового уровня'!S6</f>
        <v>#N/A</v>
      </c>
      <c r="P6" s="306" t="e">
        <f>P12+P15+P18</f>
        <v>#N/A</v>
      </c>
      <c r="Q6" s="306" t="e">
        <f>'Расчет базового уровня'!V6</f>
        <v>#N/A</v>
      </c>
      <c r="R6" s="306" t="e">
        <f>R12+R15+R18</f>
        <v>#N/A</v>
      </c>
      <c r="S6" s="306" t="e">
        <f>'Расчет базового уровня'!Y6</f>
        <v>#N/A</v>
      </c>
      <c r="T6" s="306" t="e">
        <f>T12+T15+T18</f>
        <v>#N/A</v>
      </c>
      <c r="U6" s="306" t="e">
        <f>'Расчет базового уровня'!AB6</f>
        <v>#N/A</v>
      </c>
      <c r="V6" s="306" t="e">
        <f>V12+V15+V18</f>
        <v>#N/A</v>
      </c>
      <c r="W6" s="306" t="e">
        <f>'Расчет базового уровня'!AE6</f>
        <v>#N/A</v>
      </c>
      <c r="X6" s="306" t="e">
        <f>X12+X15+X18</f>
        <v>#N/A</v>
      </c>
      <c r="Y6" s="306" t="e">
        <f>'Расчет базового уровня'!AH6</f>
        <v>#N/A</v>
      </c>
      <c r="Z6" s="306" t="e">
        <f>Z12+Z15+Z18</f>
        <v>#N/A</v>
      </c>
      <c r="AA6" s="306" t="e">
        <f>'Расчет базового уровня'!AK6</f>
        <v>#N/A</v>
      </c>
      <c r="AB6" s="306" t="e">
        <f>AB12+AB15+AB18</f>
        <v>#N/A</v>
      </c>
      <c r="AC6" s="306" t="e">
        <f>'Расчет базового уровня'!AN6</f>
        <v>#N/A</v>
      </c>
      <c r="AD6" s="306" t="e">
        <f>AD12+AD15+AD18</f>
        <v>#N/A</v>
      </c>
      <c r="AE6" s="306" t="e">
        <f>'Расчет базового уровня'!AQ6</f>
        <v>#N/A</v>
      </c>
      <c r="AF6" s="306" t="e">
        <f>AF12+AF15+AF18</f>
        <v>#N/A</v>
      </c>
      <c r="AG6" s="74"/>
      <c r="AH6" s="74"/>
      <c r="AI6" s="74"/>
      <c r="AJ6" s="74"/>
      <c r="AK6" s="74"/>
      <c r="AL6" s="74"/>
      <c r="AM6" s="74"/>
      <c r="AN6" s="74"/>
      <c r="AO6" s="74"/>
      <c r="AP6" s="74"/>
      <c r="AQ6" s="74"/>
      <c r="AR6" s="74"/>
      <c r="AS6" s="74"/>
      <c r="AT6" s="74"/>
      <c r="AU6" s="74"/>
    </row>
    <row r="7" spans="1:47" ht="19.5" customHeight="1" x14ac:dyDescent="0.25">
      <c r="A7" s="307" t="s">
        <v>1339</v>
      </c>
      <c r="B7" s="304" t="s">
        <v>842</v>
      </c>
      <c r="C7" s="308"/>
      <c r="D7" s="308" t="e">
        <f>C6-D6</f>
        <v>#N/A</v>
      </c>
      <c r="E7" s="74"/>
      <c r="F7" s="74"/>
      <c r="G7" s="307" t="s">
        <v>1339</v>
      </c>
      <c r="H7" s="304" t="s">
        <v>842</v>
      </c>
      <c r="I7" s="308"/>
      <c r="J7" s="308" t="e">
        <f>I6-J6</f>
        <v>#N/A</v>
      </c>
      <c r="K7" s="308"/>
      <c r="L7" s="308" t="e">
        <f>K6-L6</f>
        <v>#N/A</v>
      </c>
      <c r="M7" s="308"/>
      <c r="N7" s="308" t="e">
        <f>M6-N6</f>
        <v>#N/A</v>
      </c>
      <c r="O7" s="308"/>
      <c r="P7" s="308" t="e">
        <f>O6-P6</f>
        <v>#N/A</v>
      </c>
      <c r="Q7" s="308"/>
      <c r="R7" s="308" t="e">
        <f>Q6-R6</f>
        <v>#N/A</v>
      </c>
      <c r="S7" s="308"/>
      <c r="T7" s="308" t="e">
        <f>S6-T6</f>
        <v>#N/A</v>
      </c>
      <c r="U7" s="308"/>
      <c r="V7" s="308" t="e">
        <f>U6-V6</f>
        <v>#N/A</v>
      </c>
      <c r="W7" s="308"/>
      <c r="X7" s="308" t="e">
        <f>W6-X6</f>
        <v>#N/A</v>
      </c>
      <c r="Y7" s="308"/>
      <c r="Z7" s="308" t="e">
        <f>Y6-Z6</f>
        <v>#N/A</v>
      </c>
      <c r="AA7" s="308"/>
      <c r="AB7" s="308" t="e">
        <f>AA6-AB6</f>
        <v>#N/A</v>
      </c>
      <c r="AC7" s="308"/>
      <c r="AD7" s="308" t="e">
        <f>AC6-AD6</f>
        <v>#N/A</v>
      </c>
      <c r="AE7" s="308"/>
      <c r="AF7" s="308" t="e">
        <f>AE6-AF6</f>
        <v>#N/A</v>
      </c>
      <c r="AG7" s="74"/>
      <c r="AH7" s="74"/>
      <c r="AI7" s="74"/>
      <c r="AJ7" s="74"/>
      <c r="AK7" s="74"/>
      <c r="AL7" s="74"/>
      <c r="AM7" s="74"/>
      <c r="AN7" s="74"/>
      <c r="AO7" s="74"/>
      <c r="AP7" s="74"/>
      <c r="AQ7" s="74"/>
      <c r="AR7" s="74"/>
      <c r="AS7" s="74"/>
      <c r="AT7" s="74"/>
      <c r="AU7" s="74"/>
    </row>
    <row r="8" spans="1:47" ht="14.25" customHeight="1" x14ac:dyDescent="0.25">
      <c r="A8" s="307" t="s">
        <v>874</v>
      </c>
      <c r="B8" s="309" t="s">
        <v>1181</v>
      </c>
      <c r="C8" s="310"/>
      <c r="D8" s="310" t="e">
        <f>D7/C6</f>
        <v>#N/A</v>
      </c>
      <c r="E8" s="74"/>
      <c r="F8" s="74"/>
      <c r="G8" s="307" t="s">
        <v>874</v>
      </c>
      <c r="H8" s="309" t="s">
        <v>1181</v>
      </c>
      <c r="I8" s="310"/>
      <c r="J8" s="310" t="e">
        <f>IF(I6=0,0,J7/I6)</f>
        <v>#N/A</v>
      </c>
      <c r="K8" s="310"/>
      <c r="L8" s="310" t="e">
        <f>IF(K6=0,0,L7/K6)</f>
        <v>#N/A</v>
      </c>
      <c r="M8" s="310"/>
      <c r="N8" s="310" t="e">
        <f>IF(M6=0,0,N7/M6)</f>
        <v>#N/A</v>
      </c>
      <c r="O8" s="310"/>
      <c r="P8" s="310" t="e">
        <f>IF(O6=0,0,P7/O6)</f>
        <v>#N/A</v>
      </c>
      <c r="Q8" s="310"/>
      <c r="R8" s="310" t="e">
        <f>IF(Q6=0,0,R7/Q6)</f>
        <v>#N/A</v>
      </c>
      <c r="S8" s="310"/>
      <c r="T8" s="310" t="e">
        <f>IF(S6=0,0,T7/S6)</f>
        <v>#N/A</v>
      </c>
      <c r="U8" s="310"/>
      <c r="V8" s="310" t="e">
        <f>IF(U6=0,0,V7/U6)</f>
        <v>#N/A</v>
      </c>
      <c r="W8" s="310"/>
      <c r="X8" s="310" t="e">
        <f>IF(W6=0,0,X7/W6)</f>
        <v>#N/A</v>
      </c>
      <c r="Y8" s="310"/>
      <c r="Z8" s="310" t="e">
        <f>IF(Y6=0,0,Z7/Y6)</f>
        <v>#N/A</v>
      </c>
      <c r="AA8" s="310"/>
      <c r="AB8" s="310" t="e">
        <f>IF(AA6=0,0,AB7/AA6)</f>
        <v>#N/A</v>
      </c>
      <c r="AC8" s="310"/>
      <c r="AD8" s="310" t="e">
        <f>IF(AC6=0,0,AD7/AC6)</f>
        <v>#N/A</v>
      </c>
      <c r="AE8" s="310"/>
      <c r="AF8" s="310" t="e">
        <f>IF(AE6=0,0,AF7/AE6)</f>
        <v>#N/A</v>
      </c>
      <c r="AG8" s="74"/>
      <c r="AH8" s="74"/>
      <c r="AI8" s="74"/>
      <c r="AJ8" s="74"/>
      <c r="AK8" s="74"/>
      <c r="AL8" s="74"/>
      <c r="AM8" s="74"/>
      <c r="AN8" s="74"/>
      <c r="AO8" s="74"/>
      <c r="AP8" s="74"/>
      <c r="AQ8" s="74"/>
      <c r="AR8" s="74"/>
      <c r="AS8" s="74"/>
      <c r="AT8" s="74"/>
      <c r="AU8" s="74"/>
    </row>
    <row r="9" spans="1:47" ht="30" customHeight="1" x14ac:dyDescent="0.25">
      <c r="A9" s="311" t="s">
        <v>1182</v>
      </c>
      <c r="B9" s="304" t="s">
        <v>842</v>
      </c>
      <c r="C9" s="305">
        <f>'Расчет базового уровня'!D9</f>
        <v>0</v>
      </c>
      <c r="D9" s="305" t="e">
        <f>D12+D15</f>
        <v>#N/A</v>
      </c>
      <c r="E9" s="74"/>
      <c r="F9" s="74"/>
      <c r="G9" s="311" t="s">
        <v>1182</v>
      </c>
      <c r="H9" s="304" t="s">
        <v>842</v>
      </c>
      <c r="I9" s="306" t="e">
        <f>'Расчет базового уровня'!J9</f>
        <v>#N/A</v>
      </c>
      <c r="J9" s="306" t="e">
        <f>J12+J15</f>
        <v>#N/A</v>
      </c>
      <c r="K9" s="306" t="e">
        <f>'Расчет базового уровня'!M9</f>
        <v>#N/A</v>
      </c>
      <c r="L9" s="306" t="e">
        <f>L12+L15</f>
        <v>#N/A</v>
      </c>
      <c r="M9" s="306" t="e">
        <f>'Расчет базового уровня'!P9</f>
        <v>#N/A</v>
      </c>
      <c r="N9" s="306" t="e">
        <f>N12+N15</f>
        <v>#N/A</v>
      </c>
      <c r="O9" s="306" t="e">
        <f>'Расчет базового уровня'!S9</f>
        <v>#N/A</v>
      </c>
      <c r="P9" s="306" t="e">
        <f>P12+P15</f>
        <v>#N/A</v>
      </c>
      <c r="Q9" s="306" t="e">
        <f>'Расчет базового уровня'!V9</f>
        <v>#N/A</v>
      </c>
      <c r="R9" s="306" t="e">
        <f>R12+R15</f>
        <v>#N/A</v>
      </c>
      <c r="S9" s="306" t="e">
        <f>'Расчет базового уровня'!Y9</f>
        <v>#N/A</v>
      </c>
      <c r="T9" s="306" t="e">
        <f>T12+T15</f>
        <v>#N/A</v>
      </c>
      <c r="U9" s="306" t="e">
        <f>'Расчет базового уровня'!AB9</f>
        <v>#N/A</v>
      </c>
      <c r="V9" s="306" t="e">
        <f>V12+V15</f>
        <v>#N/A</v>
      </c>
      <c r="W9" s="306" t="e">
        <f>'Расчет базового уровня'!AE9</f>
        <v>#N/A</v>
      </c>
      <c r="X9" s="306" t="e">
        <f>X12+X15</f>
        <v>#N/A</v>
      </c>
      <c r="Y9" s="306" t="e">
        <f>'Расчет базового уровня'!AH9</f>
        <v>#N/A</v>
      </c>
      <c r="Z9" s="306" t="e">
        <f>Z12+Z15</f>
        <v>#N/A</v>
      </c>
      <c r="AA9" s="306" t="e">
        <f>'Расчет базового уровня'!AK9</f>
        <v>#N/A</v>
      </c>
      <c r="AB9" s="306" t="e">
        <f>AB12+AB15</f>
        <v>#N/A</v>
      </c>
      <c r="AC9" s="306" t="e">
        <f>'Расчет базового уровня'!AN9</f>
        <v>#N/A</v>
      </c>
      <c r="AD9" s="306" t="e">
        <f>AD12+AD15</f>
        <v>#N/A</v>
      </c>
      <c r="AE9" s="306" t="e">
        <f>'Расчет базового уровня'!AQ9</f>
        <v>#N/A</v>
      </c>
      <c r="AF9" s="306" t="e">
        <f>AF12+AF15</f>
        <v>#N/A</v>
      </c>
      <c r="AG9" s="74"/>
      <c r="AH9" s="74"/>
      <c r="AI9" s="74"/>
      <c r="AJ9" s="74"/>
      <c r="AK9" s="74"/>
      <c r="AL9" s="74"/>
      <c r="AM9" s="74"/>
      <c r="AN9" s="74"/>
      <c r="AO9" s="74"/>
      <c r="AP9" s="74"/>
      <c r="AQ9" s="74"/>
      <c r="AR9" s="74"/>
      <c r="AS9" s="74"/>
      <c r="AT9" s="74"/>
      <c r="AU9" s="74"/>
    </row>
    <row r="10" spans="1:47" ht="16.5" customHeight="1" x14ac:dyDescent="0.25">
      <c r="A10" s="307" t="s">
        <v>1339</v>
      </c>
      <c r="B10" s="304" t="s">
        <v>842</v>
      </c>
      <c r="C10" s="308"/>
      <c r="D10" s="308" t="e">
        <f>C9-D9</f>
        <v>#N/A</v>
      </c>
      <c r="E10" s="74"/>
      <c r="F10" s="74"/>
      <c r="G10" s="307" t="s">
        <v>1339</v>
      </c>
      <c r="H10" s="304" t="s">
        <v>842</v>
      </c>
      <c r="I10" s="308"/>
      <c r="J10" s="308" t="e">
        <f>I9-J9</f>
        <v>#N/A</v>
      </c>
      <c r="K10" s="308"/>
      <c r="L10" s="308" t="e">
        <f>K9-L9</f>
        <v>#N/A</v>
      </c>
      <c r="M10" s="308"/>
      <c r="N10" s="308" t="e">
        <f>M9-N9</f>
        <v>#N/A</v>
      </c>
      <c r="O10" s="308"/>
      <c r="P10" s="308" t="e">
        <f>O9-P9</f>
        <v>#N/A</v>
      </c>
      <c r="Q10" s="308"/>
      <c r="R10" s="308" t="e">
        <f>Q9-R9</f>
        <v>#N/A</v>
      </c>
      <c r="S10" s="308"/>
      <c r="T10" s="308" t="e">
        <f>S9-T9</f>
        <v>#N/A</v>
      </c>
      <c r="U10" s="308"/>
      <c r="V10" s="308" t="e">
        <f>U9-V9</f>
        <v>#N/A</v>
      </c>
      <c r="W10" s="308"/>
      <c r="X10" s="308" t="e">
        <f>W9-X9</f>
        <v>#N/A</v>
      </c>
      <c r="Y10" s="308"/>
      <c r="Z10" s="308" t="e">
        <f>Y9-Z9</f>
        <v>#N/A</v>
      </c>
      <c r="AA10" s="308"/>
      <c r="AB10" s="308" t="e">
        <f>AA9-AB9</f>
        <v>#N/A</v>
      </c>
      <c r="AC10" s="308"/>
      <c r="AD10" s="308" t="e">
        <f>AC9-AD9</f>
        <v>#N/A</v>
      </c>
      <c r="AE10" s="308"/>
      <c r="AF10" s="308" t="e">
        <f>AE9-AF9</f>
        <v>#N/A</v>
      </c>
      <c r="AG10" s="74"/>
      <c r="AH10" s="74"/>
      <c r="AI10" s="74"/>
      <c r="AJ10" s="74"/>
      <c r="AK10" s="74"/>
      <c r="AL10" s="74"/>
      <c r="AM10" s="74"/>
      <c r="AN10" s="74"/>
      <c r="AO10" s="74"/>
      <c r="AP10" s="74"/>
      <c r="AQ10" s="74"/>
      <c r="AR10" s="74"/>
      <c r="AS10" s="74"/>
      <c r="AT10" s="74"/>
      <c r="AU10" s="74"/>
    </row>
    <row r="11" spans="1:47" ht="15.75" customHeight="1" x14ac:dyDescent="0.25">
      <c r="A11" s="307" t="s">
        <v>874</v>
      </c>
      <c r="B11" s="309" t="s">
        <v>1181</v>
      </c>
      <c r="C11" s="310"/>
      <c r="D11" s="310" t="e">
        <f>D10/C9</f>
        <v>#N/A</v>
      </c>
      <c r="E11" s="74"/>
      <c r="F11" s="74"/>
      <c r="G11" s="307" t="s">
        <v>874</v>
      </c>
      <c r="H11" s="309" t="s">
        <v>1181</v>
      </c>
      <c r="I11" s="310"/>
      <c r="J11" s="310" t="e">
        <f>IF(I9=0,0,J10/I9)</f>
        <v>#N/A</v>
      </c>
      <c r="K11" s="310"/>
      <c r="L11" s="310" t="e">
        <f>IF(K9=0,0,L10/K9)</f>
        <v>#N/A</v>
      </c>
      <c r="M11" s="310"/>
      <c r="N11" s="310" t="e">
        <f>IF(M9=0,0,N10/M9)</f>
        <v>#N/A</v>
      </c>
      <c r="O11" s="310"/>
      <c r="P11" s="310" t="e">
        <f>IF(O9=0,0,P10/O9)</f>
        <v>#N/A</v>
      </c>
      <c r="Q11" s="310"/>
      <c r="R11" s="310" t="e">
        <f>IF(Q9=0,0,R10/Q9)</f>
        <v>#N/A</v>
      </c>
      <c r="S11" s="310"/>
      <c r="T11" s="310" t="e">
        <f>IF(S9=0,0,T10/S9)</f>
        <v>#N/A</v>
      </c>
      <c r="U11" s="310"/>
      <c r="V11" s="310" t="e">
        <f>IF(U9=0,0,V10/U9)</f>
        <v>#N/A</v>
      </c>
      <c r="W11" s="310"/>
      <c r="X11" s="310" t="e">
        <f>IF(W9=0,0,X10/W9)</f>
        <v>#N/A</v>
      </c>
      <c r="Y11" s="310"/>
      <c r="Z11" s="310" t="e">
        <f>IF(Y9=0,0,Z10/Y9)</f>
        <v>#N/A</v>
      </c>
      <c r="AA11" s="310"/>
      <c r="AB11" s="310" t="e">
        <f>IF(AA9=0,0,AB10/AA9)</f>
        <v>#N/A</v>
      </c>
      <c r="AC11" s="310"/>
      <c r="AD11" s="310" t="e">
        <f>IF(AC9=0,0,AD10/AC9)</f>
        <v>#N/A</v>
      </c>
      <c r="AE11" s="310"/>
      <c r="AF11" s="310" t="e">
        <f>IF(AE9=0,0,AF10/AE9)</f>
        <v>#N/A</v>
      </c>
      <c r="AG11" s="74"/>
      <c r="AH11" s="74"/>
      <c r="AI11" s="74"/>
      <c r="AJ11" s="74"/>
      <c r="AK11" s="74"/>
      <c r="AL11" s="74"/>
      <c r="AM11" s="74"/>
      <c r="AN11" s="74"/>
      <c r="AO11" s="74"/>
      <c r="AP11" s="74"/>
      <c r="AQ11" s="74"/>
      <c r="AR11" s="74"/>
      <c r="AS11" s="74"/>
      <c r="AT11" s="74"/>
      <c r="AU11" s="74"/>
    </row>
    <row r="12" spans="1:47" ht="20.25" customHeight="1" x14ac:dyDescent="0.25">
      <c r="A12" s="312" t="s">
        <v>1185</v>
      </c>
      <c r="B12" s="304" t="s">
        <v>842</v>
      </c>
      <c r="C12" s="305">
        <f>'Расчет базового уровня'!D12</f>
        <v>0</v>
      </c>
      <c r="D12" s="305" t="e">
        <f>D35</f>
        <v>#N/A</v>
      </c>
      <c r="E12" s="74"/>
      <c r="F12" s="74"/>
      <c r="G12" s="312" t="s">
        <v>1185</v>
      </c>
      <c r="H12" s="304" t="s">
        <v>842</v>
      </c>
      <c r="I12" s="306" t="e">
        <f>'Расчет базового уровня'!J12</f>
        <v>#N/A</v>
      </c>
      <c r="J12" s="306" t="e">
        <f>J35</f>
        <v>#N/A</v>
      </c>
      <c r="K12" s="306" t="e">
        <f>'Расчет базового уровня'!M12</f>
        <v>#N/A</v>
      </c>
      <c r="L12" s="306" t="e">
        <f>L35</f>
        <v>#N/A</v>
      </c>
      <c r="M12" s="306" t="e">
        <f>'Расчет базового уровня'!P12</f>
        <v>#N/A</v>
      </c>
      <c r="N12" s="306" t="e">
        <f>N35</f>
        <v>#N/A</v>
      </c>
      <c r="O12" s="306" t="e">
        <f>'Расчет базового уровня'!S12</f>
        <v>#N/A</v>
      </c>
      <c r="P12" s="306" t="e">
        <f>P35</f>
        <v>#N/A</v>
      </c>
      <c r="Q12" s="306" t="e">
        <f>'Расчет базового уровня'!V12</f>
        <v>#N/A</v>
      </c>
      <c r="R12" s="306" t="e">
        <f>R35</f>
        <v>#N/A</v>
      </c>
      <c r="S12" s="306" t="e">
        <f>'Расчет базового уровня'!Y12</f>
        <v>#N/A</v>
      </c>
      <c r="T12" s="306" t="e">
        <f>T35</f>
        <v>#N/A</v>
      </c>
      <c r="U12" s="306" t="e">
        <f>'Расчет базового уровня'!AB12</f>
        <v>#N/A</v>
      </c>
      <c r="V12" s="306" t="e">
        <f>V35</f>
        <v>#N/A</v>
      </c>
      <c r="W12" s="306" t="e">
        <f>'Расчет базового уровня'!AE12</f>
        <v>#N/A</v>
      </c>
      <c r="X12" s="306" t="e">
        <f>X35</f>
        <v>#N/A</v>
      </c>
      <c r="Y12" s="306" t="e">
        <f>'Расчет базового уровня'!AH12</f>
        <v>#N/A</v>
      </c>
      <c r="Z12" s="306" t="e">
        <f>Z35</f>
        <v>#N/A</v>
      </c>
      <c r="AA12" s="306" t="e">
        <f>'Расчет базового уровня'!AK12</f>
        <v>#N/A</v>
      </c>
      <c r="AB12" s="306" t="e">
        <f>AB35</f>
        <v>#N/A</v>
      </c>
      <c r="AC12" s="306" t="e">
        <f>'Расчет базового уровня'!AN12</f>
        <v>#N/A</v>
      </c>
      <c r="AD12" s="306" t="e">
        <f>AD35</f>
        <v>#N/A</v>
      </c>
      <c r="AE12" s="306" t="e">
        <f>'Расчет базового уровня'!AQ12</f>
        <v>#N/A</v>
      </c>
      <c r="AF12" s="306" t="e">
        <f>AF35</f>
        <v>#N/A</v>
      </c>
      <c r="AG12" s="74"/>
      <c r="AH12" s="74"/>
      <c r="AI12" s="74"/>
      <c r="AJ12" s="74"/>
      <c r="AK12" s="74"/>
      <c r="AL12" s="74"/>
      <c r="AM12" s="74"/>
      <c r="AN12" s="74"/>
      <c r="AO12" s="74"/>
      <c r="AP12" s="74"/>
      <c r="AQ12" s="74"/>
      <c r="AR12" s="74"/>
      <c r="AS12" s="74"/>
      <c r="AT12" s="74"/>
      <c r="AU12" s="74"/>
    </row>
    <row r="13" spans="1:47" x14ac:dyDescent="0.25">
      <c r="A13" s="307" t="s">
        <v>1339</v>
      </c>
      <c r="B13" s="304" t="s">
        <v>842</v>
      </c>
      <c r="C13" s="308"/>
      <c r="D13" s="308" t="e">
        <f>C12-D12</f>
        <v>#N/A</v>
      </c>
      <c r="E13" s="74"/>
      <c r="F13" s="74"/>
      <c r="G13" s="307" t="s">
        <v>1339</v>
      </c>
      <c r="H13" s="304" t="s">
        <v>842</v>
      </c>
      <c r="I13" s="308"/>
      <c r="J13" s="308" t="e">
        <f>I12-J12</f>
        <v>#N/A</v>
      </c>
      <c r="K13" s="308"/>
      <c r="L13" s="308" t="e">
        <f>K12-L12</f>
        <v>#N/A</v>
      </c>
      <c r="M13" s="308"/>
      <c r="N13" s="308" t="e">
        <f>M12-N12</f>
        <v>#N/A</v>
      </c>
      <c r="O13" s="308"/>
      <c r="P13" s="308" t="e">
        <f>O12-P12</f>
        <v>#N/A</v>
      </c>
      <c r="Q13" s="308"/>
      <c r="R13" s="308" t="e">
        <f>Q12-R12</f>
        <v>#N/A</v>
      </c>
      <c r="S13" s="308"/>
      <c r="T13" s="308" t="e">
        <f>S12-T12</f>
        <v>#N/A</v>
      </c>
      <c r="U13" s="308"/>
      <c r="V13" s="308" t="e">
        <f>U12-V12</f>
        <v>#N/A</v>
      </c>
      <c r="W13" s="308"/>
      <c r="X13" s="308" t="e">
        <f>W12-X12</f>
        <v>#N/A</v>
      </c>
      <c r="Y13" s="308"/>
      <c r="Z13" s="308" t="e">
        <f>Y12-Z12</f>
        <v>#N/A</v>
      </c>
      <c r="AA13" s="308"/>
      <c r="AB13" s="308" t="e">
        <f>AA12-AB12</f>
        <v>#N/A</v>
      </c>
      <c r="AC13" s="308"/>
      <c r="AD13" s="308" t="e">
        <f>AC12-AD12</f>
        <v>#N/A</v>
      </c>
      <c r="AE13" s="308"/>
      <c r="AF13" s="308" t="e">
        <f>AE12-AF12</f>
        <v>#N/A</v>
      </c>
      <c r="AG13" s="74"/>
      <c r="AH13" s="74"/>
      <c r="AI13" s="74"/>
      <c r="AJ13" s="74"/>
      <c r="AK13" s="74"/>
      <c r="AL13" s="74"/>
      <c r="AM13" s="74"/>
      <c r="AN13" s="74"/>
      <c r="AO13" s="74"/>
      <c r="AP13" s="74"/>
      <c r="AQ13" s="74"/>
      <c r="AR13" s="74"/>
      <c r="AS13" s="74"/>
      <c r="AT13" s="74"/>
      <c r="AU13" s="74"/>
    </row>
    <row r="14" spans="1:47" x14ac:dyDescent="0.25">
      <c r="A14" s="307" t="s">
        <v>874</v>
      </c>
      <c r="B14" s="309" t="s">
        <v>1181</v>
      </c>
      <c r="C14" s="310"/>
      <c r="D14" s="310" t="e">
        <f>D13/C12</f>
        <v>#N/A</v>
      </c>
      <c r="E14" s="74"/>
      <c r="F14" s="74"/>
      <c r="G14" s="307" t="s">
        <v>874</v>
      </c>
      <c r="H14" s="309" t="s">
        <v>1181</v>
      </c>
      <c r="I14" s="310"/>
      <c r="J14" s="310" t="e">
        <f>IF(I12=0,0,J13/I12)</f>
        <v>#N/A</v>
      </c>
      <c r="K14" s="310"/>
      <c r="L14" s="310" t="e">
        <f>IF(K12=0,0,L13/K12)</f>
        <v>#N/A</v>
      </c>
      <c r="M14" s="310"/>
      <c r="N14" s="310" t="e">
        <f>IF(M12=0,0,N13/M12)</f>
        <v>#N/A</v>
      </c>
      <c r="O14" s="310"/>
      <c r="P14" s="310" t="e">
        <f>IF(O12=0,0,P13/O12)</f>
        <v>#N/A</v>
      </c>
      <c r="Q14" s="310"/>
      <c r="R14" s="310" t="e">
        <f>IF(Q12=0,0,R13/Q12)</f>
        <v>#N/A</v>
      </c>
      <c r="S14" s="310"/>
      <c r="T14" s="310" t="e">
        <f>IF(S12=0,0,T13/S12)</f>
        <v>#N/A</v>
      </c>
      <c r="U14" s="310"/>
      <c r="V14" s="310" t="e">
        <f>IF(U12=0,0,V13/U12)</f>
        <v>#N/A</v>
      </c>
      <c r="W14" s="310"/>
      <c r="X14" s="310" t="e">
        <f>IF(W12=0,0,X13/W12)</f>
        <v>#N/A</v>
      </c>
      <c r="Y14" s="310"/>
      <c r="Z14" s="310" t="e">
        <f>IF(Y12=0,0,Z13/Y12)</f>
        <v>#N/A</v>
      </c>
      <c r="AA14" s="310"/>
      <c r="AB14" s="310" t="e">
        <f>IF(AA12=0,0,AB13/AA12)</f>
        <v>#N/A</v>
      </c>
      <c r="AC14" s="310"/>
      <c r="AD14" s="310" t="e">
        <f>IF(AC12=0,0,AD13/AC12)</f>
        <v>#N/A</v>
      </c>
      <c r="AE14" s="310"/>
      <c r="AF14" s="310" t="e">
        <f>IF(AE12=0,0,AF13/AE12)</f>
        <v>#N/A</v>
      </c>
      <c r="AG14" s="74"/>
      <c r="AH14" s="74"/>
      <c r="AI14" s="74"/>
      <c r="AJ14" s="74"/>
      <c r="AK14" s="74"/>
      <c r="AL14" s="74"/>
      <c r="AM14" s="74"/>
      <c r="AN14" s="74"/>
      <c r="AO14" s="74"/>
      <c r="AP14" s="74"/>
      <c r="AQ14" s="74"/>
      <c r="AR14" s="74"/>
      <c r="AS14" s="74"/>
      <c r="AT14" s="74"/>
      <c r="AU14" s="74"/>
    </row>
    <row r="15" spans="1:47" ht="16.5" customHeight="1" x14ac:dyDescent="0.25">
      <c r="A15" s="312" t="s">
        <v>999</v>
      </c>
      <c r="B15" s="304" t="s">
        <v>842</v>
      </c>
      <c r="C15" s="305">
        <f>'Расчет базового уровня'!D15</f>
        <v>0</v>
      </c>
      <c r="D15" s="306" t="e">
        <f>D85</f>
        <v>#DIV/0!</v>
      </c>
      <c r="E15" s="74"/>
      <c r="F15" s="74"/>
      <c r="G15" s="312" t="s">
        <v>999</v>
      </c>
      <c r="H15" s="304" t="s">
        <v>842</v>
      </c>
      <c r="I15" s="306" t="e">
        <f>'Расчет базового уровня'!J15</f>
        <v>#N/A</v>
      </c>
      <c r="J15" s="306" t="e">
        <f>J85</f>
        <v>#N/A</v>
      </c>
      <c r="K15" s="306" t="e">
        <f>'Расчет базового уровня'!M15</f>
        <v>#N/A</v>
      </c>
      <c r="L15" s="306" t="e">
        <f>L85</f>
        <v>#N/A</v>
      </c>
      <c r="M15" s="306" t="e">
        <f>'Расчет базового уровня'!P15</f>
        <v>#N/A</v>
      </c>
      <c r="N15" s="306" t="e">
        <f>N85</f>
        <v>#N/A</v>
      </c>
      <c r="O15" s="306" t="e">
        <f>'Расчет базового уровня'!S15</f>
        <v>#N/A</v>
      </c>
      <c r="P15" s="306" t="e">
        <f>P85</f>
        <v>#N/A</v>
      </c>
      <c r="Q15" s="306" t="e">
        <f>'Расчет базового уровня'!V15</f>
        <v>#N/A</v>
      </c>
      <c r="R15" s="306" t="e">
        <f>R85</f>
        <v>#N/A</v>
      </c>
      <c r="S15" s="306" t="e">
        <f>'Расчет базового уровня'!Y15</f>
        <v>#N/A</v>
      </c>
      <c r="T15" s="306" t="e">
        <f>T85</f>
        <v>#N/A</v>
      </c>
      <c r="U15" s="306" t="e">
        <f>'Расчет базового уровня'!AB15</f>
        <v>#N/A</v>
      </c>
      <c r="V15" s="306" t="e">
        <f>V85</f>
        <v>#N/A</v>
      </c>
      <c r="W15" s="306" t="e">
        <f>'Расчет базового уровня'!AE15</f>
        <v>#N/A</v>
      </c>
      <c r="X15" s="306" t="e">
        <f>X85</f>
        <v>#N/A</v>
      </c>
      <c r="Y15" s="306" t="e">
        <f>'Расчет базового уровня'!AH15</f>
        <v>#N/A</v>
      </c>
      <c r="Z15" s="306" t="e">
        <f>Z85</f>
        <v>#N/A</v>
      </c>
      <c r="AA15" s="306" t="e">
        <f>'Расчет базового уровня'!AK15</f>
        <v>#N/A</v>
      </c>
      <c r="AB15" s="306" t="e">
        <f>AB85</f>
        <v>#N/A</v>
      </c>
      <c r="AC15" s="306" t="e">
        <f>'Расчет базового уровня'!AN15</f>
        <v>#N/A</v>
      </c>
      <c r="AD15" s="306" t="e">
        <f>AD85</f>
        <v>#N/A</v>
      </c>
      <c r="AE15" s="306" t="e">
        <f>'Расчет базового уровня'!AQ15</f>
        <v>#N/A</v>
      </c>
      <c r="AF15" s="306" t="e">
        <f>AF85</f>
        <v>#N/A</v>
      </c>
      <c r="AG15" s="74"/>
      <c r="AH15" s="74"/>
      <c r="AI15" s="74"/>
      <c r="AJ15" s="74"/>
      <c r="AK15" s="74"/>
      <c r="AL15" s="74"/>
      <c r="AM15" s="74"/>
      <c r="AN15" s="74"/>
      <c r="AO15" s="74"/>
      <c r="AP15" s="74"/>
      <c r="AQ15" s="74"/>
      <c r="AR15" s="74"/>
      <c r="AS15" s="74"/>
      <c r="AT15" s="74"/>
      <c r="AU15" s="74"/>
    </row>
    <row r="16" spans="1:47" x14ac:dyDescent="0.25">
      <c r="A16" s="307" t="s">
        <v>1339</v>
      </c>
      <c r="B16" s="304" t="s">
        <v>842</v>
      </c>
      <c r="C16" s="308"/>
      <c r="D16" s="308" t="e">
        <f>C15-D15</f>
        <v>#DIV/0!</v>
      </c>
      <c r="E16" s="74"/>
      <c r="F16" s="74"/>
      <c r="G16" s="307" t="s">
        <v>1339</v>
      </c>
      <c r="H16" s="304" t="s">
        <v>842</v>
      </c>
      <c r="I16" s="308"/>
      <c r="J16" s="308" t="e">
        <f>I15-J15</f>
        <v>#N/A</v>
      </c>
      <c r="K16" s="308"/>
      <c r="L16" s="308" t="e">
        <f>K15-L15</f>
        <v>#N/A</v>
      </c>
      <c r="M16" s="308"/>
      <c r="N16" s="308" t="e">
        <f>M15-N15</f>
        <v>#N/A</v>
      </c>
      <c r="O16" s="308"/>
      <c r="P16" s="308" t="e">
        <f>O15-P15</f>
        <v>#N/A</v>
      </c>
      <c r="Q16" s="308"/>
      <c r="R16" s="308" t="e">
        <f>Q15-R15</f>
        <v>#N/A</v>
      </c>
      <c r="S16" s="308"/>
      <c r="T16" s="308" t="e">
        <f>S15-T15</f>
        <v>#N/A</v>
      </c>
      <c r="U16" s="308"/>
      <c r="V16" s="308" t="e">
        <f>U15-V15</f>
        <v>#N/A</v>
      </c>
      <c r="W16" s="308"/>
      <c r="X16" s="308" t="e">
        <f>W15-X15</f>
        <v>#N/A</v>
      </c>
      <c r="Y16" s="308"/>
      <c r="Z16" s="308" t="e">
        <f>Y15-Z15</f>
        <v>#N/A</v>
      </c>
      <c r="AA16" s="308"/>
      <c r="AB16" s="308" t="e">
        <f>AA15-AB15</f>
        <v>#N/A</v>
      </c>
      <c r="AC16" s="308"/>
      <c r="AD16" s="308" t="e">
        <f>AC15-AD15</f>
        <v>#N/A</v>
      </c>
      <c r="AE16" s="308"/>
      <c r="AF16" s="308" t="e">
        <f>AE15-AF15</f>
        <v>#N/A</v>
      </c>
      <c r="AG16" s="74"/>
      <c r="AH16" s="74"/>
      <c r="AI16" s="74"/>
      <c r="AJ16" s="74"/>
      <c r="AK16" s="74"/>
      <c r="AL16" s="74"/>
      <c r="AM16" s="74"/>
      <c r="AN16" s="74"/>
      <c r="AO16" s="74"/>
      <c r="AP16" s="74"/>
      <c r="AQ16" s="74"/>
      <c r="AR16" s="74"/>
      <c r="AS16" s="74"/>
      <c r="AT16" s="74"/>
      <c r="AU16" s="74"/>
    </row>
    <row r="17" spans="1:47" ht="14.25" customHeight="1" x14ac:dyDescent="0.25">
      <c r="A17" s="307" t="s">
        <v>874</v>
      </c>
      <c r="B17" s="309" t="s">
        <v>1181</v>
      </c>
      <c r="C17" s="310"/>
      <c r="D17" s="310" t="e">
        <f>D16/C15</f>
        <v>#DIV/0!</v>
      </c>
      <c r="E17" s="74"/>
      <c r="F17" s="74"/>
      <c r="G17" s="307" t="s">
        <v>874</v>
      </c>
      <c r="H17" s="309" t="s">
        <v>1181</v>
      </c>
      <c r="I17" s="310"/>
      <c r="J17" s="310" t="e">
        <f>IF(I15=0,0,J16/I15)</f>
        <v>#N/A</v>
      </c>
      <c r="K17" s="310"/>
      <c r="L17" s="310" t="e">
        <f>IF(K15=0,0,L16/K15)</f>
        <v>#N/A</v>
      </c>
      <c r="M17" s="310"/>
      <c r="N17" s="310" t="e">
        <f>IF(M15=0,0,N16/M15)</f>
        <v>#N/A</v>
      </c>
      <c r="O17" s="310"/>
      <c r="P17" s="310" t="e">
        <f>IF(O15=0,0,P16/O15)</f>
        <v>#N/A</v>
      </c>
      <c r="Q17" s="310"/>
      <c r="R17" s="310" t="e">
        <f>IF(Q15=0,0,R16/Q15)</f>
        <v>#N/A</v>
      </c>
      <c r="S17" s="310"/>
      <c r="T17" s="310" t="e">
        <f>IF(S15=0,0,T16/S15)</f>
        <v>#N/A</v>
      </c>
      <c r="U17" s="310"/>
      <c r="V17" s="310" t="e">
        <f>IF(U15=0,0,V16/U15)</f>
        <v>#N/A</v>
      </c>
      <c r="W17" s="310"/>
      <c r="X17" s="310" t="e">
        <f>IF(W15=0,0,X16/W15)</f>
        <v>#N/A</v>
      </c>
      <c r="Y17" s="310"/>
      <c r="Z17" s="310" t="e">
        <f>IF(Y15=0,0,Z16/Y15)</f>
        <v>#N/A</v>
      </c>
      <c r="AA17" s="310"/>
      <c r="AB17" s="310" t="e">
        <f>IF(AA15=0,0,AB16/AA15)</f>
        <v>#N/A</v>
      </c>
      <c r="AC17" s="310"/>
      <c r="AD17" s="310" t="e">
        <f>IF(AC15=0,0,AD16/AC15)</f>
        <v>#N/A</v>
      </c>
      <c r="AE17" s="310"/>
      <c r="AF17" s="310" t="e">
        <f>IF(AE15=0,0,AF16/AE15)</f>
        <v>#N/A</v>
      </c>
      <c r="AG17" s="74"/>
      <c r="AH17" s="74"/>
      <c r="AI17" s="74"/>
      <c r="AJ17" s="74"/>
      <c r="AK17" s="74"/>
      <c r="AL17" s="74"/>
      <c r="AM17" s="74"/>
      <c r="AN17" s="74"/>
      <c r="AO17" s="74"/>
      <c r="AP17" s="74"/>
      <c r="AQ17" s="74"/>
      <c r="AR17" s="74"/>
      <c r="AS17" s="74"/>
      <c r="AT17" s="74"/>
      <c r="AU17" s="74"/>
    </row>
    <row r="18" spans="1:47" ht="40.5" customHeight="1" x14ac:dyDescent="0.25">
      <c r="A18" s="303" t="s">
        <v>1188</v>
      </c>
      <c r="B18" s="304" t="s">
        <v>842</v>
      </c>
      <c r="C18" s="305">
        <f>'Расчет базового уровня'!D18</f>
        <v>0</v>
      </c>
      <c r="D18" s="305" t="e">
        <f>D100</f>
        <v>#N/A</v>
      </c>
      <c r="E18" s="74"/>
      <c r="F18" s="74"/>
      <c r="G18" s="303" t="s">
        <v>1188</v>
      </c>
      <c r="H18" s="304" t="s">
        <v>842</v>
      </c>
      <c r="I18" s="306">
        <f>'Расчет базового уровня'!J18</f>
        <v>0</v>
      </c>
      <c r="J18" s="306" t="e">
        <f>J100</f>
        <v>#N/A</v>
      </c>
      <c r="K18" s="306">
        <f>'Расчет базового уровня'!M18</f>
        <v>0</v>
      </c>
      <c r="L18" s="306" t="e">
        <f>L100</f>
        <v>#N/A</v>
      </c>
      <c r="M18" s="306">
        <f>'Расчет базового уровня'!P18</f>
        <v>0</v>
      </c>
      <c r="N18" s="306" t="e">
        <f>N100</f>
        <v>#N/A</v>
      </c>
      <c r="O18" s="306">
        <f>'Расчет базового уровня'!S18</f>
        <v>0</v>
      </c>
      <c r="P18" s="306" t="e">
        <f>P100</f>
        <v>#N/A</v>
      </c>
      <c r="Q18" s="306">
        <f>'Расчет базового уровня'!V18</f>
        <v>0</v>
      </c>
      <c r="R18" s="306" t="e">
        <f>R100</f>
        <v>#N/A</v>
      </c>
      <c r="S18" s="306">
        <f>'Расчет базового уровня'!Y18</f>
        <v>0</v>
      </c>
      <c r="T18" s="306" t="e">
        <f>T100</f>
        <v>#N/A</v>
      </c>
      <c r="U18" s="306">
        <f>'Расчет базового уровня'!AB18</f>
        <v>0</v>
      </c>
      <c r="V18" s="306" t="e">
        <f>V100</f>
        <v>#N/A</v>
      </c>
      <c r="W18" s="306">
        <f>'Расчет базового уровня'!AE18</f>
        <v>0</v>
      </c>
      <c r="X18" s="306" t="e">
        <f>X100</f>
        <v>#N/A</v>
      </c>
      <c r="Y18" s="306">
        <f>'Расчет базового уровня'!AH18</f>
        <v>0</v>
      </c>
      <c r="Z18" s="306" t="e">
        <f>Z100</f>
        <v>#N/A</v>
      </c>
      <c r="AA18" s="306">
        <f>'Расчет базового уровня'!AK18</f>
        <v>0</v>
      </c>
      <c r="AB18" s="306" t="e">
        <f>AB100</f>
        <v>#N/A</v>
      </c>
      <c r="AC18" s="306">
        <f>'Расчет базового уровня'!AN18</f>
        <v>0</v>
      </c>
      <c r="AD18" s="306" t="e">
        <f>AD100</f>
        <v>#N/A</v>
      </c>
      <c r="AE18" s="306">
        <f>'Расчет базового уровня'!AQ18</f>
        <v>0</v>
      </c>
      <c r="AF18" s="306" t="e">
        <f>AF100</f>
        <v>#N/A</v>
      </c>
      <c r="AG18" s="74"/>
      <c r="AH18" s="74"/>
      <c r="AI18" s="74"/>
      <c r="AJ18" s="74"/>
      <c r="AK18" s="74"/>
      <c r="AL18" s="74"/>
      <c r="AM18" s="74"/>
      <c r="AN18" s="74"/>
      <c r="AO18" s="74"/>
      <c r="AP18" s="74"/>
      <c r="AQ18" s="74"/>
      <c r="AR18" s="74"/>
      <c r="AS18" s="74"/>
      <c r="AT18" s="74"/>
      <c r="AU18" s="74"/>
    </row>
    <row r="19" spans="1:47" ht="15.75" customHeight="1" x14ac:dyDescent="0.25">
      <c r="A19" s="307" t="s">
        <v>1339</v>
      </c>
      <c r="B19" s="304" t="s">
        <v>842</v>
      </c>
      <c r="C19" s="308"/>
      <c r="D19" s="308" t="e">
        <f>C18-D18</f>
        <v>#N/A</v>
      </c>
      <c r="E19" s="74"/>
      <c r="F19" s="74"/>
      <c r="G19" s="307" t="s">
        <v>1339</v>
      </c>
      <c r="H19" s="304" t="s">
        <v>842</v>
      </c>
      <c r="I19" s="308"/>
      <c r="J19" s="308" t="e">
        <f>I18-J18</f>
        <v>#N/A</v>
      </c>
      <c r="K19" s="308"/>
      <c r="L19" s="308" t="e">
        <f>K18-L18</f>
        <v>#N/A</v>
      </c>
      <c r="M19" s="308"/>
      <c r="N19" s="308" t="e">
        <f>M18-N18</f>
        <v>#N/A</v>
      </c>
      <c r="O19" s="308"/>
      <c r="P19" s="308" t="e">
        <f>O18-P18</f>
        <v>#N/A</v>
      </c>
      <c r="Q19" s="308"/>
      <c r="R19" s="308" t="e">
        <f>Q18-R18</f>
        <v>#N/A</v>
      </c>
      <c r="S19" s="308"/>
      <c r="T19" s="308" t="e">
        <f>S18-T18</f>
        <v>#N/A</v>
      </c>
      <c r="U19" s="308"/>
      <c r="V19" s="308" t="e">
        <f>U18-V18</f>
        <v>#N/A</v>
      </c>
      <c r="W19" s="308"/>
      <c r="X19" s="308" t="e">
        <f>W18-X18</f>
        <v>#N/A</v>
      </c>
      <c r="Y19" s="308"/>
      <c r="Z19" s="308" t="e">
        <f>Y18-Z18</f>
        <v>#N/A</v>
      </c>
      <c r="AA19" s="308"/>
      <c r="AB19" s="308" t="e">
        <f>AA18-AB18</f>
        <v>#N/A</v>
      </c>
      <c r="AC19" s="308"/>
      <c r="AD19" s="308" t="e">
        <f>AC18-AD18</f>
        <v>#N/A</v>
      </c>
      <c r="AE19" s="308"/>
      <c r="AF19" s="308" t="e">
        <f>AE18-AF18</f>
        <v>#N/A</v>
      </c>
      <c r="AG19" s="74"/>
      <c r="AH19" s="74"/>
      <c r="AI19" s="74"/>
      <c r="AJ19" s="74"/>
      <c r="AK19" s="74"/>
      <c r="AL19" s="74"/>
      <c r="AM19" s="74"/>
      <c r="AN19" s="74"/>
      <c r="AO19" s="74"/>
      <c r="AP19" s="74"/>
      <c r="AQ19" s="74"/>
      <c r="AR19" s="74"/>
      <c r="AS19" s="74"/>
      <c r="AT19" s="74"/>
      <c r="AU19" s="74"/>
    </row>
    <row r="20" spans="1:47" ht="15" customHeight="1" x14ac:dyDescent="0.25">
      <c r="A20" s="307" t="s">
        <v>874</v>
      </c>
      <c r="B20" s="309" t="s">
        <v>1181</v>
      </c>
      <c r="C20" s="310"/>
      <c r="D20" s="310" t="e">
        <f>D19/C18</f>
        <v>#N/A</v>
      </c>
      <c r="E20" s="74"/>
      <c r="F20" s="74"/>
      <c r="G20" s="307" t="s">
        <v>874</v>
      </c>
      <c r="H20" s="309" t="s">
        <v>1181</v>
      </c>
      <c r="I20" s="310"/>
      <c r="J20" s="310">
        <f>IF(I18=0,0,J19/I18)</f>
        <v>0</v>
      </c>
      <c r="K20" s="310"/>
      <c r="L20" s="310">
        <f>IF(K18=0,0,L19/K18)</f>
        <v>0</v>
      </c>
      <c r="M20" s="310"/>
      <c r="N20" s="310">
        <f>IF(M18=0,0,N19/M18)</f>
        <v>0</v>
      </c>
      <c r="O20" s="310"/>
      <c r="P20" s="310">
        <f>IF(O18=0,0,P19/O18)</f>
        <v>0</v>
      </c>
      <c r="Q20" s="310"/>
      <c r="R20" s="310">
        <f>IF(Q18=0,0,R19/Q18)</f>
        <v>0</v>
      </c>
      <c r="S20" s="310"/>
      <c r="T20" s="310">
        <f>IF(S18=0,0,T19/S18)</f>
        <v>0</v>
      </c>
      <c r="U20" s="310"/>
      <c r="V20" s="310">
        <f>IF(U18=0,0,V19/U18)</f>
        <v>0</v>
      </c>
      <c r="W20" s="310"/>
      <c r="X20" s="310">
        <f>IF(W18=0,0,X19/W18)</f>
        <v>0</v>
      </c>
      <c r="Y20" s="310"/>
      <c r="Z20" s="310">
        <f>IF(Y18=0,0,Z19/Y18)</f>
        <v>0</v>
      </c>
      <c r="AA20" s="310"/>
      <c r="AB20" s="310">
        <f>IF(AA18=0,0,AB19/AA18)</f>
        <v>0</v>
      </c>
      <c r="AC20" s="310"/>
      <c r="AD20" s="310">
        <f>IF(AC18=0,0,AD19/AC18)</f>
        <v>0</v>
      </c>
      <c r="AE20" s="310"/>
      <c r="AF20" s="310">
        <f>IF(AE18=0,0,AF19/AE18)</f>
        <v>0</v>
      </c>
      <c r="AG20" s="74"/>
      <c r="AH20" s="74"/>
      <c r="AI20" s="74"/>
      <c r="AJ20" s="74"/>
      <c r="AK20" s="74"/>
      <c r="AL20" s="74"/>
      <c r="AM20" s="74"/>
      <c r="AN20" s="74"/>
      <c r="AO20" s="74"/>
      <c r="AP20" s="74"/>
      <c r="AQ20" s="74"/>
      <c r="AR20" s="74"/>
      <c r="AS20" s="74"/>
      <c r="AT20" s="74"/>
      <c r="AU20" s="74"/>
    </row>
    <row r="21" spans="1:47" ht="5.25" customHeight="1" x14ac:dyDescent="0.25">
      <c r="A21" s="307"/>
      <c r="B21" s="309"/>
      <c r="C21" s="313"/>
      <c r="D21" s="95"/>
      <c r="E21" s="74"/>
      <c r="F21" s="74"/>
      <c r="G21" s="307"/>
      <c r="H21" s="309"/>
      <c r="I21" s="95"/>
      <c r="J21" s="95"/>
      <c r="K21" s="95"/>
      <c r="L21" s="95"/>
      <c r="M21" s="95"/>
      <c r="N21" s="95"/>
      <c r="O21" s="95"/>
      <c r="P21" s="95"/>
      <c r="Q21" s="95"/>
      <c r="R21" s="95"/>
      <c r="S21" s="95"/>
      <c r="T21" s="95"/>
      <c r="U21" s="95"/>
      <c r="V21" s="95"/>
      <c r="W21" s="95"/>
      <c r="X21" s="95"/>
      <c r="Y21" s="95"/>
      <c r="Z21" s="95"/>
      <c r="AA21" s="95"/>
      <c r="AB21" s="95"/>
      <c r="AC21" s="95"/>
      <c r="AD21" s="95"/>
      <c r="AE21" s="95"/>
      <c r="AF21" s="95"/>
      <c r="AG21" s="74"/>
      <c r="AH21" s="74"/>
      <c r="AI21" s="74"/>
      <c r="AJ21" s="74"/>
      <c r="AK21" s="74"/>
      <c r="AL21" s="74"/>
      <c r="AM21" s="74"/>
      <c r="AN21" s="74"/>
      <c r="AO21" s="74"/>
      <c r="AP21" s="74"/>
      <c r="AQ21" s="74"/>
      <c r="AR21" s="74"/>
      <c r="AS21" s="74"/>
      <c r="AT21" s="74"/>
      <c r="AU21" s="74"/>
    </row>
    <row r="22" spans="1:47" ht="5.25" customHeight="1" x14ac:dyDescent="0.25">
      <c r="A22" s="307"/>
      <c r="B22" s="309"/>
      <c r="C22" s="314"/>
      <c r="D22" s="95"/>
      <c r="E22" s="74"/>
      <c r="F22" s="74"/>
      <c r="G22" s="307"/>
      <c r="H22" s="309"/>
      <c r="I22" s="95"/>
      <c r="J22" s="95"/>
      <c r="K22" s="95"/>
      <c r="L22" s="95"/>
      <c r="M22" s="95"/>
      <c r="N22" s="95"/>
      <c r="O22" s="95"/>
      <c r="P22" s="95"/>
      <c r="Q22" s="95"/>
      <c r="R22" s="95"/>
      <c r="S22" s="95"/>
      <c r="T22" s="95"/>
      <c r="U22" s="95"/>
      <c r="V22" s="95"/>
      <c r="W22" s="95"/>
      <c r="X22" s="95"/>
      <c r="Y22" s="95"/>
      <c r="Z22" s="95"/>
      <c r="AA22" s="95"/>
      <c r="AB22" s="95"/>
      <c r="AC22" s="95"/>
      <c r="AD22" s="95"/>
      <c r="AE22" s="95"/>
      <c r="AF22" s="95"/>
      <c r="AG22" s="74"/>
      <c r="AH22" s="74"/>
      <c r="AI22" s="74"/>
      <c r="AJ22" s="74"/>
      <c r="AK22" s="74"/>
      <c r="AL22" s="74"/>
      <c r="AM22" s="74"/>
      <c r="AN22" s="74"/>
      <c r="AO22" s="74"/>
      <c r="AP22" s="74"/>
      <c r="AQ22" s="74"/>
      <c r="AR22" s="74"/>
      <c r="AS22" s="74"/>
      <c r="AT22" s="74"/>
      <c r="AU22" s="74"/>
    </row>
    <row r="23" spans="1:47" ht="24" customHeight="1" x14ac:dyDescent="0.25">
      <c r="A23" s="315" t="s">
        <v>1189</v>
      </c>
      <c r="B23" s="304" t="s">
        <v>1190</v>
      </c>
      <c r="C23" s="305" t="e">
        <f>'Расчет базового уровня'!D23</f>
        <v>#DIV/0!</v>
      </c>
      <c r="D23" s="305" t="e">
        <f>D6/('Ввод исходных данных'!$G$45+'Ввод исходных данных'!$D$23)</f>
        <v>#N/A</v>
      </c>
      <c r="E23" s="74"/>
      <c r="F23" s="74"/>
      <c r="G23" s="315" t="s">
        <v>1189</v>
      </c>
      <c r="H23" s="304" t="s">
        <v>1190</v>
      </c>
      <c r="I23" s="306">
        <f>'Расчет базового уровня'!J23</f>
        <v>0</v>
      </c>
      <c r="J23" s="306" t="e">
        <f>J6/'Ввод исходных данных'!$G$44</f>
        <v>#N/A</v>
      </c>
      <c r="K23" s="306">
        <f>'Расчет базового уровня'!M23</f>
        <v>0</v>
      </c>
      <c r="L23" s="306" t="e">
        <f>L6/'Ввод исходных данных'!$G$44</f>
        <v>#N/A</v>
      </c>
      <c r="M23" s="306">
        <f>'Расчет базового уровня'!P23</f>
        <v>0</v>
      </c>
      <c r="N23" s="306" t="e">
        <f>N6/'Ввод исходных данных'!$G$44</f>
        <v>#N/A</v>
      </c>
      <c r="O23" s="306">
        <f>'Расчет базового уровня'!S23</f>
        <v>0</v>
      </c>
      <c r="P23" s="306" t="e">
        <f>P6/'Ввод исходных данных'!$G$44</f>
        <v>#N/A</v>
      </c>
      <c r="Q23" s="306">
        <f>'Расчет базового уровня'!V23</f>
        <v>0</v>
      </c>
      <c r="R23" s="306" t="e">
        <f>R6/'Ввод исходных данных'!$G$44</f>
        <v>#N/A</v>
      </c>
      <c r="S23" s="306">
        <f>'Расчет базового уровня'!Y23</f>
        <v>0</v>
      </c>
      <c r="T23" s="306" t="e">
        <f>T6/'Ввод исходных данных'!$G$44</f>
        <v>#N/A</v>
      </c>
      <c r="U23" s="306">
        <f>'Расчет базового уровня'!AB23</f>
        <v>0</v>
      </c>
      <c r="V23" s="306" t="e">
        <f>V6/'Ввод исходных данных'!$G$44</f>
        <v>#N/A</v>
      </c>
      <c r="W23" s="306">
        <f>'Расчет базового уровня'!AE23</f>
        <v>0</v>
      </c>
      <c r="X23" s="306" t="e">
        <f>X6/'Ввод исходных данных'!$G$44</f>
        <v>#N/A</v>
      </c>
      <c r="Y23" s="306">
        <f>'Расчет базового уровня'!AH23</f>
        <v>0</v>
      </c>
      <c r="Z23" s="306" t="e">
        <f>Z6/'Ввод исходных данных'!$G$44</f>
        <v>#N/A</v>
      </c>
      <c r="AA23" s="306">
        <f>'Расчет базового уровня'!AK23</f>
        <v>0</v>
      </c>
      <c r="AB23" s="306" t="e">
        <f>AB6/'Ввод исходных данных'!$G$44</f>
        <v>#N/A</v>
      </c>
      <c r="AC23" s="306">
        <f>'Расчет базового уровня'!AN23</f>
        <v>0</v>
      </c>
      <c r="AD23" s="306" t="e">
        <f>AD6/'Ввод исходных данных'!$G$44</f>
        <v>#N/A</v>
      </c>
      <c r="AE23" s="306">
        <f>'Расчет базового уровня'!AQ23</f>
        <v>0</v>
      </c>
      <c r="AF23" s="306" t="e">
        <f>AF6/'Ввод исходных данных'!$G$44</f>
        <v>#N/A</v>
      </c>
      <c r="AG23" s="74"/>
      <c r="AH23" s="74"/>
      <c r="AI23" s="74"/>
      <c r="AJ23" s="74"/>
      <c r="AK23" s="74"/>
      <c r="AL23" s="74"/>
      <c r="AM23" s="74"/>
      <c r="AN23" s="74"/>
      <c r="AO23" s="74"/>
      <c r="AP23" s="74"/>
      <c r="AQ23" s="74"/>
      <c r="AR23" s="74"/>
      <c r="AS23" s="74"/>
      <c r="AT23" s="74"/>
      <c r="AU23" s="74"/>
    </row>
    <row r="24" spans="1:47" x14ac:dyDescent="0.25">
      <c r="A24" s="307" t="s">
        <v>874</v>
      </c>
      <c r="B24" s="309" t="s">
        <v>1191</v>
      </c>
      <c r="C24" s="308"/>
      <c r="D24" s="316" t="e">
        <f>D7*1000/('Ввод исходных данных'!$G$45+'Ввод исходных данных'!$D$23)</f>
        <v>#N/A</v>
      </c>
      <c r="E24" s="74"/>
      <c r="F24" s="74"/>
      <c r="G24" s="307" t="s">
        <v>874</v>
      </c>
      <c r="H24" s="309" t="s">
        <v>1191</v>
      </c>
      <c r="I24" s="95"/>
      <c r="J24" s="286" t="e">
        <f>0.123*J23</f>
        <v>#N/A</v>
      </c>
      <c r="K24" s="95"/>
      <c r="L24" s="286" t="e">
        <f>0.123*L23</f>
        <v>#N/A</v>
      </c>
      <c r="M24" s="95"/>
      <c r="N24" s="286" t="e">
        <f>0.123*N23</f>
        <v>#N/A</v>
      </c>
      <c r="O24" s="95"/>
      <c r="P24" s="286" t="e">
        <f>0.123*P23</f>
        <v>#N/A</v>
      </c>
      <c r="Q24" s="95"/>
      <c r="R24" s="286" t="e">
        <f>0.123*R23</f>
        <v>#N/A</v>
      </c>
      <c r="S24" s="95"/>
      <c r="T24" s="286" t="e">
        <f>0.123*T23</f>
        <v>#N/A</v>
      </c>
      <c r="U24" s="95"/>
      <c r="V24" s="286" t="e">
        <f>0.123*V23</f>
        <v>#N/A</v>
      </c>
      <c r="W24" s="95"/>
      <c r="X24" s="286" t="e">
        <f>0.123*X23</f>
        <v>#N/A</v>
      </c>
      <c r="Y24" s="95"/>
      <c r="Z24" s="286" t="e">
        <f>0.123*Z23</f>
        <v>#N/A</v>
      </c>
      <c r="AA24" s="95"/>
      <c r="AB24" s="286" t="e">
        <f>0.123*AB23</f>
        <v>#N/A</v>
      </c>
      <c r="AC24" s="95"/>
      <c r="AD24" s="286" t="e">
        <f>0.123*AD23</f>
        <v>#N/A</v>
      </c>
      <c r="AE24" s="95"/>
      <c r="AF24" s="286" t="e">
        <f>0.123*AF23</f>
        <v>#N/A</v>
      </c>
      <c r="AG24" s="74"/>
      <c r="AH24" s="74"/>
      <c r="AI24" s="74"/>
      <c r="AJ24" s="74"/>
      <c r="AK24" s="74"/>
      <c r="AL24" s="74"/>
      <c r="AM24" s="74"/>
      <c r="AN24" s="74"/>
      <c r="AO24" s="74"/>
      <c r="AP24" s="74"/>
      <c r="AQ24" s="74"/>
      <c r="AR24" s="74"/>
      <c r="AS24" s="74"/>
      <c r="AT24" s="74"/>
      <c r="AU24" s="74"/>
    </row>
    <row r="25" spans="1:47" x14ac:dyDescent="0.25">
      <c r="A25" s="74"/>
      <c r="B25" s="74"/>
      <c r="C25" s="74"/>
      <c r="D25" s="74"/>
      <c r="E25" s="74"/>
      <c r="F25" s="74"/>
      <c r="G25" s="74"/>
      <c r="H25" s="74"/>
      <c r="I25" s="74"/>
      <c r="J25" s="74"/>
      <c r="K25" s="74"/>
      <c r="L25" s="74"/>
      <c r="M25" s="74"/>
      <c r="N25" s="74"/>
      <c r="O25" s="74"/>
      <c r="P25" s="74"/>
      <c r="Q25" s="74"/>
      <c r="R25" s="74"/>
      <c r="S25" s="74"/>
      <c r="T25" s="74"/>
      <c r="U25" s="74"/>
      <c r="V25" s="74"/>
      <c r="W25" s="74"/>
      <c r="X25" s="74"/>
      <c r="Y25" s="74"/>
      <c r="Z25" s="74"/>
      <c r="AA25" s="74"/>
      <c r="AB25" s="74"/>
      <c r="AC25" s="74"/>
      <c r="AD25" s="74"/>
      <c r="AE25" s="74"/>
      <c r="AF25" s="74"/>
      <c r="AG25" s="74"/>
      <c r="AH25" s="74"/>
      <c r="AI25" s="74"/>
      <c r="AJ25" s="74"/>
      <c r="AK25" s="74"/>
      <c r="AL25" s="74"/>
      <c r="AM25" s="74"/>
      <c r="AN25" s="74"/>
      <c r="AO25" s="74"/>
      <c r="AP25" s="74"/>
      <c r="AQ25" s="74"/>
      <c r="AR25" s="74"/>
      <c r="AS25" s="74"/>
      <c r="AT25" s="74"/>
      <c r="AU25" s="74"/>
    </row>
    <row r="26" spans="1:47" ht="10.5" customHeight="1" x14ac:dyDescent="0.25">
      <c r="A26" s="74"/>
      <c r="B26" s="74" t="str">
        <f>A12</f>
        <v>Отопление и вентиляция</v>
      </c>
      <c r="C26" s="74" t="s">
        <v>1232</v>
      </c>
      <c r="D26" s="74" t="str">
        <f>A15</f>
        <v>Горячее водоснабжение</v>
      </c>
      <c r="E26" s="74"/>
      <c r="F26" s="74"/>
      <c r="G26" s="74"/>
      <c r="H26" s="74"/>
      <c r="I26" s="74"/>
      <c r="J26" s="74"/>
      <c r="K26" s="74"/>
      <c r="L26" s="74"/>
      <c r="M26" s="74"/>
      <c r="N26" s="74"/>
      <c r="O26" s="74"/>
      <c r="P26" s="74"/>
      <c r="Q26" s="74"/>
      <c r="R26" s="74"/>
      <c r="S26" s="74"/>
      <c r="T26" s="74"/>
      <c r="U26" s="74"/>
      <c r="V26" s="74"/>
      <c r="W26" s="74"/>
      <c r="X26" s="74"/>
      <c r="Y26" s="74"/>
      <c r="Z26" s="74"/>
      <c r="AA26" s="74"/>
      <c r="AB26" s="74"/>
      <c r="AC26" s="74"/>
      <c r="AD26" s="74"/>
      <c r="AE26" s="74"/>
      <c r="AF26" s="74"/>
      <c r="AG26" s="74"/>
      <c r="AH26" s="74"/>
      <c r="AI26" s="74"/>
      <c r="AJ26" s="74"/>
      <c r="AK26" s="74"/>
      <c r="AL26" s="74"/>
      <c r="AM26" s="74"/>
      <c r="AN26" s="74"/>
      <c r="AO26" s="74"/>
      <c r="AP26" s="74"/>
      <c r="AQ26" s="74"/>
      <c r="AR26" s="74"/>
      <c r="AS26" s="74"/>
      <c r="AT26" s="74"/>
      <c r="AU26" s="74"/>
    </row>
    <row r="27" spans="1:47" ht="10.5" customHeight="1" x14ac:dyDescent="0.25">
      <c r="A27" s="74"/>
      <c r="B27" s="317" t="e">
        <f>D12</f>
        <v>#N/A</v>
      </c>
      <c r="C27" s="317" t="e">
        <f>D18</f>
        <v>#N/A</v>
      </c>
      <c r="D27" s="317" t="e">
        <f>D15</f>
        <v>#DIV/0!</v>
      </c>
      <c r="E27" s="74"/>
      <c r="F27" s="74"/>
      <c r="G27" s="74"/>
      <c r="H27" s="74"/>
      <c r="I27" s="74"/>
      <c r="J27" s="74"/>
      <c r="K27" s="74"/>
      <c r="L27" s="74"/>
      <c r="M27" s="74"/>
      <c r="N27" s="74"/>
      <c r="O27" s="74"/>
      <c r="P27" s="74"/>
      <c r="Q27" s="74"/>
      <c r="R27" s="74"/>
      <c r="S27" s="74"/>
      <c r="T27" s="74"/>
      <c r="U27" s="74"/>
      <c r="V27" s="74"/>
      <c r="W27" s="74"/>
      <c r="X27" s="74"/>
      <c r="Y27" s="74"/>
      <c r="Z27" s="74"/>
      <c r="AA27" s="74"/>
      <c r="AB27" s="74"/>
      <c r="AC27" s="74"/>
      <c r="AD27" s="74"/>
      <c r="AE27" s="74"/>
      <c r="AF27" s="74"/>
      <c r="AG27" s="74"/>
      <c r="AH27" s="74"/>
      <c r="AI27" s="74"/>
      <c r="AJ27" s="74"/>
      <c r="AK27" s="74"/>
      <c r="AL27" s="74"/>
      <c r="AM27" s="74"/>
      <c r="AN27" s="74"/>
      <c r="AO27" s="74"/>
      <c r="AP27" s="74"/>
      <c r="AQ27" s="74"/>
      <c r="AR27" s="74"/>
      <c r="AS27" s="74"/>
      <c r="AT27" s="74"/>
      <c r="AU27" s="74"/>
    </row>
    <row r="28" spans="1:47" ht="10.5" customHeight="1" x14ac:dyDescent="0.25">
      <c r="A28" s="74"/>
      <c r="B28" s="317">
        <f>C12</f>
        <v>0</v>
      </c>
      <c r="C28" s="317">
        <f>C18</f>
        <v>0</v>
      </c>
      <c r="D28" s="317">
        <f>C15</f>
        <v>0</v>
      </c>
      <c r="E28" s="74"/>
      <c r="F28" s="74"/>
      <c r="G28" s="74"/>
      <c r="H28" s="74"/>
      <c r="I28" s="74"/>
      <c r="J28" s="74"/>
      <c r="K28" s="74"/>
      <c r="L28" s="74"/>
      <c r="M28" s="74"/>
      <c r="N28" s="74"/>
      <c r="O28" s="74"/>
      <c r="P28" s="74"/>
      <c r="Q28" s="74"/>
      <c r="R28" s="74"/>
      <c r="S28" s="74"/>
      <c r="T28" s="74"/>
      <c r="U28" s="74"/>
      <c r="V28" s="74"/>
      <c r="W28" s="74"/>
      <c r="X28" s="74"/>
      <c r="Y28" s="74"/>
      <c r="Z28" s="74"/>
      <c r="AA28" s="74"/>
      <c r="AB28" s="74"/>
      <c r="AC28" s="74"/>
      <c r="AD28" s="74"/>
      <c r="AE28" s="74"/>
      <c r="AF28" s="74"/>
      <c r="AG28" s="74"/>
      <c r="AH28" s="74"/>
      <c r="AI28" s="74"/>
      <c r="AJ28" s="74"/>
      <c r="AK28" s="74"/>
      <c r="AL28" s="74"/>
      <c r="AM28" s="74"/>
      <c r="AN28" s="74"/>
      <c r="AO28" s="74"/>
      <c r="AP28" s="74"/>
      <c r="AQ28" s="74"/>
      <c r="AR28" s="74"/>
      <c r="AS28" s="74"/>
      <c r="AT28" s="74"/>
      <c r="AU28" s="74"/>
    </row>
    <row r="29" spans="1:47" ht="10.5" customHeight="1" x14ac:dyDescent="0.25">
      <c r="A29" s="74"/>
      <c r="B29" s="317">
        <f>E12</f>
        <v>0</v>
      </c>
      <c r="C29" s="317">
        <f>E18</f>
        <v>0</v>
      </c>
      <c r="D29" s="317">
        <f>E15</f>
        <v>0</v>
      </c>
      <c r="E29" s="74"/>
      <c r="F29" s="74"/>
      <c r="G29" s="74"/>
      <c r="H29" s="74"/>
      <c r="I29" s="74"/>
      <c r="J29" s="74"/>
      <c r="K29" s="74"/>
      <c r="L29" s="74"/>
      <c r="M29" s="74"/>
      <c r="N29" s="74"/>
      <c r="O29" s="74"/>
      <c r="P29" s="74"/>
      <c r="Q29" s="74"/>
      <c r="R29" s="74"/>
      <c r="S29" s="74"/>
      <c r="T29" s="74"/>
      <c r="U29" s="74"/>
      <c r="V29" s="74"/>
      <c r="W29" s="74"/>
      <c r="X29" s="74"/>
      <c r="Y29" s="74"/>
      <c r="Z29" s="74"/>
      <c r="AA29" s="74"/>
      <c r="AB29" s="74"/>
      <c r="AC29" s="74"/>
      <c r="AD29" s="74"/>
      <c r="AE29" s="74"/>
      <c r="AF29" s="74"/>
      <c r="AG29" s="74"/>
      <c r="AH29" s="74"/>
      <c r="AI29" s="74"/>
      <c r="AJ29" s="74"/>
      <c r="AK29" s="74"/>
      <c r="AL29" s="74"/>
      <c r="AM29" s="74"/>
      <c r="AN29" s="74"/>
      <c r="AO29" s="74"/>
      <c r="AP29" s="74"/>
      <c r="AQ29" s="74"/>
      <c r="AR29" s="74"/>
      <c r="AS29" s="74"/>
      <c r="AT29" s="74"/>
      <c r="AU29" s="74"/>
    </row>
    <row r="30" spans="1:47" ht="275.25" customHeight="1" x14ac:dyDescent="0.25">
      <c r="A30" s="74"/>
      <c r="B30" s="317"/>
      <c r="C30" s="317"/>
      <c r="D30" s="317"/>
      <c r="E30" s="74"/>
      <c r="F30" s="74"/>
      <c r="G30" s="74"/>
      <c r="H30" s="74"/>
      <c r="I30" s="74"/>
      <c r="J30" s="74"/>
      <c r="K30" s="74"/>
      <c r="L30" s="74"/>
      <c r="M30" s="74"/>
      <c r="N30" s="74"/>
      <c r="O30" s="74"/>
      <c r="P30" s="74"/>
      <c r="Q30" s="74"/>
      <c r="R30" s="74"/>
      <c r="S30" s="74"/>
      <c r="T30" s="74"/>
      <c r="U30" s="74"/>
      <c r="V30" s="74"/>
      <c r="W30" s="74"/>
      <c r="X30" s="74"/>
      <c r="Y30" s="74"/>
      <c r="Z30" s="74"/>
      <c r="AA30" s="74"/>
      <c r="AB30" s="74"/>
      <c r="AC30" s="74"/>
      <c r="AD30" s="74"/>
      <c r="AE30" s="74"/>
      <c r="AF30" s="74"/>
      <c r="AG30" s="74"/>
      <c r="AH30" s="74"/>
      <c r="AI30" s="74"/>
      <c r="AJ30" s="74"/>
      <c r="AK30" s="74"/>
      <c r="AL30" s="74"/>
      <c r="AM30" s="74"/>
      <c r="AN30" s="74"/>
      <c r="AO30" s="74"/>
      <c r="AP30" s="74"/>
      <c r="AQ30" s="74"/>
      <c r="AR30" s="74"/>
      <c r="AS30" s="74"/>
      <c r="AT30" s="74"/>
      <c r="AU30" s="74"/>
    </row>
    <row r="31" spans="1:47" ht="15" customHeight="1" x14ac:dyDescent="0.25">
      <c r="A31" s="74"/>
      <c r="B31" s="74"/>
      <c r="C31" s="74"/>
      <c r="D31" s="74"/>
      <c r="E31" s="74"/>
      <c r="F31" s="74"/>
      <c r="G31" s="74"/>
      <c r="H31" s="74"/>
      <c r="I31" s="74"/>
      <c r="J31" s="74"/>
      <c r="K31" s="74"/>
      <c r="L31" s="74"/>
      <c r="M31" s="74"/>
      <c r="N31" s="74"/>
      <c r="O31" s="74"/>
      <c r="P31" s="74"/>
      <c r="Q31" s="74"/>
      <c r="R31" s="74"/>
      <c r="S31" s="74"/>
      <c r="T31" s="74"/>
      <c r="U31" s="74"/>
      <c r="V31" s="74"/>
      <c r="W31" s="74"/>
      <c r="X31" s="74"/>
      <c r="Y31" s="74"/>
      <c r="Z31" s="74"/>
      <c r="AA31" s="74"/>
      <c r="AB31" s="74"/>
      <c r="AC31" s="74"/>
      <c r="AD31" s="74"/>
      <c r="AE31" s="74"/>
      <c r="AF31" s="74"/>
      <c r="AG31" s="74"/>
      <c r="AH31" s="74"/>
      <c r="AI31" s="74"/>
      <c r="AJ31" s="74"/>
      <c r="AK31" s="74"/>
      <c r="AL31" s="74"/>
      <c r="AM31" s="74"/>
      <c r="AN31" s="74"/>
      <c r="AO31" s="74"/>
      <c r="AP31" s="74"/>
      <c r="AQ31" s="74"/>
      <c r="AR31" s="74"/>
      <c r="AS31" s="74"/>
      <c r="AT31" s="74"/>
      <c r="AU31" s="74"/>
    </row>
    <row r="32" spans="1:47" ht="15" customHeight="1" thickBot="1" x14ac:dyDescent="0.3">
      <c r="A32" s="1785" t="s">
        <v>1192</v>
      </c>
      <c r="B32" s="1785"/>
      <c r="C32" s="1785"/>
      <c r="D32" s="1785"/>
      <c r="E32" s="74"/>
      <c r="F32" s="74"/>
      <c r="G32" s="318" t="s">
        <v>1193</v>
      </c>
      <c r="H32" s="318"/>
      <c r="I32" s="318"/>
      <c r="J32" s="318"/>
      <c r="N32" s="74"/>
      <c r="O32" s="74"/>
      <c r="P32" s="74"/>
      <c r="Q32" s="74"/>
      <c r="R32" s="74"/>
      <c r="S32" s="74"/>
      <c r="T32" s="74"/>
      <c r="U32" s="74"/>
      <c r="V32" s="74"/>
      <c r="W32" s="74"/>
      <c r="X32" s="74"/>
      <c r="Y32" s="74"/>
      <c r="Z32" s="74"/>
      <c r="AA32" s="74"/>
      <c r="AB32" s="74"/>
      <c r="AC32" s="74"/>
      <c r="AD32" s="74"/>
      <c r="AE32" s="74"/>
      <c r="AF32" s="74"/>
      <c r="AG32" s="74"/>
      <c r="AH32" s="74"/>
      <c r="AI32" s="74"/>
      <c r="AJ32" s="74"/>
      <c r="AK32" s="74"/>
      <c r="AL32" s="74"/>
      <c r="AM32" s="74"/>
      <c r="AN32" s="74"/>
      <c r="AO32" s="74"/>
      <c r="AP32" s="74"/>
      <c r="AQ32" s="74"/>
      <c r="AR32" s="74"/>
      <c r="AS32" s="74"/>
      <c r="AT32" s="74"/>
      <c r="AU32" s="74"/>
    </row>
    <row r="33" spans="1:55" ht="24" customHeight="1" x14ac:dyDescent="0.25">
      <c r="A33" s="1799" t="s">
        <v>834</v>
      </c>
      <c r="B33" s="1791" t="s">
        <v>1174</v>
      </c>
      <c r="C33" s="1795" t="s">
        <v>1338</v>
      </c>
      <c r="D33" s="1793" t="s">
        <v>1337</v>
      </c>
      <c r="E33" s="74"/>
      <c r="F33" s="74"/>
      <c r="G33" s="1801" t="s">
        <v>834</v>
      </c>
      <c r="H33" s="1797" t="s">
        <v>1174</v>
      </c>
      <c r="I33" s="1765" t="s">
        <v>488</v>
      </c>
      <c r="J33" s="1766"/>
      <c r="K33" s="1765" t="s">
        <v>489</v>
      </c>
      <c r="L33" s="1766"/>
      <c r="M33" s="1765" t="s">
        <v>490</v>
      </c>
      <c r="N33" s="1766"/>
      <c r="O33" s="1765" t="s">
        <v>491</v>
      </c>
      <c r="P33" s="1766"/>
      <c r="Q33" s="1765" t="s">
        <v>805</v>
      </c>
      <c r="R33" s="1766"/>
      <c r="S33" s="1765" t="s">
        <v>806</v>
      </c>
      <c r="T33" s="1766"/>
      <c r="U33" s="1765" t="s">
        <v>807</v>
      </c>
      <c r="V33" s="1766"/>
      <c r="W33" s="1765" t="s">
        <v>808</v>
      </c>
      <c r="X33" s="1766"/>
      <c r="Y33" s="1765" t="s">
        <v>809</v>
      </c>
      <c r="Z33" s="1766"/>
      <c r="AA33" s="1765" t="s">
        <v>482</v>
      </c>
      <c r="AB33" s="1766"/>
      <c r="AC33" s="1765" t="s">
        <v>486</v>
      </c>
      <c r="AD33" s="1766"/>
      <c r="AE33" s="1765" t="s">
        <v>487</v>
      </c>
      <c r="AF33" s="1766"/>
      <c r="AG33" s="74"/>
      <c r="AH33" s="74"/>
      <c r="AI33" s="74"/>
      <c r="AJ33" s="74"/>
      <c r="AK33" s="74"/>
      <c r="AL33" s="74"/>
      <c r="AM33" s="74"/>
      <c r="AN33" s="74"/>
      <c r="AO33" s="74"/>
      <c r="AP33" s="74"/>
      <c r="AQ33" s="74"/>
      <c r="AR33" s="74"/>
      <c r="AS33" s="74"/>
      <c r="AT33" s="74"/>
      <c r="AU33" s="74"/>
    </row>
    <row r="34" spans="1:55" ht="74.45" customHeight="1" thickBot="1" x14ac:dyDescent="0.3">
      <c r="A34" s="1800"/>
      <c r="B34" s="1792"/>
      <c r="C34" s="1826"/>
      <c r="D34" s="1825"/>
      <c r="E34" s="74"/>
      <c r="F34" s="74"/>
      <c r="G34" s="1802"/>
      <c r="H34" s="1798"/>
      <c r="I34" s="319" t="s">
        <v>1338</v>
      </c>
      <c r="J34" s="320" t="s">
        <v>1337</v>
      </c>
      <c r="K34" s="319" t="s">
        <v>1338</v>
      </c>
      <c r="L34" s="320" t="s">
        <v>1337</v>
      </c>
      <c r="M34" s="319" t="s">
        <v>1338</v>
      </c>
      <c r="N34" s="320" t="s">
        <v>1337</v>
      </c>
      <c r="O34" s="319" t="s">
        <v>1338</v>
      </c>
      <c r="P34" s="320" t="s">
        <v>1337</v>
      </c>
      <c r="Q34" s="319" t="s">
        <v>1338</v>
      </c>
      <c r="R34" s="320" t="s">
        <v>1337</v>
      </c>
      <c r="S34" s="319" t="s">
        <v>1338</v>
      </c>
      <c r="T34" s="320" t="s">
        <v>1337</v>
      </c>
      <c r="U34" s="319" t="s">
        <v>1338</v>
      </c>
      <c r="V34" s="320" t="s">
        <v>1337</v>
      </c>
      <c r="W34" s="319" t="s">
        <v>1338</v>
      </c>
      <c r="X34" s="320" t="s">
        <v>1337</v>
      </c>
      <c r="Y34" s="319" t="s">
        <v>1338</v>
      </c>
      <c r="Z34" s="320" t="s">
        <v>1337</v>
      </c>
      <c r="AA34" s="319" t="s">
        <v>1338</v>
      </c>
      <c r="AB34" s="320" t="s">
        <v>1337</v>
      </c>
      <c r="AC34" s="319" t="s">
        <v>1338</v>
      </c>
      <c r="AD34" s="320" t="s">
        <v>1337</v>
      </c>
      <c r="AE34" s="319" t="s">
        <v>1338</v>
      </c>
      <c r="AF34" s="320" t="s">
        <v>1337</v>
      </c>
      <c r="AG34" s="74"/>
      <c r="AH34" s="74"/>
      <c r="AI34" s="74"/>
      <c r="AJ34" s="74"/>
      <c r="AK34" s="74"/>
      <c r="AL34" s="74"/>
      <c r="AM34" s="74"/>
      <c r="AN34" s="74"/>
      <c r="AO34" s="74"/>
      <c r="AP34" s="74"/>
      <c r="AQ34" s="74"/>
      <c r="AR34" s="74"/>
      <c r="AS34" s="74"/>
      <c r="AT34" s="74"/>
      <c r="AU34" s="74"/>
    </row>
    <row r="35" spans="1:55" ht="31.5" customHeight="1" x14ac:dyDescent="0.25">
      <c r="A35" s="321" t="s">
        <v>1194</v>
      </c>
      <c r="B35" s="322" t="s">
        <v>842</v>
      </c>
      <c r="C35" s="323">
        <f>'Расчет базового уровня'!D35</f>
        <v>0</v>
      </c>
      <c r="D35" s="324" t="e">
        <f>D38+D62+D65+D68-D71</f>
        <v>#N/A</v>
      </c>
      <c r="E35" s="74"/>
      <c r="F35" s="74"/>
      <c r="G35" s="325" t="s">
        <v>1192</v>
      </c>
      <c r="H35" s="326" t="s">
        <v>842</v>
      </c>
      <c r="I35" s="323" t="e">
        <f>'Расчет базового уровня'!J35</f>
        <v>#N/A</v>
      </c>
      <c r="J35" s="327" t="e">
        <f>J38+J62+J65+J68-J71</f>
        <v>#N/A</v>
      </c>
      <c r="K35" s="323" t="e">
        <f>'Расчет базового уровня'!M35</f>
        <v>#N/A</v>
      </c>
      <c r="L35" s="328" t="e">
        <f>L38+L62+L65+L68-L71</f>
        <v>#N/A</v>
      </c>
      <c r="M35" s="323" t="e">
        <f>'Расчет базового уровня'!P35</f>
        <v>#N/A</v>
      </c>
      <c r="N35" s="327" t="e">
        <f>N38+N62+N65+N68-N71</f>
        <v>#N/A</v>
      </c>
      <c r="O35" s="323" t="e">
        <f>'Расчет базового уровня'!S35</f>
        <v>#N/A</v>
      </c>
      <c r="P35" s="328" t="e">
        <f>P38+P62+P65+P68-P71</f>
        <v>#N/A</v>
      </c>
      <c r="Q35" s="323" t="e">
        <f>'Расчет базового уровня'!V35</f>
        <v>#N/A</v>
      </c>
      <c r="R35" s="327" t="e">
        <f>R38+R62+R65+R68-R71</f>
        <v>#N/A</v>
      </c>
      <c r="S35" s="323" t="e">
        <f>'Расчет базового уровня'!Y35</f>
        <v>#N/A</v>
      </c>
      <c r="T35" s="327" t="e">
        <f>T38+T62+T65+T68-T71</f>
        <v>#N/A</v>
      </c>
      <c r="U35" s="323" t="e">
        <f>'Расчет базового уровня'!AB35</f>
        <v>#N/A</v>
      </c>
      <c r="V35" s="327" t="e">
        <f>V38+V62+V65+V68-V71</f>
        <v>#N/A</v>
      </c>
      <c r="W35" s="323" t="e">
        <f>'Расчет базового уровня'!AE35</f>
        <v>#N/A</v>
      </c>
      <c r="X35" s="327" t="e">
        <f>X38+X62+X65+X68-X71</f>
        <v>#N/A</v>
      </c>
      <c r="Y35" s="323" t="e">
        <f>'Расчет базового уровня'!AH35</f>
        <v>#N/A</v>
      </c>
      <c r="Z35" s="327" t="e">
        <f>Z38+Z62+Z65+Z68-Z71</f>
        <v>#N/A</v>
      </c>
      <c r="AA35" s="323" t="e">
        <f>'Расчет базового уровня'!AK35</f>
        <v>#N/A</v>
      </c>
      <c r="AB35" s="327" t="e">
        <f>AB38+AB62+AB65+AB68-AB71</f>
        <v>#N/A</v>
      </c>
      <c r="AC35" s="323" t="e">
        <f>'Расчет базового уровня'!AN35</f>
        <v>#N/A</v>
      </c>
      <c r="AD35" s="327" t="e">
        <f>AD38+AD62+AD65+AD68-AD71</f>
        <v>#N/A</v>
      </c>
      <c r="AE35" s="323" t="e">
        <f>'Расчет базового уровня'!AQ35</f>
        <v>#N/A</v>
      </c>
      <c r="AF35" s="327" t="e">
        <f>AF38+AF62+AF65+AF68-AF71</f>
        <v>#N/A</v>
      </c>
      <c r="AG35" s="74"/>
      <c r="AH35" s="74"/>
      <c r="AI35" s="74"/>
      <c r="AJ35" s="74"/>
      <c r="AK35" s="74"/>
      <c r="AL35" s="74"/>
      <c r="AM35" s="74"/>
      <c r="AN35" s="74"/>
      <c r="AO35" s="74"/>
      <c r="AP35" s="74"/>
      <c r="AQ35" s="74"/>
      <c r="AR35" s="74"/>
      <c r="AS35" s="74"/>
      <c r="AT35" s="74"/>
      <c r="AU35" s="74"/>
    </row>
    <row r="36" spans="1:55" ht="11.25" customHeight="1" x14ac:dyDescent="0.25">
      <c r="A36" s="307" t="s">
        <v>1339</v>
      </c>
      <c r="B36" s="304" t="s">
        <v>842</v>
      </c>
      <c r="C36" s="308"/>
      <c r="D36" s="308" t="e">
        <f>C35-D35</f>
        <v>#N/A</v>
      </c>
      <c r="E36" s="74"/>
      <c r="F36" s="74"/>
      <c r="G36" s="307" t="s">
        <v>1339</v>
      </c>
      <c r="H36" s="304" t="s">
        <v>842</v>
      </c>
      <c r="I36" s="308"/>
      <c r="J36" s="308" t="e">
        <f>I35-J35</f>
        <v>#N/A</v>
      </c>
      <c r="K36" s="308"/>
      <c r="L36" s="308" t="e">
        <f>K35-L35</f>
        <v>#N/A</v>
      </c>
      <c r="M36" s="308"/>
      <c r="N36" s="308" t="e">
        <f>M35-N35</f>
        <v>#N/A</v>
      </c>
      <c r="O36" s="308"/>
      <c r="P36" s="308" t="e">
        <f>O35-P35</f>
        <v>#N/A</v>
      </c>
      <c r="Q36" s="308"/>
      <c r="R36" s="308" t="e">
        <f>Q35-R35</f>
        <v>#N/A</v>
      </c>
      <c r="S36" s="308"/>
      <c r="T36" s="308" t="e">
        <f>S35-T35</f>
        <v>#N/A</v>
      </c>
      <c r="U36" s="308"/>
      <c r="V36" s="308" t="e">
        <f>U35-V35</f>
        <v>#N/A</v>
      </c>
      <c r="W36" s="308"/>
      <c r="X36" s="308" t="e">
        <f>W35-X35</f>
        <v>#N/A</v>
      </c>
      <c r="Y36" s="308"/>
      <c r="Z36" s="308" t="e">
        <f>Y35-Z35</f>
        <v>#N/A</v>
      </c>
      <c r="AA36" s="308"/>
      <c r="AB36" s="308" t="e">
        <f>AA35-AB35</f>
        <v>#N/A</v>
      </c>
      <c r="AC36" s="308"/>
      <c r="AD36" s="308" t="e">
        <f>AC35-AD35</f>
        <v>#N/A</v>
      </c>
      <c r="AE36" s="308"/>
      <c r="AF36" s="308" t="e">
        <f>AE35-AF35</f>
        <v>#N/A</v>
      </c>
      <c r="AG36" s="74"/>
      <c r="AH36" s="74"/>
      <c r="AI36" s="74"/>
      <c r="AJ36" s="74"/>
      <c r="AK36" s="74"/>
      <c r="AL36" s="74"/>
      <c r="AM36" s="74"/>
      <c r="AN36" s="74"/>
      <c r="AO36" s="74"/>
      <c r="AP36" s="74"/>
      <c r="AQ36" s="74"/>
      <c r="AR36" s="74"/>
      <c r="AS36" s="74"/>
      <c r="AT36" s="74"/>
      <c r="AU36" s="74"/>
    </row>
    <row r="37" spans="1:55" ht="15.75" thickBot="1" x14ac:dyDescent="0.3">
      <c r="A37" s="307" t="s">
        <v>874</v>
      </c>
      <c r="B37" s="309" t="s">
        <v>1181</v>
      </c>
      <c r="C37" s="310"/>
      <c r="D37" s="310">
        <f>IF(C35=0,0,D36/C35)</f>
        <v>0</v>
      </c>
      <c r="E37" s="74"/>
      <c r="F37" s="74"/>
      <c r="G37" s="307" t="s">
        <v>874</v>
      </c>
      <c r="H37" s="309" t="s">
        <v>1181</v>
      </c>
      <c r="I37" s="310"/>
      <c r="J37" s="310" t="e">
        <f>IF(I35=0,0,J36/I35)</f>
        <v>#N/A</v>
      </c>
      <c r="K37" s="310"/>
      <c r="L37" s="310" t="e">
        <f>IF(K35=0,0,L36/K35)</f>
        <v>#N/A</v>
      </c>
      <c r="M37" s="310"/>
      <c r="N37" s="310" t="e">
        <f>IF(M35=0,0,N36/M35)</f>
        <v>#N/A</v>
      </c>
      <c r="O37" s="310"/>
      <c r="P37" s="310" t="e">
        <f>IF(O35=0,0,P36/O35)</f>
        <v>#N/A</v>
      </c>
      <c r="Q37" s="310"/>
      <c r="R37" s="310" t="e">
        <f>IF(Q35=0,0,R36/Q35)</f>
        <v>#N/A</v>
      </c>
      <c r="S37" s="310"/>
      <c r="T37" s="310" t="e">
        <f>IF(S35=0,0,T36/S35)</f>
        <v>#N/A</v>
      </c>
      <c r="U37" s="310"/>
      <c r="V37" s="310" t="e">
        <f>IF(U35=0,0,V36/U35)</f>
        <v>#N/A</v>
      </c>
      <c r="W37" s="310"/>
      <c r="X37" s="310" t="e">
        <f>IF(W35=0,0,X36/W35)</f>
        <v>#N/A</v>
      </c>
      <c r="Y37" s="310"/>
      <c r="Z37" s="310" t="e">
        <f>IF(Y35=0,0,Z36/Y35)</f>
        <v>#N/A</v>
      </c>
      <c r="AA37" s="310"/>
      <c r="AB37" s="310" t="e">
        <f>IF(AA35=0,0,AB36/AA35)</f>
        <v>#N/A</v>
      </c>
      <c r="AC37" s="310"/>
      <c r="AD37" s="310" t="e">
        <f>IF(AC35=0,0,AD36/AC35)</f>
        <v>#N/A</v>
      </c>
      <c r="AE37" s="310"/>
      <c r="AF37" s="310" t="e">
        <f>IF(AE35=0,0,AF36/AE35)</f>
        <v>#N/A</v>
      </c>
      <c r="AG37" s="74"/>
      <c r="AH37" s="74"/>
      <c r="AI37" s="74"/>
      <c r="AJ37" s="74"/>
      <c r="AK37" s="74"/>
      <c r="AL37" s="74"/>
      <c r="AM37" s="74"/>
      <c r="AN37" s="74"/>
      <c r="AO37" s="74"/>
      <c r="AP37" s="74"/>
      <c r="AQ37" s="74"/>
      <c r="AR37" s="74"/>
      <c r="AS37" s="74"/>
      <c r="AT37" s="74"/>
      <c r="AU37" s="74"/>
    </row>
    <row r="38" spans="1:55" ht="29.25" customHeight="1" x14ac:dyDescent="0.25">
      <c r="A38" s="329" t="s">
        <v>1195</v>
      </c>
      <c r="B38" s="322" t="s">
        <v>842</v>
      </c>
      <c r="C38" s="323" t="e">
        <f>'Расчет базового уровня'!D38</f>
        <v>#N/A</v>
      </c>
      <c r="D38" s="330" t="e">
        <f>D41+D44+D47+D50+D53+D56+D59</f>
        <v>#N/A</v>
      </c>
      <c r="E38" s="74"/>
      <c r="F38" s="74"/>
      <c r="G38" s="325" t="s">
        <v>1196</v>
      </c>
      <c r="H38" s="331" t="s">
        <v>842</v>
      </c>
      <c r="I38" s="323" t="e">
        <f>'Расчет базового уровня'!J38</f>
        <v>#N/A</v>
      </c>
      <c r="J38" s="330" t="e">
        <f>J41+J44+J47+J50+J53+J56+J59</f>
        <v>#N/A</v>
      </c>
      <c r="K38" s="323" t="e">
        <f>'Расчет базового уровня'!M38</f>
        <v>#N/A</v>
      </c>
      <c r="L38" s="330" t="e">
        <f>L41+L44+L47+L50+L53+L56+L59</f>
        <v>#N/A</v>
      </c>
      <c r="M38" s="323" t="e">
        <f>'Расчет базового уровня'!P38</f>
        <v>#N/A</v>
      </c>
      <c r="N38" s="330" t="e">
        <f>N41+N44+N47+N50+N53+N56+N59</f>
        <v>#N/A</v>
      </c>
      <c r="O38" s="323" t="e">
        <f>'Расчет базового уровня'!S38</f>
        <v>#N/A</v>
      </c>
      <c r="P38" s="330" t="e">
        <f>P41+P44+P47+P50+P53+P56+P59</f>
        <v>#N/A</v>
      </c>
      <c r="Q38" s="323">
        <f>'Расчет базового уровня'!V38</f>
        <v>0</v>
      </c>
      <c r="R38" s="330" t="e">
        <f>R41+R44+R47+R50+R53+R56+R59</f>
        <v>#N/A</v>
      </c>
      <c r="S38" s="323">
        <f>'Расчет базового уровня'!Y38</f>
        <v>0</v>
      </c>
      <c r="T38" s="330" t="e">
        <f>T41+T44+T47+T50+T53+T56+T59</f>
        <v>#N/A</v>
      </c>
      <c r="U38" s="323">
        <f>'Расчет базового уровня'!AB38</f>
        <v>0</v>
      </c>
      <c r="V38" s="330" t="e">
        <f>V41+V44+V47+V50+V53+V56+V59</f>
        <v>#N/A</v>
      </c>
      <c r="W38" s="323">
        <f>'Расчет базового уровня'!AE38</f>
        <v>0</v>
      </c>
      <c r="X38" s="330" t="e">
        <f>X41+X44+X47+X50+X53+X56+X59</f>
        <v>#N/A</v>
      </c>
      <c r="Y38" s="323">
        <f>'Расчет базового уровня'!AH38</f>
        <v>0</v>
      </c>
      <c r="Z38" s="330" t="e">
        <f>Z41+Z44+Z47+Z50+Z53+Z56+Z59</f>
        <v>#N/A</v>
      </c>
      <c r="AA38" s="323">
        <f>'Расчет базового уровня'!AK38</f>
        <v>0</v>
      </c>
      <c r="AB38" s="330" t="e">
        <f>AB41+AB44+AB47+AB50+AB53+AB56+AB59</f>
        <v>#N/A</v>
      </c>
      <c r="AC38" s="323">
        <f>'Расчет базового уровня'!AN38</f>
        <v>0</v>
      </c>
      <c r="AD38" s="330" t="e">
        <f>AD41+AD44+AD47+AD50+AD53+AD56+AD59</f>
        <v>#N/A</v>
      </c>
      <c r="AE38" s="323">
        <f>'Расчет базового уровня'!AQ38</f>
        <v>0</v>
      </c>
      <c r="AF38" s="330" t="e">
        <f>AF41+AF44+AF47+AF50+AF53+AF56+AF59</f>
        <v>#N/A</v>
      </c>
      <c r="AG38" s="74"/>
      <c r="AH38" s="74"/>
      <c r="AI38" s="74"/>
      <c r="AJ38" s="74"/>
      <c r="AK38" s="74"/>
      <c r="AL38" s="74"/>
      <c r="AM38" s="74"/>
      <c r="AN38" s="74"/>
      <c r="AO38" s="74"/>
      <c r="AP38" s="74"/>
      <c r="AQ38" s="74"/>
      <c r="AR38" s="74"/>
      <c r="AS38" s="74"/>
      <c r="AT38" s="74"/>
      <c r="AU38" s="74"/>
    </row>
    <row r="39" spans="1:55" x14ac:dyDescent="0.25">
      <c r="A39" s="307" t="s">
        <v>1339</v>
      </c>
      <c r="B39" s="304" t="s">
        <v>842</v>
      </c>
      <c r="C39" s="308"/>
      <c r="D39" s="308" t="e">
        <f>C38-D38</f>
        <v>#N/A</v>
      </c>
      <c r="E39" s="74"/>
      <c r="F39" s="74"/>
      <c r="G39" s="307" t="s">
        <v>1339</v>
      </c>
      <c r="H39" s="304" t="s">
        <v>842</v>
      </c>
      <c r="I39" s="308"/>
      <c r="J39" s="308" t="e">
        <f>I38-J38</f>
        <v>#N/A</v>
      </c>
      <c r="K39" s="308"/>
      <c r="L39" s="308" t="e">
        <f>K38-L38</f>
        <v>#N/A</v>
      </c>
      <c r="M39" s="308"/>
      <c r="N39" s="308" t="e">
        <f>M38-N38</f>
        <v>#N/A</v>
      </c>
      <c r="O39" s="308"/>
      <c r="P39" s="308" t="e">
        <f>O38-P38</f>
        <v>#N/A</v>
      </c>
      <c r="Q39" s="308"/>
      <c r="R39" s="308" t="e">
        <f>Q38-R38</f>
        <v>#N/A</v>
      </c>
      <c r="S39" s="308"/>
      <c r="T39" s="308" t="e">
        <f>S38-T38</f>
        <v>#N/A</v>
      </c>
      <c r="U39" s="308"/>
      <c r="V39" s="308" t="e">
        <f>U38-V38</f>
        <v>#N/A</v>
      </c>
      <c r="W39" s="308"/>
      <c r="X39" s="308" t="e">
        <f>W38-X38</f>
        <v>#N/A</v>
      </c>
      <c r="Y39" s="308"/>
      <c r="Z39" s="308" t="e">
        <f>Y38-Z38</f>
        <v>#N/A</v>
      </c>
      <c r="AA39" s="308"/>
      <c r="AB39" s="308" t="e">
        <f>AA38-AB38</f>
        <v>#N/A</v>
      </c>
      <c r="AC39" s="308"/>
      <c r="AD39" s="308" t="e">
        <f>AC38-AD38</f>
        <v>#N/A</v>
      </c>
      <c r="AE39" s="308"/>
      <c r="AF39" s="308" t="e">
        <f>AE38-AF38</f>
        <v>#N/A</v>
      </c>
      <c r="AG39" s="74"/>
      <c r="AH39" s="74"/>
      <c r="AI39" s="74"/>
      <c r="AJ39" s="74"/>
      <c r="AK39" s="74"/>
      <c r="AL39" s="74"/>
      <c r="AM39" s="74"/>
      <c r="AN39" s="74"/>
      <c r="AO39" s="74"/>
      <c r="AP39" s="74"/>
      <c r="AQ39" s="74"/>
      <c r="AR39" s="74"/>
      <c r="AS39" s="74"/>
      <c r="AT39" s="74"/>
      <c r="AU39" s="74"/>
    </row>
    <row r="40" spans="1:55" ht="15.75" thickBot="1" x14ac:dyDescent="0.3">
      <c r="A40" s="307" t="s">
        <v>874</v>
      </c>
      <c r="B40" s="309" t="s">
        <v>1181</v>
      </c>
      <c r="C40" s="310"/>
      <c r="D40" s="310" t="e">
        <f>IF(C38=0,0,D39/C38)</f>
        <v>#N/A</v>
      </c>
      <c r="E40" s="74"/>
      <c r="F40" s="74"/>
      <c r="G40" s="307" t="s">
        <v>874</v>
      </c>
      <c r="H40" s="309" t="s">
        <v>1181</v>
      </c>
      <c r="I40" s="310"/>
      <c r="J40" s="310" t="e">
        <f>IF(I38=0,0,J39/I38)</f>
        <v>#N/A</v>
      </c>
      <c r="K40" s="310"/>
      <c r="L40" s="310" t="e">
        <f>IF(K38=0,0,L39/K38)</f>
        <v>#N/A</v>
      </c>
      <c r="M40" s="310"/>
      <c r="N40" s="310" t="e">
        <f>IF(M38=0,0,N39/M38)</f>
        <v>#N/A</v>
      </c>
      <c r="O40" s="310"/>
      <c r="P40" s="310" t="e">
        <f>IF(O38=0,0,P39/O38)</f>
        <v>#N/A</v>
      </c>
      <c r="Q40" s="310"/>
      <c r="R40" s="310">
        <f>IF(Q38=0,0,R39/Q38)</f>
        <v>0</v>
      </c>
      <c r="S40" s="310"/>
      <c r="T40" s="310">
        <f>IF(S38=0,0,T39/S38)</f>
        <v>0</v>
      </c>
      <c r="U40" s="310"/>
      <c r="V40" s="310">
        <f>IF(U38=0,0,V39/U38)</f>
        <v>0</v>
      </c>
      <c r="W40" s="310"/>
      <c r="X40" s="310">
        <f>IF(W38=0,0,X39/W38)</f>
        <v>0</v>
      </c>
      <c r="Y40" s="310"/>
      <c r="Z40" s="310">
        <f>IF(Y38=0,0,Z39/Y38)</f>
        <v>0</v>
      </c>
      <c r="AA40" s="310"/>
      <c r="AB40" s="310">
        <f>IF(AA38=0,0,AB39/AA38)</f>
        <v>0</v>
      </c>
      <c r="AC40" s="310"/>
      <c r="AD40" s="310">
        <f>IF(AC38=0,0,AD39/AC38)</f>
        <v>0</v>
      </c>
      <c r="AE40" s="310"/>
      <c r="AF40" s="310">
        <f>IF(AE38=0,0,AF39/AE38)</f>
        <v>0</v>
      </c>
      <c r="AG40" s="74"/>
      <c r="AH40" s="74"/>
      <c r="AI40" s="74"/>
      <c r="AJ40" s="74"/>
      <c r="AK40" s="74"/>
      <c r="AL40" s="74"/>
      <c r="AM40" s="74"/>
      <c r="AN40" s="74"/>
      <c r="AO40" s="74"/>
      <c r="AP40" s="74"/>
      <c r="AQ40" s="74"/>
      <c r="AR40" s="74"/>
      <c r="AS40" s="74"/>
      <c r="AT40" s="74"/>
      <c r="AU40" s="74"/>
    </row>
    <row r="41" spans="1:55" ht="15.75" customHeight="1" x14ac:dyDescent="0.25">
      <c r="A41" s="332" t="s">
        <v>1197</v>
      </c>
      <c r="B41" s="322" t="s">
        <v>842</v>
      </c>
      <c r="C41" s="323" t="e">
        <f>'Расчет базового уровня'!D41</f>
        <v>#N/A</v>
      </c>
      <c r="D41" s="333" t="e">
        <f>IF(IF(C134=0,0,B134/C134*D134)*0.024*$D$147*(1-D163)&gt;C41,C41,IF(C134=0,0,B134/C134*D134)*0.024*$D$147*(1-D163))</f>
        <v>#N/A</v>
      </c>
      <c r="E41" s="74"/>
      <c r="F41" s="74"/>
      <c r="G41" s="334" t="s">
        <v>1197</v>
      </c>
      <c r="H41" s="326" t="s">
        <v>842</v>
      </c>
      <c r="I41" s="323" t="e">
        <f>'Расчет базового уровня'!J41</f>
        <v>#N/A</v>
      </c>
      <c r="J41" s="335" t="e">
        <f>IF($C134=0,0,MIN($B134/$C134*$D134*0.024*$G$147,I41))</f>
        <v>#N/A</v>
      </c>
      <c r="K41" s="323" t="e">
        <f>'Расчет базового уровня'!M41</f>
        <v>#N/A</v>
      </c>
      <c r="L41" s="335" t="e">
        <f>IF($C134=0,0,MIN($B134/$C134*$D134*0.024*$H$147,K41))</f>
        <v>#N/A</v>
      </c>
      <c r="M41" s="323" t="e">
        <f>'Расчет базового уровня'!P41</f>
        <v>#N/A</v>
      </c>
      <c r="N41" s="335" t="e">
        <f>IF($C134=0,0,MIN($B134/$C134*$D134*0.024*$I$147,M41))</f>
        <v>#N/A</v>
      </c>
      <c r="O41" s="323" t="e">
        <f>'Расчет базового уровня'!S41</f>
        <v>#N/A</v>
      </c>
      <c r="P41" s="335" t="e">
        <f>IF($C134=0,0,MIN($B134/$C134*$D134*0.024*$J$147,O41))</f>
        <v>#N/A</v>
      </c>
      <c r="Q41" s="323">
        <f>'Расчет базового уровня'!V41</f>
        <v>0</v>
      </c>
      <c r="R41" s="335" t="e">
        <f>IF($C134=0,0,MIN($B134/$C134*$D134*0.024*$K$147,Q41))</f>
        <v>#N/A</v>
      </c>
      <c r="S41" s="323">
        <f>'Расчет базового уровня'!Y41</f>
        <v>0</v>
      </c>
      <c r="T41" s="335" t="e">
        <f>IF($C134=0,0,MIN($B134/$C134*$D134*0.024*$L$147,S41))</f>
        <v>#N/A</v>
      </c>
      <c r="U41" s="323">
        <f>'Расчет базового уровня'!AB41</f>
        <v>0</v>
      </c>
      <c r="V41" s="335" t="e">
        <f>IF($C134=0,0,MIN($B134/$C134*$D134*0.024*$M$147,U41))</f>
        <v>#N/A</v>
      </c>
      <c r="W41" s="323">
        <f>'Расчет базового уровня'!AE41</f>
        <v>0</v>
      </c>
      <c r="X41" s="335" t="e">
        <f>IF($C134=0,0,MIN($B134/$C134*$D134*0.024*$N$147,W41))</f>
        <v>#N/A</v>
      </c>
      <c r="Y41" s="323">
        <f>'Расчет базового уровня'!AH41</f>
        <v>0</v>
      </c>
      <c r="Z41" s="335" t="e">
        <f>IF($C134=0,0,MIN($B134/$C134*$D134*0.024*$O$147,Y41))</f>
        <v>#N/A</v>
      </c>
      <c r="AA41" s="323" t="e">
        <f>'Расчет базового уровня'!AK41</f>
        <v>#N/A</v>
      </c>
      <c r="AB41" s="335" t="e">
        <f>IF($C134=0,0,MIN($B134/$C134*$D134*0.024*$P$147,AA41))</f>
        <v>#N/A</v>
      </c>
      <c r="AC41" s="323" t="e">
        <f>'Расчет базового уровня'!AN41</f>
        <v>#N/A</v>
      </c>
      <c r="AD41" s="335" t="e">
        <f>IF($C134=0,0,MIN($B134/$C134*$D134*0.024*$Q$147,AC41))</f>
        <v>#N/A</v>
      </c>
      <c r="AE41" s="323" t="e">
        <f>'Расчет базового уровня'!AQ41</f>
        <v>#N/A</v>
      </c>
      <c r="AF41" s="335" t="e">
        <f>IF($C134=0,0,MIN($B134/$C134*$D134*0.024*$R$147,AE41))</f>
        <v>#N/A</v>
      </c>
      <c r="AG41" s="74"/>
      <c r="AH41" s="74"/>
      <c r="AI41" s="74"/>
      <c r="AJ41" s="74"/>
      <c r="AK41" s="74"/>
      <c r="AL41" s="74"/>
      <c r="AM41" s="74"/>
      <c r="AN41" s="74"/>
      <c r="AO41" s="74"/>
      <c r="AP41" s="74"/>
      <c r="AQ41" s="74"/>
      <c r="AR41" s="74"/>
      <c r="AS41" s="74"/>
      <c r="AT41" s="74"/>
      <c r="AU41" s="74"/>
      <c r="AV41" s="260"/>
      <c r="AW41" s="336"/>
      <c r="AX41" s="337"/>
      <c r="AY41" s="260"/>
      <c r="AZ41" s="336"/>
      <c r="BA41" s="337"/>
      <c r="BB41" s="260"/>
      <c r="BC41" s="336"/>
    </row>
    <row r="42" spans="1:55" ht="14.25" customHeight="1" x14ac:dyDescent="0.25">
      <c r="A42" s="307" t="s">
        <v>1339</v>
      </c>
      <c r="B42" s="304" t="s">
        <v>842</v>
      </c>
      <c r="C42" s="308"/>
      <c r="D42" s="308" t="e">
        <f>C41-D41</f>
        <v>#N/A</v>
      </c>
      <c r="E42" s="74"/>
      <c r="F42" s="74"/>
      <c r="G42" s="307" t="s">
        <v>1339</v>
      </c>
      <c r="H42" s="304" t="s">
        <v>842</v>
      </c>
      <c r="I42" s="308"/>
      <c r="J42" s="308" t="e">
        <f>I41-J41</f>
        <v>#N/A</v>
      </c>
      <c r="K42" s="308"/>
      <c r="L42" s="308" t="e">
        <f>K41-L41</f>
        <v>#N/A</v>
      </c>
      <c r="M42" s="308"/>
      <c r="N42" s="308" t="e">
        <f>M41-N41</f>
        <v>#N/A</v>
      </c>
      <c r="O42" s="308"/>
      <c r="P42" s="308" t="e">
        <f>O41-P41</f>
        <v>#N/A</v>
      </c>
      <c r="Q42" s="308"/>
      <c r="R42" s="308" t="e">
        <f>Q41-R41</f>
        <v>#N/A</v>
      </c>
      <c r="S42" s="308"/>
      <c r="T42" s="308" t="e">
        <f>S41-T41</f>
        <v>#N/A</v>
      </c>
      <c r="U42" s="308"/>
      <c r="V42" s="308" t="e">
        <f>U41-V41</f>
        <v>#N/A</v>
      </c>
      <c r="W42" s="308"/>
      <c r="X42" s="308" t="e">
        <f>W41-X41</f>
        <v>#N/A</v>
      </c>
      <c r="Y42" s="308"/>
      <c r="Z42" s="308" t="e">
        <f>Y41-Z41</f>
        <v>#N/A</v>
      </c>
      <c r="AA42" s="308"/>
      <c r="AB42" s="308" t="e">
        <f>AA41-AB41</f>
        <v>#N/A</v>
      </c>
      <c r="AC42" s="308"/>
      <c r="AD42" s="308" t="e">
        <f>AC41-AD41</f>
        <v>#N/A</v>
      </c>
      <c r="AE42" s="308"/>
      <c r="AF42" s="308" t="e">
        <f>AE41-AF41</f>
        <v>#N/A</v>
      </c>
      <c r="AG42" s="74"/>
      <c r="AH42" s="74"/>
      <c r="AI42" s="74"/>
      <c r="AJ42" s="74"/>
      <c r="AK42" s="74"/>
      <c r="AL42" s="74"/>
      <c r="AM42" s="74"/>
      <c r="AN42" s="74"/>
      <c r="AO42" s="74"/>
      <c r="AP42" s="74"/>
      <c r="AQ42" s="74"/>
      <c r="AR42" s="74"/>
      <c r="AS42" s="74"/>
      <c r="AT42" s="74"/>
      <c r="AU42" s="74"/>
      <c r="AV42" s="253"/>
      <c r="AW42" s="338"/>
      <c r="AX42" s="339"/>
      <c r="AY42" s="253"/>
      <c r="AZ42" s="338"/>
      <c r="BA42" s="339"/>
      <c r="BB42" s="253"/>
      <c r="BC42" s="338"/>
    </row>
    <row r="43" spans="1:55" ht="15.75" thickBot="1" x14ac:dyDescent="0.3">
      <c r="A43" s="307" t="s">
        <v>874</v>
      </c>
      <c r="B43" s="309" t="s">
        <v>1181</v>
      </c>
      <c r="C43" s="310"/>
      <c r="D43" s="310" t="e">
        <f>IF(C41=0,0,D42/C41)</f>
        <v>#N/A</v>
      </c>
      <c r="E43" s="74"/>
      <c r="F43" s="74"/>
      <c r="G43" s="307" t="s">
        <v>874</v>
      </c>
      <c r="H43" s="309" t="s">
        <v>1181</v>
      </c>
      <c r="I43" s="310"/>
      <c r="J43" s="310" t="e">
        <f>IF(I41=0,0,J42/I41)</f>
        <v>#N/A</v>
      </c>
      <c r="K43" s="310"/>
      <c r="L43" s="310" t="e">
        <f>IF(K41=0,0,L42/K41)</f>
        <v>#N/A</v>
      </c>
      <c r="M43" s="310"/>
      <c r="N43" s="310" t="e">
        <f>IF(M41=0,0,N42/M41)</f>
        <v>#N/A</v>
      </c>
      <c r="O43" s="310"/>
      <c r="P43" s="310" t="e">
        <f>IF(O41=0,0,P42/O41)</f>
        <v>#N/A</v>
      </c>
      <c r="Q43" s="310"/>
      <c r="R43" s="310">
        <f>IF(Q41=0,0,R42/Q41)</f>
        <v>0</v>
      </c>
      <c r="S43" s="310"/>
      <c r="T43" s="310">
        <f>IF(S41=0,0,T42/S41)</f>
        <v>0</v>
      </c>
      <c r="U43" s="310"/>
      <c r="V43" s="310">
        <f>IF(U41=0,0,V42/U41)</f>
        <v>0</v>
      </c>
      <c r="W43" s="310"/>
      <c r="X43" s="310">
        <f>IF(W41=0,0,X42/W41)</f>
        <v>0</v>
      </c>
      <c r="Y43" s="310"/>
      <c r="Z43" s="310">
        <f>IF(Y41=0,0,Z42/Y41)</f>
        <v>0</v>
      </c>
      <c r="AA43" s="310"/>
      <c r="AB43" s="310" t="e">
        <f>IF(AA41=0,0,AB42/AA41)</f>
        <v>#N/A</v>
      </c>
      <c r="AC43" s="310"/>
      <c r="AD43" s="310" t="e">
        <f>IF(AC41=0,0,AD42/AC41)</f>
        <v>#N/A</v>
      </c>
      <c r="AE43" s="310"/>
      <c r="AF43" s="310" t="e">
        <f>IF(AE41=0,0,AF42/AE41)</f>
        <v>#N/A</v>
      </c>
      <c r="AG43" s="74"/>
      <c r="AH43" s="74"/>
      <c r="AI43" s="74"/>
      <c r="AJ43" s="74"/>
      <c r="AK43" s="74"/>
      <c r="AL43" s="74"/>
      <c r="AM43" s="74"/>
      <c r="AN43" s="74"/>
      <c r="AO43" s="74"/>
      <c r="AP43" s="74"/>
      <c r="AQ43" s="74"/>
      <c r="AR43" s="74"/>
      <c r="AS43" s="74"/>
      <c r="AT43" s="74"/>
      <c r="AU43" s="74"/>
      <c r="AV43" s="93"/>
      <c r="AW43" s="340"/>
      <c r="AX43" s="341"/>
      <c r="AY43" s="93"/>
      <c r="AZ43" s="340"/>
      <c r="BA43" s="341"/>
      <c r="BB43" s="93"/>
      <c r="BC43" s="340"/>
    </row>
    <row r="44" spans="1:55" ht="15.75" customHeight="1" x14ac:dyDescent="0.25">
      <c r="A44" s="332" t="s">
        <v>1199</v>
      </c>
      <c r="B44" s="322" t="s">
        <v>842</v>
      </c>
      <c r="C44" s="323" t="e">
        <f>'Расчет базового уровня'!D44</f>
        <v>#N/A</v>
      </c>
      <c r="D44" s="333" t="e">
        <f>IF(IF(C135=0,0,B135/C135*D135)*0.024*$D$147&gt;C44,C44,IF(C135=0,0,B135/C135*D135)*0.024*$D$147)</f>
        <v>#N/A</v>
      </c>
      <c r="E44" s="74"/>
      <c r="F44" s="74"/>
      <c r="G44" s="334" t="s">
        <v>1199</v>
      </c>
      <c r="H44" s="326" t="s">
        <v>842</v>
      </c>
      <c r="I44" s="323" t="e">
        <f>'Расчет базового уровня'!J44</f>
        <v>#N/A</v>
      </c>
      <c r="J44" s="335" t="e">
        <f>IF($C135=0,0,MIN($B135/$C135*$D135*0.024*$G$147,I44))</f>
        <v>#N/A</v>
      </c>
      <c r="K44" s="323" t="e">
        <f>'Расчет базового уровня'!M44</f>
        <v>#N/A</v>
      </c>
      <c r="L44" s="335" t="e">
        <f>IF($C135=0,0,MIN($B135/$C135*$D135*0.024*$H$147,K44))</f>
        <v>#N/A</v>
      </c>
      <c r="M44" s="323" t="e">
        <f>'Расчет базового уровня'!P44</f>
        <v>#N/A</v>
      </c>
      <c r="N44" s="335" t="e">
        <f>IF($C135=0,0,MIN($B135/$C135*$D135*0.024*$I$147,M44))</f>
        <v>#N/A</v>
      </c>
      <c r="O44" s="323" t="e">
        <f>'Расчет базового уровня'!S44</f>
        <v>#N/A</v>
      </c>
      <c r="P44" s="335" t="e">
        <f>IF($C135=0,0,MIN($B135/$C135*$D135*0.024*$J$147,O44))</f>
        <v>#N/A</v>
      </c>
      <c r="Q44" s="323">
        <f>'Расчет базового уровня'!V44</f>
        <v>0</v>
      </c>
      <c r="R44" s="335" t="e">
        <f>IF($C135=0,0,MIN($B135/$C135*$D135*0.024*$K$147,Q44))</f>
        <v>#N/A</v>
      </c>
      <c r="S44" s="323">
        <f>'Расчет базового уровня'!Y44</f>
        <v>0</v>
      </c>
      <c r="T44" s="335" t="e">
        <f>IF($C135=0,0,MIN($B135/$C135*$D135*0.024*$L$147,S44))</f>
        <v>#N/A</v>
      </c>
      <c r="U44" s="323">
        <f>'Расчет базового уровня'!AB44</f>
        <v>0</v>
      </c>
      <c r="V44" s="335" t="e">
        <f>IF($C135=0,0,MIN($B135/$C135*$D135*0.024*$M$147,U44))</f>
        <v>#N/A</v>
      </c>
      <c r="W44" s="323">
        <f>'Расчет базового уровня'!AE44</f>
        <v>0</v>
      </c>
      <c r="X44" s="335" t="e">
        <f>IF($C135=0,0,MIN($B135/$C135*$D135*0.024*$N$147,W44))</f>
        <v>#N/A</v>
      </c>
      <c r="Y44" s="323">
        <f>'Расчет базового уровня'!AH44</f>
        <v>0</v>
      </c>
      <c r="Z44" s="335" t="e">
        <f>IF($C135=0,0,MIN($B135/$C135*$D135*0.024*$O$147,Y44))</f>
        <v>#N/A</v>
      </c>
      <c r="AA44" s="323" t="e">
        <f>'Расчет базового уровня'!AK44</f>
        <v>#N/A</v>
      </c>
      <c r="AB44" s="335" t="e">
        <f>IF($C135=0,0,MIN($B135/$C135*$D135*0.024*$P$147,AA44))</f>
        <v>#N/A</v>
      </c>
      <c r="AC44" s="323" t="e">
        <f>'Расчет базового уровня'!AN44</f>
        <v>#N/A</v>
      </c>
      <c r="AD44" s="335" t="e">
        <f>IF($C135=0,0,MIN($B135/$C135*$D135*0.024*$Q$147,AC44))</f>
        <v>#N/A</v>
      </c>
      <c r="AE44" s="323" t="e">
        <f>'Расчет базового уровня'!AQ44</f>
        <v>#N/A</v>
      </c>
      <c r="AF44" s="335" t="e">
        <f>IF($C135=0,0,MIN($B135/$C135*$D135*0.024*$R$147,AE44))</f>
        <v>#N/A</v>
      </c>
      <c r="AG44" s="74"/>
      <c r="AH44" s="74"/>
      <c r="AI44" s="74"/>
      <c r="AJ44" s="74"/>
      <c r="AK44" s="74"/>
      <c r="AL44" s="74"/>
      <c r="AM44" s="74"/>
      <c r="AN44" s="74"/>
      <c r="AO44" s="74"/>
      <c r="AP44" s="74"/>
      <c r="AQ44" s="74"/>
      <c r="AR44" s="74"/>
      <c r="AS44" s="74"/>
      <c r="AT44" s="74"/>
      <c r="AU44" s="74"/>
      <c r="AV44" s="260"/>
      <c r="AW44" s="336"/>
      <c r="AX44" s="337"/>
      <c r="AY44" s="260"/>
      <c r="AZ44" s="336"/>
      <c r="BA44" s="337"/>
      <c r="BB44" s="260"/>
      <c r="BC44" s="336"/>
    </row>
    <row r="45" spans="1:55" x14ac:dyDescent="0.25">
      <c r="A45" s="307" t="s">
        <v>1339</v>
      </c>
      <c r="B45" s="304" t="s">
        <v>842</v>
      </c>
      <c r="C45" s="308"/>
      <c r="D45" s="308" t="e">
        <f>C44-D44</f>
        <v>#N/A</v>
      </c>
      <c r="E45" s="74"/>
      <c r="F45" s="74"/>
      <c r="G45" s="307" t="s">
        <v>1339</v>
      </c>
      <c r="H45" s="304" t="s">
        <v>842</v>
      </c>
      <c r="I45" s="308"/>
      <c r="J45" s="308" t="e">
        <f>I44-J44</f>
        <v>#N/A</v>
      </c>
      <c r="K45" s="308"/>
      <c r="L45" s="308" t="e">
        <f>K44-L44</f>
        <v>#N/A</v>
      </c>
      <c r="M45" s="308"/>
      <c r="N45" s="308" t="e">
        <f>M44-N44</f>
        <v>#N/A</v>
      </c>
      <c r="O45" s="308"/>
      <c r="P45" s="308" t="e">
        <f>O44-P44</f>
        <v>#N/A</v>
      </c>
      <c r="Q45" s="308"/>
      <c r="R45" s="308" t="e">
        <f>Q44-R44</f>
        <v>#N/A</v>
      </c>
      <c r="S45" s="308"/>
      <c r="T45" s="308" t="e">
        <f>S44-T44</f>
        <v>#N/A</v>
      </c>
      <c r="U45" s="308"/>
      <c r="V45" s="308" t="e">
        <f>U44-V44</f>
        <v>#N/A</v>
      </c>
      <c r="W45" s="308"/>
      <c r="X45" s="308" t="e">
        <f>W44-X44</f>
        <v>#N/A</v>
      </c>
      <c r="Y45" s="308"/>
      <c r="Z45" s="308" t="e">
        <f>Y44-Z44</f>
        <v>#N/A</v>
      </c>
      <c r="AA45" s="308"/>
      <c r="AB45" s="308" t="e">
        <f>AA44-AB44</f>
        <v>#N/A</v>
      </c>
      <c r="AC45" s="308"/>
      <c r="AD45" s="308" t="e">
        <f>AC44-AD44</f>
        <v>#N/A</v>
      </c>
      <c r="AE45" s="308"/>
      <c r="AF45" s="308" t="e">
        <f>AE44-AF44</f>
        <v>#N/A</v>
      </c>
      <c r="AG45" s="74"/>
      <c r="AH45" s="74"/>
      <c r="AI45" s="74"/>
      <c r="AJ45" s="74"/>
      <c r="AK45" s="74"/>
      <c r="AL45" s="74"/>
      <c r="AM45" s="74"/>
      <c r="AN45" s="74"/>
      <c r="AO45" s="74"/>
      <c r="AP45" s="74"/>
      <c r="AQ45" s="74"/>
      <c r="AR45" s="74"/>
      <c r="AS45" s="74"/>
      <c r="AT45" s="74"/>
      <c r="AU45" s="74"/>
      <c r="AV45" s="253"/>
      <c r="AW45" s="338"/>
      <c r="AX45" s="339"/>
      <c r="AY45" s="253"/>
      <c r="AZ45" s="338"/>
      <c r="BA45" s="339"/>
      <c r="BB45" s="253"/>
      <c r="BC45" s="338"/>
    </row>
    <row r="46" spans="1:55" ht="16.5" customHeight="1" thickBot="1" x14ac:dyDescent="0.3">
      <c r="A46" s="307" t="s">
        <v>874</v>
      </c>
      <c r="B46" s="309" t="s">
        <v>1181</v>
      </c>
      <c r="C46" s="310"/>
      <c r="D46" s="310" t="e">
        <f>IF(C44=0,0,D45/C44)</f>
        <v>#N/A</v>
      </c>
      <c r="E46" s="74"/>
      <c r="F46" s="74"/>
      <c r="G46" s="307" t="s">
        <v>874</v>
      </c>
      <c r="H46" s="309" t="s">
        <v>1181</v>
      </c>
      <c r="I46" s="310"/>
      <c r="J46" s="310" t="e">
        <f>IF(I44=0,0,J45/I44)</f>
        <v>#N/A</v>
      </c>
      <c r="K46" s="310"/>
      <c r="L46" s="310" t="e">
        <f>IF(K44=0,0,L45/K44)</f>
        <v>#N/A</v>
      </c>
      <c r="M46" s="310"/>
      <c r="N46" s="310" t="e">
        <f>IF(M44=0,0,N45/M44)</f>
        <v>#N/A</v>
      </c>
      <c r="O46" s="310"/>
      <c r="P46" s="310" t="e">
        <f>IF(O44=0,0,P45/O44)</f>
        <v>#N/A</v>
      </c>
      <c r="Q46" s="310"/>
      <c r="R46" s="310">
        <f>IF(Q44=0,0,R45/Q44)</f>
        <v>0</v>
      </c>
      <c r="S46" s="310"/>
      <c r="T46" s="310">
        <f>IF(S44=0,0,T45/S44)</f>
        <v>0</v>
      </c>
      <c r="U46" s="310"/>
      <c r="V46" s="310">
        <f>IF(U44=0,0,V45/U44)</f>
        <v>0</v>
      </c>
      <c r="W46" s="310"/>
      <c r="X46" s="310">
        <f>IF(W44=0,0,X45/W44)</f>
        <v>0</v>
      </c>
      <c r="Y46" s="310"/>
      <c r="Z46" s="310">
        <f>IF(Y44=0,0,Z45/Y44)</f>
        <v>0</v>
      </c>
      <c r="AA46" s="310"/>
      <c r="AB46" s="310" t="e">
        <f>IF(AA44=0,0,AB45/AA44)</f>
        <v>#N/A</v>
      </c>
      <c r="AC46" s="310"/>
      <c r="AD46" s="310" t="e">
        <f>IF(AC44=0,0,AD45/AC44)</f>
        <v>#N/A</v>
      </c>
      <c r="AE46" s="310"/>
      <c r="AF46" s="310" t="e">
        <f>IF(AE44=0,0,AF45/AE44)</f>
        <v>#N/A</v>
      </c>
      <c r="AG46" s="74"/>
      <c r="AH46" s="74"/>
      <c r="AI46" s="74"/>
      <c r="AJ46" s="74"/>
      <c r="AK46" s="74"/>
      <c r="AL46" s="74"/>
      <c r="AM46" s="74"/>
      <c r="AN46" s="74"/>
      <c r="AO46" s="74"/>
      <c r="AP46" s="74"/>
      <c r="AQ46" s="74"/>
      <c r="AR46" s="74"/>
      <c r="AS46" s="74"/>
      <c r="AT46" s="74"/>
      <c r="AU46" s="74"/>
      <c r="AV46" s="93"/>
      <c r="AW46" s="340"/>
      <c r="AX46" s="341"/>
      <c r="AY46" s="93"/>
      <c r="AZ46" s="340"/>
      <c r="BA46" s="341"/>
      <c r="BB46" s="93"/>
      <c r="BC46" s="340"/>
    </row>
    <row r="47" spans="1:55" ht="37.5" customHeight="1" x14ac:dyDescent="0.25">
      <c r="A47" s="332" t="s">
        <v>1201</v>
      </c>
      <c r="B47" s="322" t="s">
        <v>842</v>
      </c>
      <c r="C47" s="323" t="e">
        <f>'Расчет базового уровня'!D47</f>
        <v>#DIV/0!</v>
      </c>
      <c r="D47" s="333" t="e">
        <f>IF(IF(C136=0,0,B136/C136*D136)*0.024*$D$147&gt;C47,C47,IF(C136=0,0,B136/C136*D136)*0.024*$D$147)</f>
        <v>#DIV/0!</v>
      </c>
      <c r="E47" s="74"/>
      <c r="F47" s="74"/>
      <c r="G47" s="334" t="s">
        <v>1201</v>
      </c>
      <c r="H47" s="326" t="s">
        <v>842</v>
      </c>
      <c r="I47" s="323" t="e">
        <f>'Расчет базового уровня'!J47</f>
        <v>#DIV/0!</v>
      </c>
      <c r="J47" s="335" t="e">
        <f>IF($C136=0,0,MIN($B136/$C136*$D136*0.024*$G$147,I47))</f>
        <v>#DIV/0!</v>
      </c>
      <c r="K47" s="323" t="e">
        <f>'Расчет базового уровня'!M47</f>
        <v>#DIV/0!</v>
      </c>
      <c r="L47" s="335" t="e">
        <f>IF($C136=0,0,MIN($B136/$C136*$D136*0.024*$H$147,K47))</f>
        <v>#DIV/0!</v>
      </c>
      <c r="M47" s="323" t="e">
        <f>'Расчет базового уровня'!P47</f>
        <v>#DIV/0!</v>
      </c>
      <c r="N47" s="335" t="e">
        <f>IF($C136=0,0,MIN($B136/$C136*$D136*0.024*$I$147,M47))</f>
        <v>#DIV/0!</v>
      </c>
      <c r="O47" s="323" t="e">
        <f>'Расчет базового уровня'!S47</f>
        <v>#DIV/0!</v>
      </c>
      <c r="P47" s="335" t="e">
        <f>IF($C136=0,0,MIN($B136/$C136*$D136*0.024*$J$147,O47))</f>
        <v>#DIV/0!</v>
      </c>
      <c r="Q47" s="323">
        <f>'Расчет базового уровня'!V47</f>
        <v>0</v>
      </c>
      <c r="R47" s="335" t="e">
        <f>IF($C136=0,0,MIN($B136/$C136*$D136*0.024*$K$147,Q47))</f>
        <v>#DIV/0!</v>
      </c>
      <c r="S47" s="323">
        <f>'Расчет базового уровня'!Y47</f>
        <v>0</v>
      </c>
      <c r="T47" s="335" t="e">
        <f>IF($C136=0,0,MIN($B136/$C136*$D136*0.024*$L$147,S47))</f>
        <v>#DIV/0!</v>
      </c>
      <c r="U47" s="323">
        <f>'Расчет базового уровня'!AB47</f>
        <v>0</v>
      </c>
      <c r="V47" s="335" t="e">
        <f>IF($C136=0,0,MIN($B136/$C136*$D136*0.024*$M$147,U47))</f>
        <v>#DIV/0!</v>
      </c>
      <c r="W47" s="323">
        <f>'Расчет базового уровня'!AE47</f>
        <v>0</v>
      </c>
      <c r="X47" s="335" t="e">
        <f>IF($C136=0,0,MIN($B136/$C136*$D136*0.024*$N$147,W47))</f>
        <v>#DIV/0!</v>
      </c>
      <c r="Y47" s="323">
        <f>'Расчет базового уровня'!AH47</f>
        <v>0</v>
      </c>
      <c r="Z47" s="335" t="e">
        <f>IF($C136=0,0,MIN($B136/$C136*$D136*0.024*$O$147,Y47))</f>
        <v>#DIV/0!</v>
      </c>
      <c r="AA47" s="323" t="e">
        <f>'Расчет базового уровня'!AK47</f>
        <v>#DIV/0!</v>
      </c>
      <c r="AB47" s="335" t="e">
        <f>IF($C136=0,0,MIN($B136/$C136*$D136*0.024*$P$147,AA47))</f>
        <v>#DIV/0!</v>
      </c>
      <c r="AC47" s="323" t="e">
        <f>'Расчет базового уровня'!AN47</f>
        <v>#DIV/0!</v>
      </c>
      <c r="AD47" s="335" t="e">
        <f>IF($C136=0,0,MIN($B136/$C136*$D136*0.024*$Q$147,AC47))</f>
        <v>#DIV/0!</v>
      </c>
      <c r="AE47" s="323" t="e">
        <f>'Расчет базового уровня'!AQ47</f>
        <v>#DIV/0!</v>
      </c>
      <c r="AF47" s="335" t="e">
        <f>IF($C136=0,0,MIN($B136/$C136*$D136*0.024*$R$147,AE47))</f>
        <v>#DIV/0!</v>
      </c>
      <c r="AG47" s="74"/>
      <c r="AH47" s="74"/>
      <c r="AI47" s="74"/>
      <c r="AJ47" s="74"/>
      <c r="AK47" s="74"/>
      <c r="AL47" s="74"/>
      <c r="AM47" s="74"/>
      <c r="AN47" s="74"/>
      <c r="AO47" s="74"/>
      <c r="AP47" s="74"/>
      <c r="AQ47" s="74"/>
      <c r="AR47" s="74"/>
      <c r="AS47" s="74"/>
      <c r="AT47" s="74"/>
      <c r="AU47" s="74"/>
      <c r="AV47" s="260"/>
      <c r="AW47" s="336"/>
      <c r="AX47" s="337"/>
      <c r="AY47" s="260"/>
      <c r="AZ47" s="336"/>
      <c r="BA47" s="337"/>
      <c r="BB47" s="260"/>
      <c r="BC47" s="336"/>
    </row>
    <row r="48" spans="1:55" ht="13.5" customHeight="1" x14ac:dyDescent="0.25">
      <c r="A48" s="307" t="s">
        <v>1339</v>
      </c>
      <c r="B48" s="304" t="s">
        <v>842</v>
      </c>
      <c r="C48" s="308"/>
      <c r="D48" s="308" t="e">
        <f>C47-D47</f>
        <v>#DIV/0!</v>
      </c>
      <c r="E48" s="74"/>
      <c r="F48" s="74"/>
      <c r="G48" s="307" t="s">
        <v>1339</v>
      </c>
      <c r="H48" s="304" t="s">
        <v>842</v>
      </c>
      <c r="I48" s="308"/>
      <c r="J48" s="308" t="e">
        <f>I47-J47</f>
        <v>#DIV/0!</v>
      </c>
      <c r="K48" s="308"/>
      <c r="L48" s="308" t="e">
        <f>K47-L47</f>
        <v>#DIV/0!</v>
      </c>
      <c r="M48" s="308"/>
      <c r="N48" s="308" t="e">
        <f>M47-N47</f>
        <v>#DIV/0!</v>
      </c>
      <c r="O48" s="308"/>
      <c r="P48" s="308" t="e">
        <f>O47-P47</f>
        <v>#DIV/0!</v>
      </c>
      <c r="Q48" s="308"/>
      <c r="R48" s="308" t="e">
        <f>Q47-R47</f>
        <v>#DIV/0!</v>
      </c>
      <c r="S48" s="308"/>
      <c r="T48" s="308" t="e">
        <f>S47-T47</f>
        <v>#DIV/0!</v>
      </c>
      <c r="U48" s="308"/>
      <c r="V48" s="308" t="e">
        <f>U47-V47</f>
        <v>#DIV/0!</v>
      </c>
      <c r="W48" s="308"/>
      <c r="X48" s="308" t="e">
        <f>W47-X47</f>
        <v>#DIV/0!</v>
      </c>
      <c r="Y48" s="308"/>
      <c r="Z48" s="308" t="e">
        <f>Y47-Z47</f>
        <v>#DIV/0!</v>
      </c>
      <c r="AA48" s="308"/>
      <c r="AB48" s="308" t="e">
        <f>AA47-AB47</f>
        <v>#DIV/0!</v>
      </c>
      <c r="AC48" s="308"/>
      <c r="AD48" s="308" t="e">
        <f>AC47-AD47</f>
        <v>#DIV/0!</v>
      </c>
      <c r="AE48" s="308"/>
      <c r="AF48" s="308" t="e">
        <f>AE47-AF47</f>
        <v>#DIV/0!</v>
      </c>
      <c r="AG48" s="74"/>
      <c r="AH48" s="74"/>
      <c r="AI48" s="74"/>
      <c r="AJ48" s="74"/>
      <c r="AK48" s="74"/>
      <c r="AL48" s="74"/>
      <c r="AM48" s="74"/>
      <c r="AN48" s="74"/>
      <c r="AO48" s="74"/>
      <c r="AP48" s="74"/>
      <c r="AQ48" s="74"/>
      <c r="AR48" s="74"/>
      <c r="AS48" s="74"/>
      <c r="AT48" s="74"/>
      <c r="AU48" s="74"/>
      <c r="AV48" s="253"/>
      <c r="AW48" s="338"/>
      <c r="AX48" s="339"/>
      <c r="AY48" s="253"/>
      <c r="AZ48" s="338"/>
      <c r="BA48" s="339"/>
      <c r="BB48" s="253"/>
      <c r="BC48" s="338"/>
    </row>
    <row r="49" spans="1:55" ht="13.5" customHeight="1" thickBot="1" x14ac:dyDescent="0.3">
      <c r="A49" s="307" t="s">
        <v>874</v>
      </c>
      <c r="B49" s="309" t="s">
        <v>1181</v>
      </c>
      <c r="C49" s="310"/>
      <c r="D49" s="310" t="e">
        <f>IF(C47=0,0,D48/C47)</f>
        <v>#DIV/0!</v>
      </c>
      <c r="E49" s="74"/>
      <c r="F49" s="74"/>
      <c r="G49" s="307" t="s">
        <v>874</v>
      </c>
      <c r="H49" s="309" t="s">
        <v>1181</v>
      </c>
      <c r="I49" s="310"/>
      <c r="J49" s="310" t="e">
        <f>IF(I47=0,0,J48/I47)</f>
        <v>#DIV/0!</v>
      </c>
      <c r="K49" s="310"/>
      <c r="L49" s="310" t="e">
        <f>IF(K47=0,0,L48/K47)</f>
        <v>#DIV/0!</v>
      </c>
      <c r="M49" s="310"/>
      <c r="N49" s="310" t="e">
        <f>IF(M47=0,0,N48/M47)</f>
        <v>#DIV/0!</v>
      </c>
      <c r="O49" s="310"/>
      <c r="P49" s="310" t="e">
        <f>IF(O47=0,0,P48/O47)</f>
        <v>#DIV/0!</v>
      </c>
      <c r="Q49" s="310"/>
      <c r="R49" s="310">
        <f>IF(Q47=0,0,R48/Q47)</f>
        <v>0</v>
      </c>
      <c r="S49" s="310"/>
      <c r="T49" s="310">
        <f>IF(S47=0,0,T48/S47)</f>
        <v>0</v>
      </c>
      <c r="U49" s="310"/>
      <c r="V49" s="310">
        <f>IF(U47=0,0,V48/U47)</f>
        <v>0</v>
      </c>
      <c r="W49" s="310"/>
      <c r="X49" s="310">
        <f>IF(W47=0,0,X48/W47)</f>
        <v>0</v>
      </c>
      <c r="Y49" s="310"/>
      <c r="Z49" s="310">
        <f>IF(Y47=0,0,Z48/Y47)</f>
        <v>0</v>
      </c>
      <c r="AA49" s="310"/>
      <c r="AB49" s="310" t="e">
        <f>IF(AA47=0,0,AB48/AA47)</f>
        <v>#DIV/0!</v>
      </c>
      <c r="AC49" s="310"/>
      <c r="AD49" s="310" t="e">
        <f>IF(AC47=0,0,AD48/AC47)</f>
        <v>#DIV/0!</v>
      </c>
      <c r="AE49" s="310"/>
      <c r="AF49" s="310" t="e">
        <f>IF(AE47=0,0,AF48/AE47)</f>
        <v>#DIV/0!</v>
      </c>
      <c r="AG49" s="74"/>
      <c r="AH49" s="74"/>
      <c r="AI49" s="74"/>
      <c r="AJ49" s="74"/>
      <c r="AK49" s="74"/>
      <c r="AL49" s="74"/>
      <c r="AM49" s="74"/>
      <c r="AN49" s="74"/>
      <c r="AO49" s="74"/>
      <c r="AP49" s="74"/>
      <c r="AQ49" s="74"/>
      <c r="AR49" s="74"/>
      <c r="AS49" s="74"/>
      <c r="AT49" s="74"/>
      <c r="AU49" s="74"/>
      <c r="AV49" s="93"/>
      <c r="AW49" s="340"/>
      <c r="AX49" s="341"/>
      <c r="AY49" s="93"/>
      <c r="AZ49" s="340"/>
      <c r="BA49" s="341"/>
      <c r="BB49" s="93"/>
      <c r="BC49" s="340"/>
    </row>
    <row r="50" spans="1:55" ht="37.5" customHeight="1" x14ac:dyDescent="0.25">
      <c r="A50" s="332" t="s">
        <v>1589</v>
      </c>
      <c r="B50" s="322" t="s">
        <v>842</v>
      </c>
      <c r="C50" s="323" t="e">
        <f>'Расчет базового уровня'!D50</f>
        <v>#N/A</v>
      </c>
      <c r="D50" s="333" t="e">
        <f>IF(IF(C137=0,0,B137/C137*D137)*0.024*$D$147&gt;C50,C50,IF(C137=0,0,B137/C137*D137)*0.024*$D$147)</f>
        <v>#VALUE!</v>
      </c>
      <c r="E50" s="74"/>
      <c r="F50" s="74"/>
      <c r="G50" s="332" t="s">
        <v>1589</v>
      </c>
      <c r="H50" s="326" t="s">
        <v>842</v>
      </c>
      <c r="I50" s="323" t="e">
        <f>'Расчет базового уровня'!J50</f>
        <v>#N/A</v>
      </c>
      <c r="J50" s="335" t="e">
        <f>IF($C137=0,0,MIN($B137/$C137*$D137*0.024*$G$147,I50))</f>
        <v>#N/A</v>
      </c>
      <c r="K50" s="323" t="e">
        <f>'Расчет базового уровня'!M50</f>
        <v>#N/A</v>
      </c>
      <c r="L50" s="335" t="e">
        <f>IF($C137=0,0,MIN($B137/$C137*$D137*0.024*$H$147,K50))</f>
        <v>#N/A</v>
      </c>
      <c r="M50" s="323" t="e">
        <f>'Расчет базового уровня'!P50</f>
        <v>#N/A</v>
      </c>
      <c r="N50" s="335" t="e">
        <f>IF($C137=0,0,MIN($B137/$C137*$D137*0.024*$I$147,M50))</f>
        <v>#N/A</v>
      </c>
      <c r="O50" s="323" t="e">
        <f>'Расчет базового уровня'!S50</f>
        <v>#N/A</v>
      </c>
      <c r="P50" s="335" t="e">
        <f>IF($C137=0,0,MIN($B137/$C137*$D137*0.024*$J$147,O50))</f>
        <v>#N/A</v>
      </c>
      <c r="Q50" s="323">
        <f>'Расчет базового уровня'!V50</f>
        <v>0</v>
      </c>
      <c r="R50" s="335">
        <f>IF($C137=0,0,MIN($B137/$C137*$D137*0.024*$K$147,Q50))</f>
        <v>0</v>
      </c>
      <c r="S50" s="323">
        <f>'Расчет базового уровня'!Y50</f>
        <v>0</v>
      </c>
      <c r="T50" s="335">
        <f>IF($C137=0,0,MIN($B137/$C137*$D137*0.024*$L$147,S50))</f>
        <v>0</v>
      </c>
      <c r="U50" s="323">
        <f>'Расчет базового уровня'!AB50</f>
        <v>0</v>
      </c>
      <c r="V50" s="335">
        <f>IF($C137=0,0,MIN($B137/$C137*$D137*0.024*$M$147,U50))</f>
        <v>0</v>
      </c>
      <c r="W50" s="323">
        <f>'Расчет базового уровня'!AE50</f>
        <v>0</v>
      </c>
      <c r="X50" s="335">
        <f>IF($C137=0,0,MIN($B137/$C137*$D137*0.024*$N$147,W50))</f>
        <v>0</v>
      </c>
      <c r="Y50" s="323">
        <f>'Расчет базового уровня'!AH50</f>
        <v>0</v>
      </c>
      <c r="Z50" s="335">
        <f>IF($C137=0,0,MIN($B137/$C137*$D137*0.024*$O$147,Y50))</f>
        <v>0</v>
      </c>
      <c r="AA50" s="323" t="e">
        <f>'Расчет базового уровня'!AK50</f>
        <v>#N/A</v>
      </c>
      <c r="AB50" s="335" t="e">
        <f>IF($C137=0,0,MIN($B137/$C137*$D137*0.024*$P$147,AA50))</f>
        <v>#N/A</v>
      </c>
      <c r="AC50" s="323" t="e">
        <f>'Расчет базового уровня'!AN50</f>
        <v>#N/A</v>
      </c>
      <c r="AD50" s="335" t="e">
        <f>IF($C137=0,0,MIN($B137/$C137*$D137*0.024*$Q$147,AC50))</f>
        <v>#N/A</v>
      </c>
      <c r="AE50" s="323" t="e">
        <f>'Расчет базового уровня'!AQ50</f>
        <v>#N/A</v>
      </c>
      <c r="AF50" s="335" t="e">
        <f>IF($C137=0,0,MIN($B137/$C137*$D137*0.024*$R$147,AE50))</f>
        <v>#N/A</v>
      </c>
      <c r="AG50" s="74"/>
      <c r="AH50" s="74"/>
      <c r="AI50" s="74"/>
      <c r="AJ50" s="74"/>
      <c r="AK50" s="74"/>
      <c r="AL50" s="74"/>
      <c r="AM50" s="74"/>
      <c r="AN50" s="74"/>
      <c r="AO50" s="74"/>
      <c r="AP50" s="74"/>
      <c r="AQ50" s="74"/>
      <c r="AR50" s="74"/>
      <c r="AS50" s="74"/>
      <c r="AT50" s="74"/>
      <c r="AU50" s="74"/>
      <c r="AV50" s="260"/>
      <c r="AW50" s="336"/>
      <c r="AX50" s="337"/>
      <c r="AY50" s="260"/>
      <c r="AZ50" s="336"/>
      <c r="BA50" s="337"/>
      <c r="BB50" s="260"/>
      <c r="BC50" s="336"/>
    </row>
    <row r="51" spans="1:55" ht="13.5" customHeight="1" x14ac:dyDescent="0.25">
      <c r="A51" s="307" t="s">
        <v>1339</v>
      </c>
      <c r="B51" s="304" t="s">
        <v>842</v>
      </c>
      <c r="C51" s="308"/>
      <c r="D51" s="308" t="e">
        <f>C50-D50</f>
        <v>#N/A</v>
      </c>
      <c r="E51" s="74"/>
      <c r="F51" s="74"/>
      <c r="G51" s="307" t="s">
        <v>1339</v>
      </c>
      <c r="H51" s="304" t="s">
        <v>842</v>
      </c>
      <c r="I51" s="308"/>
      <c r="J51" s="308" t="e">
        <f>I50-J50</f>
        <v>#N/A</v>
      </c>
      <c r="K51" s="308"/>
      <c r="L51" s="308" t="e">
        <f>K50-L50</f>
        <v>#N/A</v>
      </c>
      <c r="M51" s="308"/>
      <c r="N51" s="308" t="e">
        <f>M50-N50</f>
        <v>#N/A</v>
      </c>
      <c r="O51" s="308"/>
      <c r="P51" s="308" t="e">
        <f>O50-P50</f>
        <v>#N/A</v>
      </c>
      <c r="Q51" s="308"/>
      <c r="R51" s="308">
        <f>Q50-R50</f>
        <v>0</v>
      </c>
      <c r="S51" s="308"/>
      <c r="T51" s="308">
        <f>S50-T50</f>
        <v>0</v>
      </c>
      <c r="U51" s="308"/>
      <c r="V51" s="308">
        <f>U50-V50</f>
        <v>0</v>
      </c>
      <c r="W51" s="308"/>
      <c r="X51" s="308">
        <f>W50-X50</f>
        <v>0</v>
      </c>
      <c r="Y51" s="308"/>
      <c r="Z51" s="308">
        <f>Y50-Z50</f>
        <v>0</v>
      </c>
      <c r="AA51" s="308"/>
      <c r="AB51" s="308" t="e">
        <f>AA50-AB50</f>
        <v>#N/A</v>
      </c>
      <c r="AC51" s="308"/>
      <c r="AD51" s="308" t="e">
        <f>AC50-AD50</f>
        <v>#N/A</v>
      </c>
      <c r="AE51" s="308"/>
      <c r="AF51" s="308" t="e">
        <f>AE50-AF50</f>
        <v>#N/A</v>
      </c>
      <c r="AG51" s="74"/>
      <c r="AH51" s="74"/>
      <c r="AI51" s="74"/>
      <c r="AJ51" s="74"/>
      <c r="AK51" s="74"/>
      <c r="AL51" s="74"/>
      <c r="AM51" s="74"/>
      <c r="AN51" s="74"/>
      <c r="AO51" s="74"/>
      <c r="AP51" s="74"/>
      <c r="AQ51" s="74"/>
      <c r="AR51" s="74"/>
      <c r="AS51" s="74"/>
      <c r="AT51" s="74"/>
      <c r="AU51" s="74"/>
      <c r="AV51" s="253"/>
      <c r="AW51" s="338"/>
      <c r="AX51" s="339"/>
      <c r="AY51" s="253"/>
      <c r="AZ51" s="338"/>
      <c r="BA51" s="339"/>
      <c r="BB51" s="253"/>
      <c r="BC51" s="338"/>
    </row>
    <row r="52" spans="1:55" ht="13.5" customHeight="1" thickBot="1" x14ac:dyDescent="0.3">
      <c r="A52" s="307" t="s">
        <v>874</v>
      </c>
      <c r="B52" s="309" t="s">
        <v>1181</v>
      </c>
      <c r="C52" s="310"/>
      <c r="D52" s="310" t="e">
        <f>IF(C50=0,0,D51/C50)</f>
        <v>#N/A</v>
      </c>
      <c r="E52" s="74"/>
      <c r="F52" s="74"/>
      <c r="G52" s="307" t="s">
        <v>874</v>
      </c>
      <c r="H52" s="309" t="s">
        <v>1181</v>
      </c>
      <c r="I52" s="310"/>
      <c r="J52" s="310" t="e">
        <f>IF(I50=0,0,J51/I50)</f>
        <v>#N/A</v>
      </c>
      <c r="K52" s="310"/>
      <c r="L52" s="310" t="e">
        <f>IF(K50=0,0,L51/K50)</f>
        <v>#N/A</v>
      </c>
      <c r="M52" s="310"/>
      <c r="N52" s="310" t="e">
        <f>IF(M50=0,0,N51/M50)</f>
        <v>#N/A</v>
      </c>
      <c r="O52" s="310"/>
      <c r="P52" s="310" t="e">
        <f>IF(O50=0,0,P51/O50)</f>
        <v>#N/A</v>
      </c>
      <c r="Q52" s="310"/>
      <c r="R52" s="310">
        <f>IF(Q50=0,0,R51/Q50)</f>
        <v>0</v>
      </c>
      <c r="S52" s="310"/>
      <c r="T52" s="310">
        <f>IF(S50=0,0,T51/S50)</f>
        <v>0</v>
      </c>
      <c r="U52" s="310"/>
      <c r="V52" s="310">
        <f>IF(U50=0,0,V51/U50)</f>
        <v>0</v>
      </c>
      <c r="W52" s="310"/>
      <c r="X52" s="310">
        <f>IF(W50=0,0,X51/W50)</f>
        <v>0</v>
      </c>
      <c r="Y52" s="310"/>
      <c r="Z52" s="310">
        <f>IF(Y50=0,0,Z51/Y50)</f>
        <v>0</v>
      </c>
      <c r="AA52" s="310"/>
      <c r="AB52" s="310" t="e">
        <f>IF(AA50=0,0,AB51/AA50)</f>
        <v>#N/A</v>
      </c>
      <c r="AC52" s="310"/>
      <c r="AD52" s="310" t="e">
        <f>IF(AC50=0,0,AD51/AC50)</f>
        <v>#N/A</v>
      </c>
      <c r="AE52" s="310"/>
      <c r="AF52" s="310" t="e">
        <f>IF(AE50=0,0,AF51/AE50)</f>
        <v>#N/A</v>
      </c>
      <c r="AG52" s="74"/>
      <c r="AH52" s="74"/>
      <c r="AI52" s="74"/>
      <c r="AJ52" s="74"/>
      <c r="AK52" s="74"/>
      <c r="AL52" s="74"/>
      <c r="AM52" s="74"/>
      <c r="AN52" s="74"/>
      <c r="AO52" s="74"/>
      <c r="AP52" s="74"/>
      <c r="AQ52" s="74"/>
      <c r="AR52" s="74"/>
      <c r="AS52" s="74"/>
      <c r="AT52" s="74"/>
      <c r="AU52" s="74"/>
      <c r="AV52" s="93"/>
      <c r="AW52" s="340"/>
      <c r="AX52" s="341"/>
      <c r="AY52" s="93"/>
      <c r="AZ52" s="340"/>
      <c r="BA52" s="341"/>
      <c r="BB52" s="93"/>
      <c r="BC52" s="340"/>
    </row>
    <row r="53" spans="1:55" ht="27.75" customHeight="1" x14ac:dyDescent="0.25">
      <c r="A53" s="332" t="s">
        <v>1203</v>
      </c>
      <c r="B53" s="322" t="s">
        <v>842</v>
      </c>
      <c r="C53" s="323" t="e">
        <f>'Расчет базового уровня'!D53</f>
        <v>#N/A</v>
      </c>
      <c r="D53" s="333" t="e">
        <f>IF((IF(C138=0,0,B138/C138*D138)+IF(C139=0,0,B139/C139*D139)+IF(C140=0,0,B140/C140*D140))*0.024*$D$147&gt;C53,C53,(IF(C138=0,0,B138/C138*D138)+IF(C139=0,0,B139/C139*D139)+IF(C140=0,0,B140/C140*D140))*0.024*$D$147)</f>
        <v>#N/A</v>
      </c>
      <c r="E53" s="74"/>
      <c r="F53" s="74"/>
      <c r="G53" s="334" t="s">
        <v>1203</v>
      </c>
      <c r="H53" s="326" t="s">
        <v>842</v>
      </c>
      <c r="I53" s="323" t="e">
        <f>'Расчет базового уровня'!J53</f>
        <v>#N/A</v>
      </c>
      <c r="J53" s="335" t="e">
        <f>IF((IF(C138=0,0,B138/C138*D138)+IF(C139=0,0,B139/C139*D139)+IF(C140=0,0,B140/C140*D140))*0.024*G$147&gt;I53,I53,(IF(C138=0,0,B138/C138*D138)+IF(C139=0,0,B139/C139*D139)+IF(C140=0,0,B140/C140*D140))*0.024*G$147)</f>
        <v>#N/A</v>
      </c>
      <c r="K53" s="323" t="e">
        <f>'Расчет базового уровня'!M53</f>
        <v>#N/A</v>
      </c>
      <c r="L53" s="335" t="e">
        <f>IF((IF($C$138=0,0,$B$138/$C$138*$D$138)+IF($C$139=0,0,$B$139/$C$139*$D$139)+IF($C$140=0,0,$B$140/$C$140*$D$140))*0.024*$H$147&gt;K53,K53,(IF($C$138=0,0,$B$138/$C$138*$D$138)+IF($C$139=0,0,$B$139/$C$139*$D$139)+IF($C$140=0,0,$B$140/$C$140*$D$140))*0.024*$H$147)</f>
        <v>#N/A</v>
      </c>
      <c r="M53" s="323" t="e">
        <f>'Расчет базового уровня'!P53</f>
        <v>#N/A</v>
      </c>
      <c r="N53" s="335" t="e">
        <f>IF((IF($C$138=0,0,$B$138/$C$138*$D$138)+IF($C$139=0,0,$B$139/$C$139*$D$139)+IF($C$140=0,0,$B$140/$C$140*$D$140))*0.024*$I$147&gt;M53,M53,(IF($C$138=0,0,$B$138/$C$138*$D$138)+IF($C$139=0,0,$B$139/$C$139*$D$139)+IF($C$140=0,0,$B$140/$C$140*$D$140))*0.024*$I$147)</f>
        <v>#N/A</v>
      </c>
      <c r="O53" s="323" t="e">
        <f>'Расчет базового уровня'!S53</f>
        <v>#N/A</v>
      </c>
      <c r="P53" s="335" t="e">
        <f>IF((IF($C$138=0,0,$B$138/$C$138*$D$138)+IF($C$139=0,0,$B$139/$C$139*$D$139)+IF($C$140=0,0,$B$140/$C$140*$D$140))*0.024*$J$147&gt;O53,O53,(IF($C$138=0,0,$B$138/$C$138*$D$138)+IF($C$139=0,0,$B$139/$C$139*$D$139)+IF($C$140=0,0,$B$140/$C$140*$D$140))*0.024*$J$147)</f>
        <v>#N/A</v>
      </c>
      <c r="Q53" s="323">
        <f>'Расчет базового уровня'!V53</f>
        <v>0</v>
      </c>
      <c r="R53" s="335" t="e">
        <f>IF((IF($C$138=0,0,$B$138/$C$138*$D$138)+IF($C$139=0,0,$B$139/$C$139*$D$139)+IF($C$140=0,0,$B$140/$C$140*$D$140))*0.024*$K$147&gt;Q53,Q53,(IF($C$138=0,0,$B$138/$C$138*$D$138)+IF($C$139=0,0,$B$139/$C$139*$D$139)+IF($C$140=0,0,$B$140/$C$140*$D$140))*0.024*$K$147)</f>
        <v>#N/A</v>
      </c>
      <c r="S53" s="323">
        <f>'Расчет базового уровня'!Y53</f>
        <v>0</v>
      </c>
      <c r="T53" s="335" t="e">
        <f>IF((IF($C$138=0,0,$B$138/$C$138*$D$138)+IF($C$139=0,0,$B$139/$C$139*$D$139)+IF($C$140=0,0,$B$140/$C$140*$D$140))*0.024*$L$147&gt;S53,S53,(IF($C$138=0,0,$B$138/$C$138*$D$138)+IF($C$139=0,0,$B$139/$C$139*$D$139)+IF($C$140=0,0,$B$140/$C$140*$D$140))*0.024*$L$147)</f>
        <v>#N/A</v>
      </c>
      <c r="U53" s="323">
        <f>'Расчет базового уровня'!AB53</f>
        <v>0</v>
      </c>
      <c r="V53" s="335" t="e">
        <f>IF((IF($C$138=0,0,$B$138/$C$138*$D$138)+IF($C$139=0,0,$B$139/$C$139*$D$139)+IF($C$140=0,0,$B$140/$C$140*$D$140))*0.024*$M$147&gt;U53,U53,(IF($C$138=0,0,$B$138/$C$138*$D$138)+IF($C$139=0,0,$B$139/$C$139*$D$139)+IF($C$140=0,0,$B$140/$C$140*$D$140))*0.024*$M$147)</f>
        <v>#N/A</v>
      </c>
      <c r="W53" s="323">
        <f>'Расчет базового уровня'!AE53</f>
        <v>0</v>
      </c>
      <c r="X53" s="335" t="e">
        <f>IF((IF($C$138=0,0,$B$138/$C$138*$D$138)+IF($C$139=0,0,$B$139/$C$139*$D$139)+IF($C$140=0,0,$B$140/$C$140*$D$140))*0.024*$N$147&gt;W53,W53,(IF($C$138=0,0,$B$138/$C$138*$D$138)+IF($C$139=0,0,$B$139/$C$139*$D$139)+IF($C$140=0,0,$B$140/$C$140*$D$140))*0.024*$N$147)</f>
        <v>#N/A</v>
      </c>
      <c r="Y53" s="323">
        <f>'Расчет базового уровня'!AH53</f>
        <v>0</v>
      </c>
      <c r="Z53" s="335" t="e">
        <f>IF((IF($C$138=0,0,$B$138/$C$138*$D$138)+IF($C$139=0,0,$B$139/$C$139*$D$139)+IF($C$140=0,0,$B$140/$C$140*$D$140))*0.024*$O$147&gt;Y53,Y53,(IF($C$138=0,0,$B$138/$C$138*$D$138)+IF($C$139=0,0,$B$139/$C$139*$D$139)+IF($C$140=0,0,$B$140/$C$140*$D$140))*0.024*$O$147)</f>
        <v>#N/A</v>
      </c>
      <c r="AA53" s="323" t="e">
        <f>'Расчет базового уровня'!AK53</f>
        <v>#N/A</v>
      </c>
      <c r="AB53" s="335" t="e">
        <f>IF((IF($C$138=0,0,$B$138/$C$138*$D$138)+IF($C$139=0,0,$B$139/$C$139*$D$139)+IF($C$140=0,0,$B$140/$C$140*$D$140))*0.024*$P$147&gt;AA53,AA53,(IF($C$138=0,0,$B$138/$C$138*$D$138)+IF($C$139=0,0,$B$139/$C$139*$D$139)+IF($C$140=0,0,$B$140/$C$140*$D$140))*0.024*$P$147)</f>
        <v>#N/A</v>
      </c>
      <c r="AC53" s="323" t="e">
        <f>'Расчет базового уровня'!AN53</f>
        <v>#N/A</v>
      </c>
      <c r="AD53" s="335" t="e">
        <f>IF((IF($C$138=0,0,$B$138/$C$138*$D$138)+IF($C$139=0,0,$B$139/$C$139*$D$139)+IF($C$140=0,0,$B$140/$C$140*$D$140))*0.024*$Q$147&gt;AC53,AC53,(IF($C$138=0,0,$B$138/$C$138*$D$138)+IF($C$139=0,0,$B$139/$C$139*$D$139)+IF($C$140=0,0,$B$140/$C$140*$D$140))*0.024*$Q$147)</f>
        <v>#N/A</v>
      </c>
      <c r="AE53" s="323" t="e">
        <f>'Расчет базового уровня'!AQ53</f>
        <v>#N/A</v>
      </c>
      <c r="AF53" s="335" t="e">
        <f>IF((IF($C$138=0,0,$B$138/$C$138*$D$138)+IF($C$139=0,0,$B$139/$C$139*$D$139)+IF($C$140=0,0,$B$140/$C$140*$D$140))*0.024*$R$147&gt;AE53,AE53,(IF($C$138=0,0,$B$138/$C$138*$D$138)+IF($C$139=0,0,$B$139/$C$139*$D$139)+IF($C$140=0,0,$B$140/$C$140*$D$140))*0.024*$R$147)</f>
        <v>#N/A</v>
      </c>
      <c r="AG53" s="74"/>
      <c r="AH53" s="74"/>
      <c r="AI53" s="74"/>
      <c r="AJ53" s="74"/>
      <c r="AK53" s="74"/>
      <c r="AL53" s="74"/>
      <c r="AM53" s="74"/>
      <c r="AN53" s="74"/>
      <c r="AO53" s="74"/>
      <c r="AP53" s="74"/>
      <c r="AQ53" s="74"/>
      <c r="AR53" s="74"/>
      <c r="AS53" s="74"/>
      <c r="AT53" s="74"/>
      <c r="AU53" s="74"/>
      <c r="AV53" s="260"/>
      <c r="AW53" s="336"/>
      <c r="AX53" s="337"/>
      <c r="AY53" s="260"/>
      <c r="AZ53" s="336"/>
      <c r="BA53" s="337"/>
      <c r="BB53" s="260"/>
      <c r="BC53" s="336"/>
    </row>
    <row r="54" spans="1:55" x14ac:dyDescent="0.25">
      <c r="A54" s="307" t="s">
        <v>1339</v>
      </c>
      <c r="B54" s="304" t="s">
        <v>842</v>
      </c>
      <c r="C54" s="308"/>
      <c r="D54" s="308" t="e">
        <f>C53-D53</f>
        <v>#N/A</v>
      </c>
      <c r="E54" s="74"/>
      <c r="F54" s="74"/>
      <c r="G54" s="307" t="s">
        <v>1339</v>
      </c>
      <c r="H54" s="304" t="s">
        <v>842</v>
      </c>
      <c r="I54" s="308"/>
      <c r="J54" s="308" t="e">
        <f>I53-J53</f>
        <v>#N/A</v>
      </c>
      <c r="K54" s="308"/>
      <c r="L54" s="308" t="e">
        <f>K53-L53</f>
        <v>#N/A</v>
      </c>
      <c r="M54" s="308"/>
      <c r="N54" s="308" t="e">
        <f>M53-N53</f>
        <v>#N/A</v>
      </c>
      <c r="O54" s="308"/>
      <c r="P54" s="308" t="e">
        <f>O53-P53</f>
        <v>#N/A</v>
      </c>
      <c r="Q54" s="308"/>
      <c r="R54" s="308" t="e">
        <f>Q53-R53</f>
        <v>#N/A</v>
      </c>
      <c r="S54" s="308"/>
      <c r="T54" s="308" t="e">
        <f>S53-T53</f>
        <v>#N/A</v>
      </c>
      <c r="U54" s="308"/>
      <c r="V54" s="308" t="e">
        <f>U53-V53</f>
        <v>#N/A</v>
      </c>
      <c r="W54" s="308"/>
      <c r="X54" s="308" t="e">
        <f>W53-X53</f>
        <v>#N/A</v>
      </c>
      <c r="Y54" s="308"/>
      <c r="Z54" s="308" t="e">
        <f>Y53-Z53</f>
        <v>#N/A</v>
      </c>
      <c r="AA54" s="308"/>
      <c r="AB54" s="308" t="e">
        <f>AA53-AB53</f>
        <v>#N/A</v>
      </c>
      <c r="AC54" s="308"/>
      <c r="AD54" s="308" t="e">
        <f>AC53-AD53</f>
        <v>#N/A</v>
      </c>
      <c r="AE54" s="308"/>
      <c r="AF54" s="308" t="e">
        <f>AE53-AF53</f>
        <v>#N/A</v>
      </c>
      <c r="AG54" s="74"/>
      <c r="AH54" s="74"/>
      <c r="AI54" s="74"/>
      <c r="AJ54" s="74"/>
      <c r="AK54" s="74"/>
      <c r="AL54" s="74"/>
      <c r="AM54" s="74"/>
      <c r="AN54" s="74"/>
      <c r="AO54" s="74"/>
      <c r="AP54" s="74"/>
      <c r="AQ54" s="74"/>
      <c r="AR54" s="74"/>
      <c r="AS54" s="74"/>
      <c r="AT54" s="74"/>
      <c r="AU54" s="74"/>
      <c r="AV54" s="253"/>
      <c r="AW54" s="338"/>
      <c r="AX54" s="339"/>
      <c r="AY54" s="253"/>
      <c r="AZ54" s="338"/>
      <c r="BA54" s="339"/>
      <c r="BB54" s="253"/>
      <c r="BC54" s="338"/>
    </row>
    <row r="55" spans="1:55" ht="15.75" thickBot="1" x14ac:dyDescent="0.3">
      <c r="A55" s="307" t="s">
        <v>874</v>
      </c>
      <c r="B55" s="309" t="s">
        <v>1181</v>
      </c>
      <c r="C55" s="310"/>
      <c r="D55" s="310" t="e">
        <f>IF(C53=0,0,D54/C53)</f>
        <v>#N/A</v>
      </c>
      <c r="E55" s="74"/>
      <c r="F55" s="74"/>
      <c r="G55" s="307" t="s">
        <v>874</v>
      </c>
      <c r="H55" s="309" t="s">
        <v>1181</v>
      </c>
      <c r="I55" s="310"/>
      <c r="J55" s="310" t="e">
        <f>IF(I53=0,0,J54/I53)</f>
        <v>#N/A</v>
      </c>
      <c r="K55" s="310"/>
      <c r="L55" s="310" t="e">
        <f>IF(K53=0,0,L54/K53)</f>
        <v>#N/A</v>
      </c>
      <c r="M55" s="310"/>
      <c r="N55" s="310" t="e">
        <f>IF(M53=0,0,N54/M53)</f>
        <v>#N/A</v>
      </c>
      <c r="O55" s="310"/>
      <c r="P55" s="310" t="e">
        <f>IF(O53=0,0,P54/O53)</f>
        <v>#N/A</v>
      </c>
      <c r="Q55" s="310"/>
      <c r="R55" s="310">
        <f>IF(Q53=0,0,R54/Q53)</f>
        <v>0</v>
      </c>
      <c r="S55" s="310"/>
      <c r="T55" s="310">
        <f>IF(S53=0,0,T54/S53)</f>
        <v>0</v>
      </c>
      <c r="U55" s="310"/>
      <c r="V55" s="310">
        <f>IF(U53=0,0,V54/U53)</f>
        <v>0</v>
      </c>
      <c r="W55" s="310"/>
      <c r="X55" s="310">
        <f>IF(W53=0,0,X54/W53)</f>
        <v>0</v>
      </c>
      <c r="Y55" s="310"/>
      <c r="Z55" s="310">
        <f>IF(Y53=0,0,Z54/Y53)</f>
        <v>0</v>
      </c>
      <c r="AA55" s="310"/>
      <c r="AB55" s="310" t="e">
        <f>IF(AA53=0,0,AB54/AA53)</f>
        <v>#N/A</v>
      </c>
      <c r="AC55" s="310"/>
      <c r="AD55" s="310" t="e">
        <f>IF(AC53=0,0,AD54/AC53)</f>
        <v>#N/A</v>
      </c>
      <c r="AE55" s="310"/>
      <c r="AF55" s="310" t="e">
        <f>IF(AE53=0,0,AF54/AE53)</f>
        <v>#N/A</v>
      </c>
      <c r="AG55" s="74"/>
      <c r="AH55" s="74"/>
      <c r="AI55" s="74"/>
      <c r="AJ55" s="74"/>
      <c r="AK55" s="74"/>
      <c r="AL55" s="74"/>
      <c r="AM55" s="74"/>
      <c r="AN55" s="74"/>
      <c r="AO55" s="74"/>
      <c r="AP55" s="74"/>
      <c r="AQ55" s="74"/>
      <c r="AR55" s="74"/>
      <c r="AS55" s="74"/>
      <c r="AT55" s="74"/>
      <c r="AU55" s="74"/>
      <c r="AV55" s="93"/>
      <c r="AW55" s="340"/>
      <c r="AX55" s="341"/>
      <c r="AY55" s="93"/>
      <c r="AZ55" s="340"/>
      <c r="BA55" s="341"/>
      <c r="BB55" s="93"/>
      <c r="BC55" s="340"/>
    </row>
    <row r="56" spans="1:55" ht="32.25" customHeight="1" x14ac:dyDescent="0.25">
      <c r="A56" s="332" t="s">
        <v>1204</v>
      </c>
      <c r="B56" s="322" t="s">
        <v>842</v>
      </c>
      <c r="C56" s="323" t="e">
        <f>'Расчет базового уровня'!D56</f>
        <v>#N/A</v>
      </c>
      <c r="D56" s="333" t="e">
        <f>IF((IF(C142=0,0,B142/C142*D142)+IF(C141=0,0,B141/C141*D141))*0.024*$D$147&gt;C56,C56,(IF(C142=0,0,B142/C142*D142)+IF(C141=0,0,B141/C141*D141))*0.024*$D$147)</f>
        <v>#N/A</v>
      </c>
      <c r="E56" s="74"/>
      <c r="F56" s="74"/>
      <c r="G56" s="334" t="s">
        <v>1204</v>
      </c>
      <c r="H56" s="326" t="s">
        <v>842</v>
      </c>
      <c r="I56" s="323" t="e">
        <f>'Расчет базового уровня'!J56</f>
        <v>#N/A</v>
      </c>
      <c r="J56" s="335" t="e">
        <f>IF((IF($C$142=0,0,$B$142/$C$142*$D$142)+IF($C$141=0,0,$B$141/$C$141*$D$141))*0.024*$G$147&gt;I56,I56,(IF($C$142=0,0,$B$142/$C$142*$D$142)+IF($C$141=0,0,$B$141/$C$141*$D$141))*0.024*$G$147)</f>
        <v>#N/A</v>
      </c>
      <c r="K56" s="323" t="e">
        <f>'Расчет базового уровня'!M56</f>
        <v>#N/A</v>
      </c>
      <c r="L56" s="335" t="e">
        <f>IF((IF($C$142=0,0,$B$142/$C$142*$D$142)+IF($C$141=0,0,$B$141/$C$141*$D$141))*0.024*$H$147&gt;K56,K56,(IF($C$142=0,0,$B$142/$C$142*$D$142)+IF($C$141=0,0,$B$141/$C$141*$D$141))*0.024*$H$147)</f>
        <v>#N/A</v>
      </c>
      <c r="M56" s="323" t="e">
        <f>'Расчет базового уровня'!P56</f>
        <v>#N/A</v>
      </c>
      <c r="N56" s="335" t="e">
        <f>IF((IF($C$142=0,0,$B$142/$C$142*$D$142)+IF($C$141=0,0,$B$141/$C$141*$D$141))*0.024*$I$147&gt;M56,M56,(IF($C$142=0,0,$B$142/$C$142*$D$142)+IF($C$141=0,0,$B$141/$C$141*$D$141))*0.024*$I$147)</f>
        <v>#N/A</v>
      </c>
      <c r="O56" s="323" t="e">
        <f>'Расчет базового уровня'!S56</f>
        <v>#N/A</v>
      </c>
      <c r="P56" s="335" t="e">
        <f>IF((IF($C$142=0,0,$B$142/$C$142*$D$142)+IF($C$141=0,0,$B$141/$C$141*$D$141))*0.024*$J$147&gt;O56,O56,(IF($C$142=0,0,$B$142/$C$142*$D$142)+IF($C$141=0,0,$B$141/$C$141*$D$141))*0.024*$J$147)</f>
        <v>#N/A</v>
      </c>
      <c r="Q56" s="323">
        <f>'Расчет базового уровня'!V56</f>
        <v>0</v>
      </c>
      <c r="R56" s="335" t="e">
        <f>IF((IF($C$142=0,0,$B$142/$C$142*$D$142)+IF($C$141=0,0,$B$141/$C$141*$D$141))*0.024*$K$147&gt;Q56,Q56,(IF($C$142=0,0,$B$142/$C$142*$D$142)+IF($C$141=0,0,$B$141/$C$141*$D$141))*0.024*$K$147)</f>
        <v>#N/A</v>
      </c>
      <c r="S56" s="323">
        <f>'Расчет базового уровня'!Y56</f>
        <v>0</v>
      </c>
      <c r="T56" s="335" t="e">
        <f>IF((IF($C$142=0,0,$B$142/$C$142*$D$142)+IF($C$141=0,0,$B$141/$C$141*$D$141))*0.024*$L$147&gt;S56,S56,(IF($C$142=0,0,$B$142/$C$142*$D$142)+IF($C$141=0,0,$B$141/$C$141*$D$141))*0.024*$L$147)</f>
        <v>#N/A</v>
      </c>
      <c r="U56" s="323">
        <f>'Расчет базового уровня'!AB56</f>
        <v>0</v>
      </c>
      <c r="V56" s="335" t="e">
        <f>IF((IF($C$142=0,0,$B$142/$C$142*$D$142)+IF($C$141=0,0,$B$141/$C$141*$D$141))*0.024*$M$147&gt;U56,U56,(IF($C$142=0,0,$B$142/$C$142*$D$142)+IF($C$141=0,0,$B$141/$C$141*$D$141))*0.024*$M$147)</f>
        <v>#N/A</v>
      </c>
      <c r="W56" s="323">
        <f>'Расчет базового уровня'!AE56</f>
        <v>0</v>
      </c>
      <c r="X56" s="335" t="e">
        <f>IF((IF($C$142=0,0,$B$142/$C$142*$D$142)+IF($C$141=0,0,$B$141/$C$141*$D$141))*0.024*$N$147&gt;W56,W56,(IF($C$142=0,0,$B$142/$C$142*$D$142)+IF($C$141=0,0,$B$141/$C$141*$D$141))*0.024*$N$147)</f>
        <v>#N/A</v>
      </c>
      <c r="Y56" s="323">
        <f>'Расчет базового уровня'!AH56</f>
        <v>0</v>
      </c>
      <c r="Z56" s="335" t="e">
        <f>IF((IF($C$142=0,0,$B$142/$C$142*$D$142)+IF($C$141=0,0,$B$141/$C$141*$D$141))*0.024*$O$147&gt;Y56,Y56,(IF($C$142=0,0,$B$142/$C$142*$D$142)+IF($C$141=0,0,$B$141/$C$141*$D$141))*0.024*$O$147)</f>
        <v>#N/A</v>
      </c>
      <c r="AA56" s="323" t="e">
        <f>'Расчет базового уровня'!AK56</f>
        <v>#N/A</v>
      </c>
      <c r="AB56" s="335" t="e">
        <f>IF((IF($C$142=0,0,$B$142/$C$142*$D$142)+IF($C$141=0,0,$B$141/$C$141*$D$141))*0.024*$P$147&gt;AA56,AA56,(IF($C$142=0,0,$B$142/$C$142*$D$142)+IF($C$141=0,0,$B$141/$C$141*$D$141))*0.024*$P$147)</f>
        <v>#N/A</v>
      </c>
      <c r="AC56" s="323" t="e">
        <f>'Расчет базового уровня'!AN56</f>
        <v>#N/A</v>
      </c>
      <c r="AD56" s="335" t="e">
        <f>IF((IF($C$142=0,0,$B$142/$C$142*$D$142)+IF($C$141=0,0,$B$141/$C$141*$D$141))*0.024*$Q$147&gt;AC56,AC56,(IF($C$142=0,0,$B$142/$C$142*$D$142)+IF($C$141=0,0,$B$141/$C$141*$D$141))*0.024*$Q$147)</f>
        <v>#N/A</v>
      </c>
      <c r="AE56" s="323" t="e">
        <f>'Расчет базового уровня'!AQ56</f>
        <v>#N/A</v>
      </c>
      <c r="AF56" s="335" t="e">
        <f>IF((IF($C$142=0,0,$B$142/$C$142*$D$142)+IF($C$141=0,0,$B$141/$C$141*$D$141))*0.024*$R$147&gt;AE56,AE56,(IF($C$142=0,0,$B$142/$C$142*$D$142)+IF($C$141=0,0,$B$141/$C$141*$D$141))*0.024*$R$147)</f>
        <v>#N/A</v>
      </c>
      <c r="AG56" s="74"/>
      <c r="AH56" s="74"/>
      <c r="AI56" s="74"/>
      <c r="AJ56" s="74"/>
      <c r="AK56" s="74"/>
      <c r="AL56" s="74"/>
      <c r="AM56" s="74"/>
      <c r="AN56" s="74"/>
      <c r="AO56" s="74"/>
      <c r="AP56" s="74"/>
      <c r="AQ56" s="74"/>
      <c r="AR56" s="74"/>
      <c r="AS56" s="74"/>
      <c r="AT56" s="74"/>
      <c r="AU56" s="74"/>
      <c r="AV56" s="260"/>
      <c r="AW56" s="336"/>
      <c r="AX56" s="337"/>
      <c r="AY56" s="260"/>
      <c r="AZ56" s="336"/>
      <c r="BA56" s="337"/>
      <c r="BB56" s="260"/>
      <c r="BC56" s="336"/>
    </row>
    <row r="57" spans="1:55" x14ac:dyDescent="0.25">
      <c r="A57" s="307" t="s">
        <v>1339</v>
      </c>
      <c r="B57" s="304" t="s">
        <v>842</v>
      </c>
      <c r="C57" s="308"/>
      <c r="D57" s="308" t="e">
        <f>C56-D56</f>
        <v>#N/A</v>
      </c>
      <c r="E57" s="74"/>
      <c r="F57" s="74"/>
      <c r="G57" s="307" t="s">
        <v>1339</v>
      </c>
      <c r="H57" s="304" t="s">
        <v>842</v>
      </c>
      <c r="I57" s="308"/>
      <c r="J57" s="308" t="e">
        <f>I56-J56</f>
        <v>#N/A</v>
      </c>
      <c r="K57" s="308"/>
      <c r="L57" s="308" t="e">
        <f>K56-L56</f>
        <v>#N/A</v>
      </c>
      <c r="M57" s="308"/>
      <c r="N57" s="308" t="e">
        <f>M56-N56</f>
        <v>#N/A</v>
      </c>
      <c r="O57" s="308"/>
      <c r="P57" s="308" t="e">
        <f>O56-P56</f>
        <v>#N/A</v>
      </c>
      <c r="Q57" s="308"/>
      <c r="R57" s="308" t="e">
        <f>Q56-R56</f>
        <v>#N/A</v>
      </c>
      <c r="S57" s="308"/>
      <c r="T57" s="308" t="e">
        <f>S56-T56</f>
        <v>#N/A</v>
      </c>
      <c r="U57" s="308"/>
      <c r="V57" s="308" t="e">
        <f>U56-V56</f>
        <v>#N/A</v>
      </c>
      <c r="W57" s="308"/>
      <c r="X57" s="308" t="e">
        <f>W56-X56</f>
        <v>#N/A</v>
      </c>
      <c r="Y57" s="308"/>
      <c r="Z57" s="308" t="e">
        <f>Y56-Z56</f>
        <v>#N/A</v>
      </c>
      <c r="AA57" s="308"/>
      <c r="AB57" s="308" t="e">
        <f>AA56-AB56</f>
        <v>#N/A</v>
      </c>
      <c r="AC57" s="308"/>
      <c r="AD57" s="308" t="e">
        <f>AC56-AD56</f>
        <v>#N/A</v>
      </c>
      <c r="AE57" s="308"/>
      <c r="AF57" s="308" t="e">
        <f>AE56-AF56</f>
        <v>#N/A</v>
      </c>
      <c r="AG57" s="74"/>
      <c r="AH57" s="74"/>
      <c r="AI57" s="74"/>
      <c r="AJ57" s="74"/>
      <c r="AK57" s="74"/>
      <c r="AL57" s="74"/>
      <c r="AM57" s="74"/>
      <c r="AN57" s="74"/>
      <c r="AO57" s="74"/>
      <c r="AP57" s="74"/>
      <c r="AQ57" s="74"/>
      <c r="AR57" s="74"/>
      <c r="AS57" s="74"/>
      <c r="AT57" s="74"/>
      <c r="AU57" s="74"/>
      <c r="AV57" s="93"/>
      <c r="AW57" s="340"/>
      <c r="AX57" s="341"/>
      <c r="AY57" s="93"/>
      <c r="AZ57" s="340"/>
      <c r="BA57" s="341"/>
      <c r="BB57" s="93"/>
      <c r="BC57" s="340"/>
    </row>
    <row r="58" spans="1:55" ht="15.75" thickBot="1" x14ac:dyDescent="0.3">
      <c r="A58" s="307" t="s">
        <v>874</v>
      </c>
      <c r="B58" s="309" t="s">
        <v>1181</v>
      </c>
      <c r="C58" s="310"/>
      <c r="D58" s="310" t="e">
        <f>IF(C56=0,0,D57/C56)</f>
        <v>#N/A</v>
      </c>
      <c r="E58" s="74"/>
      <c r="F58" s="74"/>
      <c r="G58" s="307" t="s">
        <v>874</v>
      </c>
      <c r="H58" s="309" t="s">
        <v>1181</v>
      </c>
      <c r="I58" s="310"/>
      <c r="J58" s="310" t="e">
        <f>IF(I56=0,0,J57/I56)</f>
        <v>#N/A</v>
      </c>
      <c r="K58" s="310"/>
      <c r="L58" s="310" t="e">
        <f>IF(K56=0,0,L57/K56)</f>
        <v>#N/A</v>
      </c>
      <c r="M58" s="310"/>
      <c r="N58" s="310" t="e">
        <f>IF(M56=0,0,N57/M56)</f>
        <v>#N/A</v>
      </c>
      <c r="O58" s="310"/>
      <c r="P58" s="310" t="e">
        <f>IF(O56=0,0,P57/O56)</f>
        <v>#N/A</v>
      </c>
      <c r="Q58" s="310"/>
      <c r="R58" s="310">
        <f>IF(Q56=0,0,R57/Q56)</f>
        <v>0</v>
      </c>
      <c r="S58" s="310"/>
      <c r="T58" s="310">
        <f>IF(S56=0,0,T57/S56)</f>
        <v>0</v>
      </c>
      <c r="U58" s="310"/>
      <c r="V58" s="310">
        <f>IF(U56=0,0,V57/U56)</f>
        <v>0</v>
      </c>
      <c r="W58" s="310"/>
      <c r="X58" s="310">
        <f>IF(W56=0,0,X57/W56)</f>
        <v>0</v>
      </c>
      <c r="Y58" s="310"/>
      <c r="Z58" s="310">
        <f>IF(Y56=0,0,Z57/Y56)</f>
        <v>0</v>
      </c>
      <c r="AA58" s="310"/>
      <c r="AB58" s="310" t="e">
        <f>IF(AA56=0,0,AB57/AA56)</f>
        <v>#N/A</v>
      </c>
      <c r="AC58" s="310"/>
      <c r="AD58" s="310" t="e">
        <f>IF(AC56=0,0,AD57/AC56)</f>
        <v>#N/A</v>
      </c>
      <c r="AE58" s="310"/>
      <c r="AF58" s="310" t="e">
        <f>IF(AE56=0,0,AF57/AE56)</f>
        <v>#N/A</v>
      </c>
      <c r="AG58" s="74"/>
      <c r="AH58" s="74"/>
      <c r="AI58" s="74"/>
      <c r="AJ58" s="74"/>
      <c r="AK58" s="74"/>
      <c r="AL58" s="74"/>
      <c r="AM58" s="74"/>
      <c r="AN58" s="74"/>
      <c r="AO58" s="74"/>
      <c r="AP58" s="74"/>
      <c r="AQ58" s="74"/>
      <c r="AR58" s="74"/>
      <c r="AS58" s="74"/>
      <c r="AT58" s="74"/>
      <c r="AU58" s="74"/>
      <c r="AV58" s="253"/>
      <c r="AW58" s="338"/>
      <c r="AX58" s="339"/>
      <c r="AY58" s="253"/>
      <c r="AZ58" s="338"/>
    </row>
    <row r="59" spans="1:55" ht="27" customHeight="1" x14ac:dyDescent="0.25">
      <c r="A59" s="332" t="s">
        <v>1205</v>
      </c>
      <c r="B59" s="322" t="s">
        <v>842</v>
      </c>
      <c r="C59" s="323" t="e">
        <f>'Расчет базового уровня'!D59</f>
        <v>#N/A</v>
      </c>
      <c r="D59" s="342" t="e">
        <f>IF(IF(C143=0,0,B143/C143*D143)*0.024*$D$147&gt;C59,C59,IF(C143=0,0,B143/C143*D143)*0.024*$D$147)</f>
        <v>#VALUE!</v>
      </c>
      <c r="E59" s="74"/>
      <c r="F59" s="74"/>
      <c r="G59" s="334" t="s">
        <v>1205</v>
      </c>
      <c r="H59" s="326" t="s">
        <v>842</v>
      </c>
      <c r="I59" s="323" t="e">
        <f>'Расчет базового уровня'!J59</f>
        <v>#N/A</v>
      </c>
      <c r="J59" s="343" t="e">
        <f>IF($C143=0,0,MIN($B143/$C143*$D143*0.024*$G$147,I59))</f>
        <v>#N/A</v>
      </c>
      <c r="K59" s="323" t="e">
        <f>'Расчет базового уровня'!M59</f>
        <v>#N/A</v>
      </c>
      <c r="L59" s="343" t="e">
        <f>IF($C143=0,0,MIN($B143/$C143*$D143*0.024*$H$147,K59))</f>
        <v>#N/A</v>
      </c>
      <c r="M59" s="323" t="e">
        <f>'Расчет базового уровня'!P59</f>
        <v>#N/A</v>
      </c>
      <c r="N59" s="343" t="e">
        <f>IF($C143=0,0,MIN($B143/$C143*$D143*0.024*$I$147,M59))</f>
        <v>#N/A</v>
      </c>
      <c r="O59" s="323" t="e">
        <f>'Расчет базового уровня'!S59</f>
        <v>#N/A</v>
      </c>
      <c r="P59" s="343" t="e">
        <f>IF($C143=0,0,MIN($B143/$C143*$D143*0.024*$J$147,O59))</f>
        <v>#N/A</v>
      </c>
      <c r="Q59" s="323">
        <f>'Расчет базового уровня'!V59</f>
        <v>0</v>
      </c>
      <c r="R59" s="343">
        <f>IF($C143=0,0,MIN($B143/$C143*$D143*0.024*$K$147,Q59))</f>
        <v>0</v>
      </c>
      <c r="S59" s="323">
        <f>'Расчет базового уровня'!Y59</f>
        <v>0</v>
      </c>
      <c r="T59" s="343">
        <f>IF($C143=0,0,MIN($B143/$C143*$D143*0.024*$L$147,S59))</f>
        <v>0</v>
      </c>
      <c r="U59" s="323">
        <f>'Расчет базового уровня'!AB59</f>
        <v>0</v>
      </c>
      <c r="V59" s="343">
        <f>IF($C143=0,0,MIN($B143/$C143*$D143*0.024*$M$147,U59))</f>
        <v>0</v>
      </c>
      <c r="W59" s="323">
        <f>'Расчет базового уровня'!AE59</f>
        <v>0</v>
      </c>
      <c r="X59" s="343">
        <f>IF($C143=0,0,MIN($B143/$C143*$D143*0.024*$N$147,W59))</f>
        <v>0</v>
      </c>
      <c r="Y59" s="323">
        <f>'Расчет базового уровня'!AH59</f>
        <v>0</v>
      </c>
      <c r="Z59" s="343">
        <f>IF($C143=0,0,MIN($B143/$C143*$D143*0.024*$O$147,Y59))</f>
        <v>0</v>
      </c>
      <c r="AA59" s="323" t="e">
        <f>'Расчет базового уровня'!AK59</f>
        <v>#N/A</v>
      </c>
      <c r="AB59" s="343" t="e">
        <f>IF($C143=0,0,MIN($B143/$C143*$D143*0.024*$P$147,AA59))</f>
        <v>#N/A</v>
      </c>
      <c r="AC59" s="323" t="e">
        <f>'Расчет базового уровня'!AN59</f>
        <v>#N/A</v>
      </c>
      <c r="AD59" s="343" t="e">
        <f>IF($C143=0,0,MIN($B143/$C143*$D143*0.024*$Q$147,AC59))</f>
        <v>#N/A</v>
      </c>
      <c r="AE59" s="323" t="e">
        <f>'Расчет базового уровня'!AQ59</f>
        <v>#N/A</v>
      </c>
      <c r="AF59" s="343" t="e">
        <f>IF($C143=0,0,MIN($B143/$C143*$D143*0.024*$R$147,AE59))</f>
        <v>#N/A</v>
      </c>
      <c r="AG59" s="74"/>
      <c r="AH59" s="74"/>
      <c r="AI59" s="74"/>
      <c r="AJ59" s="74"/>
      <c r="AK59" s="74"/>
      <c r="AL59" s="74"/>
      <c r="AM59" s="74"/>
      <c r="AN59" s="74"/>
      <c r="AO59" s="74"/>
      <c r="AP59" s="74"/>
      <c r="AQ59" s="74"/>
      <c r="AR59" s="74"/>
      <c r="AS59" s="74"/>
      <c r="AT59" s="74"/>
      <c r="AU59" s="74"/>
    </row>
    <row r="60" spans="1:55" x14ac:dyDescent="0.25">
      <c r="A60" s="307" t="s">
        <v>1339</v>
      </c>
      <c r="B60" s="304" t="s">
        <v>842</v>
      </c>
      <c r="C60" s="308"/>
      <c r="D60" s="308" t="e">
        <f>C59-D59</f>
        <v>#N/A</v>
      </c>
      <c r="E60" s="74"/>
      <c r="F60" s="74"/>
      <c r="G60" s="307" t="s">
        <v>1339</v>
      </c>
      <c r="H60" s="304" t="s">
        <v>842</v>
      </c>
      <c r="I60" s="308"/>
      <c r="J60" s="308" t="e">
        <f>I59-J59</f>
        <v>#N/A</v>
      </c>
      <c r="K60" s="308"/>
      <c r="L60" s="308" t="e">
        <f>K59-L59</f>
        <v>#N/A</v>
      </c>
      <c r="M60" s="308"/>
      <c r="N60" s="308" t="e">
        <f>M59-N59</f>
        <v>#N/A</v>
      </c>
      <c r="O60" s="308"/>
      <c r="P60" s="308" t="e">
        <f>O59-P59</f>
        <v>#N/A</v>
      </c>
      <c r="Q60" s="308"/>
      <c r="R60" s="308">
        <f>Q59-R59</f>
        <v>0</v>
      </c>
      <c r="S60" s="308"/>
      <c r="T60" s="308">
        <f>S59-T59</f>
        <v>0</v>
      </c>
      <c r="U60" s="308"/>
      <c r="V60" s="308">
        <f>U59-V59</f>
        <v>0</v>
      </c>
      <c r="W60" s="308"/>
      <c r="X60" s="308">
        <f>W59-X59</f>
        <v>0</v>
      </c>
      <c r="Y60" s="308"/>
      <c r="Z60" s="308">
        <f>Y59-Z59</f>
        <v>0</v>
      </c>
      <c r="AA60" s="308"/>
      <c r="AB60" s="308" t="e">
        <f>AA59-AB59</f>
        <v>#N/A</v>
      </c>
      <c r="AC60" s="308"/>
      <c r="AD60" s="308" t="e">
        <f>AC59-AD59</f>
        <v>#N/A</v>
      </c>
      <c r="AE60" s="308"/>
      <c r="AF60" s="308" t="e">
        <f>AE59-AF59</f>
        <v>#N/A</v>
      </c>
      <c r="AG60" s="74"/>
      <c r="AH60" s="74"/>
      <c r="AI60" s="74"/>
      <c r="AJ60" s="74"/>
      <c r="AK60" s="74"/>
      <c r="AL60" s="74"/>
      <c r="AM60" s="74"/>
      <c r="AN60" s="74"/>
      <c r="AO60" s="74"/>
      <c r="AP60" s="74"/>
      <c r="AQ60" s="74"/>
      <c r="AR60" s="74"/>
      <c r="AS60" s="74"/>
      <c r="AT60" s="74"/>
      <c r="AU60" s="74"/>
    </row>
    <row r="61" spans="1:55" ht="15.75" thickBot="1" x14ac:dyDescent="0.3">
      <c r="A61" s="307" t="s">
        <v>874</v>
      </c>
      <c r="B61" s="309" t="s">
        <v>1181</v>
      </c>
      <c r="C61" s="310"/>
      <c r="D61" s="310" t="e">
        <f>IF(C59=0,0,D60/C59)</f>
        <v>#N/A</v>
      </c>
      <c r="E61" s="74"/>
      <c r="F61" s="74"/>
      <c r="G61" s="307" t="s">
        <v>874</v>
      </c>
      <c r="H61" s="309" t="s">
        <v>1181</v>
      </c>
      <c r="I61" s="310"/>
      <c r="J61" s="310" t="e">
        <f>IF(I59=0,0,J60/I59)</f>
        <v>#N/A</v>
      </c>
      <c r="K61" s="310"/>
      <c r="L61" s="310" t="e">
        <f>IF(K59=0,0,L60/K59)</f>
        <v>#N/A</v>
      </c>
      <c r="M61" s="310"/>
      <c r="N61" s="310" t="e">
        <f>IF(M59=0,0,N60/M59)</f>
        <v>#N/A</v>
      </c>
      <c r="O61" s="310"/>
      <c r="P61" s="310" t="e">
        <f>IF(O59=0,0,P60/O59)</f>
        <v>#N/A</v>
      </c>
      <c r="Q61" s="310"/>
      <c r="R61" s="310">
        <f>IF(Q59=0,0,R60/Q59)</f>
        <v>0</v>
      </c>
      <c r="S61" s="310"/>
      <c r="T61" s="310">
        <f>IF(S59=0,0,T60/S59)</f>
        <v>0</v>
      </c>
      <c r="U61" s="310"/>
      <c r="V61" s="310">
        <f>IF(U59=0,0,V60/U59)</f>
        <v>0</v>
      </c>
      <c r="W61" s="310"/>
      <c r="X61" s="310">
        <f>IF(W59=0,0,X60/W59)</f>
        <v>0</v>
      </c>
      <c r="Y61" s="310"/>
      <c r="Z61" s="310">
        <f>IF(Y59=0,0,Z60/Y59)</f>
        <v>0</v>
      </c>
      <c r="AA61" s="310"/>
      <c r="AB61" s="310" t="e">
        <f>IF(AA59=0,0,AB60/AA59)</f>
        <v>#N/A</v>
      </c>
      <c r="AC61" s="310"/>
      <c r="AD61" s="310" t="e">
        <f>IF(AC59=0,0,AD60/AC59)</f>
        <v>#N/A</v>
      </c>
      <c r="AE61" s="310"/>
      <c r="AF61" s="310" t="e">
        <f>IF(AE59=0,0,AF60/AE59)</f>
        <v>#N/A</v>
      </c>
      <c r="AG61" s="74"/>
      <c r="AH61" s="74"/>
      <c r="AI61" s="74"/>
      <c r="AJ61" s="74"/>
      <c r="AK61" s="74"/>
      <c r="AL61" s="74"/>
      <c r="AM61" s="74"/>
      <c r="AN61" s="74"/>
      <c r="AO61" s="74"/>
      <c r="AP61" s="74"/>
      <c r="AQ61" s="74"/>
      <c r="AR61" s="74"/>
      <c r="AS61" s="74"/>
      <c r="AT61" s="74"/>
      <c r="AU61" s="74"/>
    </row>
    <row r="62" spans="1:55" ht="24.75" customHeight="1" x14ac:dyDescent="0.25">
      <c r="A62" s="329" t="s">
        <v>1198</v>
      </c>
      <c r="B62" s="322" t="s">
        <v>842</v>
      </c>
      <c r="C62" s="323" t="e">
        <f>'Расчет базового уровня'!D62</f>
        <v>#N/A</v>
      </c>
      <c r="D62" s="324" t="e">
        <f>IF((D151*D152*'Ввод исходных данных'!$D$22*0.28)*D147*0.024+D190*D154+D161&gt;C62,C62,(D151*D152*'Ввод исходных данных'!$D$22*0.28)*D147*0.024+D190*D154+D161)</f>
        <v>#VALUE!</v>
      </c>
      <c r="E62" s="74"/>
      <c r="F62" s="74"/>
      <c r="G62" s="344" t="s">
        <v>1198</v>
      </c>
      <c r="H62" s="326" t="s">
        <v>842</v>
      </c>
      <c r="I62" s="323" t="e">
        <f>'Расчет базового уровня'!J62</f>
        <v>#N/A</v>
      </c>
      <c r="J62" s="328" t="e">
        <f>MIN(I62,($D$151*$D$152*'Ввод исходных данных'!$D$22*0.28)*$G$147*0.024+$G$190*$D$154+$G$161)</f>
        <v>#DIV/0!</v>
      </c>
      <c r="K62" s="323" t="e">
        <f>'Расчет базового уровня'!M62</f>
        <v>#N/A</v>
      </c>
      <c r="L62" s="328" t="e">
        <f>MIN(K62,($D$151*$D$152*'Ввод исходных данных'!$D$22*0.28)*$H$147*0.024+$H$190*$D$154+$H$161)</f>
        <v>#DIV/0!</v>
      </c>
      <c r="M62" s="323" t="e">
        <f>'Расчет базового уровня'!P62</f>
        <v>#N/A</v>
      </c>
      <c r="N62" s="328" t="e">
        <f>MIN(M62,($D$151*$D$152*'Ввод исходных данных'!$D$22*0.28)*$I$147*0.024+$I$190*$D$154+$I$161)</f>
        <v>#DIV/0!</v>
      </c>
      <c r="O62" s="323" t="e">
        <f>'Расчет базового уровня'!S62</f>
        <v>#N/A</v>
      </c>
      <c r="P62" s="328" t="e">
        <f>MIN(O62,($D$151*$D$152*'Ввод исходных данных'!$D$22*0.28)*$J$147*0.024+$J$190*$D$154+$J$161)</f>
        <v>#DIV/0!</v>
      </c>
      <c r="Q62" s="323">
        <f>'Расчет базового уровня'!V62</f>
        <v>0</v>
      </c>
      <c r="R62" s="328" t="e">
        <f>MIN(Q62,($D$151*$D$152*'Ввод исходных данных'!$D$22*0.28)*$K$147*0.024+$K$190*$D$154+$K$161)</f>
        <v>#DIV/0!</v>
      </c>
      <c r="S62" s="323">
        <f>'Расчет базового уровня'!Y62</f>
        <v>0</v>
      </c>
      <c r="T62" s="328" t="e">
        <f>MIN(S62,($D$151*$D$152*'Ввод исходных данных'!$D$22*0.28)*$L$147*0.024+$L$190*$D$154+$L$161)</f>
        <v>#DIV/0!</v>
      </c>
      <c r="U62" s="323">
        <f>'Расчет базового уровня'!AB62</f>
        <v>0</v>
      </c>
      <c r="V62" s="328" t="e">
        <f>MIN(U62,($D$151*$D$152*'Ввод исходных данных'!$D$22*0.28)*$M$147*0.024+$M$190*$D$154+$M$161)</f>
        <v>#DIV/0!</v>
      </c>
      <c r="W62" s="323">
        <f>'Расчет базового уровня'!AE62</f>
        <v>0</v>
      </c>
      <c r="X62" s="328" t="e">
        <f>MIN(W62,($D$151*$D$152*'Ввод исходных данных'!$D$22*0.28)*$N$147*0.024+$N$190*$D$154+$N$161)</f>
        <v>#DIV/0!</v>
      </c>
      <c r="Y62" s="323">
        <f>'Расчет базового уровня'!AH62</f>
        <v>0</v>
      </c>
      <c r="Z62" s="328" t="e">
        <f>MIN(Y62,($D$151*$D$152*'Ввод исходных данных'!$D$22*0.28)*$O$147*0.024+$O$190*$D$154+$O$161)</f>
        <v>#DIV/0!</v>
      </c>
      <c r="AA62" s="323">
        <f>'Расчет базового уровня'!AK62</f>
        <v>0</v>
      </c>
      <c r="AB62" s="328" t="e">
        <f>MIN(AA62,($D$151*$D$152*'Ввод исходных данных'!$D$22*0.28)*$P$147*0.024+$P$190*$D$154+$P$161)</f>
        <v>#DIV/0!</v>
      </c>
      <c r="AC62" s="323">
        <f>'Расчет базового уровня'!AN62</f>
        <v>0</v>
      </c>
      <c r="AD62" s="328" t="e">
        <f>MIN(AC62,($D$151*$D$152*'Ввод исходных данных'!$D$22*0.28)*$Q$147*0.024+$Q$190*$D$154+$Q$161)</f>
        <v>#DIV/0!</v>
      </c>
      <c r="AE62" s="323">
        <f>'Расчет базового уровня'!AQ62</f>
        <v>0</v>
      </c>
      <c r="AF62" s="328" t="e">
        <f>MIN(AE62,($D$151*$D$152*'Ввод исходных данных'!$D$22*0.28)*$R$147*0.024+$R$190*$D$154+$R$161)</f>
        <v>#DIV/0!</v>
      </c>
      <c r="AG62" s="74"/>
      <c r="AH62" s="74"/>
      <c r="AI62" s="74"/>
      <c r="AJ62" s="74"/>
      <c r="AK62" s="74"/>
      <c r="AL62" s="74"/>
      <c r="AM62" s="74"/>
      <c r="AN62" s="74"/>
      <c r="AO62" s="74"/>
      <c r="AP62" s="74"/>
      <c r="AQ62" s="74"/>
      <c r="AR62" s="74"/>
      <c r="AS62" s="74"/>
      <c r="AT62" s="74"/>
      <c r="AU62" s="74"/>
    </row>
    <row r="63" spans="1:55" x14ac:dyDescent="0.25">
      <c r="A63" s="307" t="s">
        <v>1339</v>
      </c>
      <c r="B63" s="304" t="s">
        <v>842</v>
      </c>
      <c r="C63" s="308"/>
      <c r="D63" s="308" t="e">
        <f>C62-D62</f>
        <v>#N/A</v>
      </c>
      <c r="E63" s="317"/>
      <c r="F63" s="74"/>
      <c r="G63" s="307" t="s">
        <v>1339</v>
      </c>
      <c r="H63" s="304" t="s">
        <v>842</v>
      </c>
      <c r="I63" s="308"/>
      <c r="J63" s="308" t="e">
        <f>I62-J62</f>
        <v>#N/A</v>
      </c>
      <c r="K63" s="308"/>
      <c r="L63" s="308" t="e">
        <f>K62-L62</f>
        <v>#N/A</v>
      </c>
      <c r="M63" s="308"/>
      <c r="N63" s="308" t="e">
        <f>M62-N62</f>
        <v>#N/A</v>
      </c>
      <c r="O63" s="308"/>
      <c r="P63" s="308" t="e">
        <f>O62-P62</f>
        <v>#N/A</v>
      </c>
      <c r="Q63" s="308"/>
      <c r="R63" s="308" t="e">
        <f>Q62-R62</f>
        <v>#DIV/0!</v>
      </c>
      <c r="S63" s="308"/>
      <c r="T63" s="308" t="e">
        <f>S62-T62</f>
        <v>#DIV/0!</v>
      </c>
      <c r="U63" s="308"/>
      <c r="V63" s="308" t="e">
        <f>U62-V62</f>
        <v>#DIV/0!</v>
      </c>
      <c r="W63" s="308"/>
      <c r="X63" s="308" t="e">
        <f>W62-X62</f>
        <v>#DIV/0!</v>
      </c>
      <c r="Y63" s="308"/>
      <c r="Z63" s="308" t="e">
        <f>Y62-Z62</f>
        <v>#DIV/0!</v>
      </c>
      <c r="AA63" s="308"/>
      <c r="AB63" s="308" t="e">
        <f>AA62-AB62</f>
        <v>#DIV/0!</v>
      </c>
      <c r="AC63" s="308"/>
      <c r="AD63" s="308" t="e">
        <f>AC62-AD62</f>
        <v>#DIV/0!</v>
      </c>
      <c r="AE63" s="308"/>
      <c r="AF63" s="308" t="e">
        <f>AE62-AF62</f>
        <v>#DIV/0!</v>
      </c>
      <c r="AG63" s="74"/>
      <c r="AH63" s="74"/>
      <c r="AI63" s="74"/>
      <c r="AJ63" s="74"/>
      <c r="AK63" s="74"/>
      <c r="AL63" s="74"/>
      <c r="AM63" s="74"/>
      <c r="AN63" s="74"/>
      <c r="AO63" s="74"/>
      <c r="AP63" s="74"/>
      <c r="AQ63" s="74"/>
      <c r="AR63" s="74"/>
      <c r="AS63" s="74"/>
      <c r="AT63" s="74"/>
      <c r="AU63" s="74"/>
    </row>
    <row r="64" spans="1:55" ht="15.75" thickBot="1" x14ac:dyDescent="0.3">
      <c r="A64" s="307" t="s">
        <v>874</v>
      </c>
      <c r="B64" s="309" t="s">
        <v>1181</v>
      </c>
      <c r="C64" s="310"/>
      <c r="D64" s="310" t="e">
        <f>IF(C62=0,0,D63/C62)</f>
        <v>#N/A</v>
      </c>
      <c r="E64" s="74"/>
      <c r="F64" s="74"/>
      <c r="G64" s="307" t="s">
        <v>874</v>
      </c>
      <c r="H64" s="309" t="s">
        <v>1181</v>
      </c>
      <c r="I64" s="310"/>
      <c r="J64" s="310" t="e">
        <f>IF(I62=0,0,J63/I62)</f>
        <v>#N/A</v>
      </c>
      <c r="K64" s="310"/>
      <c r="L64" s="310" t="e">
        <f>IF(K62=0,0,L63/K62)</f>
        <v>#N/A</v>
      </c>
      <c r="M64" s="310"/>
      <c r="N64" s="310" t="e">
        <f>IF(M62=0,0,N63/M62)</f>
        <v>#N/A</v>
      </c>
      <c r="O64" s="310"/>
      <c r="P64" s="310" t="e">
        <f>IF(O62=0,0,P63/O62)</f>
        <v>#N/A</v>
      </c>
      <c r="Q64" s="310"/>
      <c r="R64" s="310">
        <f>IF(Q62=0,0,R63/Q62)</f>
        <v>0</v>
      </c>
      <c r="S64" s="310"/>
      <c r="T64" s="310">
        <f>IF(S62=0,0,T63/S62)</f>
        <v>0</v>
      </c>
      <c r="U64" s="310"/>
      <c r="V64" s="310">
        <f>IF(U62=0,0,V63/U62)</f>
        <v>0</v>
      </c>
      <c r="W64" s="310"/>
      <c r="X64" s="310">
        <f>IF(W62=0,0,X63/W62)</f>
        <v>0</v>
      </c>
      <c r="Y64" s="310"/>
      <c r="Z64" s="310">
        <f>IF(Y62=0,0,Z63/Y62)</f>
        <v>0</v>
      </c>
      <c r="AA64" s="310"/>
      <c r="AB64" s="310">
        <f>IF(AA62=0,0,AB63/AA62)</f>
        <v>0</v>
      </c>
      <c r="AC64" s="310"/>
      <c r="AD64" s="310">
        <f>IF(AC62=0,0,AD63/AC62)</f>
        <v>0</v>
      </c>
      <c r="AE64" s="310"/>
      <c r="AF64" s="310">
        <f>IF(AE62=0,0,AF63/AE62)</f>
        <v>0</v>
      </c>
      <c r="AG64" s="74"/>
      <c r="AH64" s="74"/>
      <c r="AI64" s="74"/>
      <c r="AJ64" s="74"/>
      <c r="AK64" s="74"/>
      <c r="AL64" s="74"/>
      <c r="AM64" s="74"/>
      <c r="AN64" s="74"/>
      <c r="AO64" s="74"/>
      <c r="AP64" s="74"/>
      <c r="AQ64" s="74"/>
      <c r="AR64" s="74"/>
      <c r="AS64" s="74"/>
      <c r="AT64" s="74"/>
      <c r="AU64" s="74"/>
    </row>
    <row r="65" spans="1:47" ht="45.75" customHeight="1" x14ac:dyDescent="0.25">
      <c r="A65" s="329" t="s">
        <v>1206</v>
      </c>
      <c r="B65" s="322" t="s">
        <v>842</v>
      </c>
      <c r="C65" s="323" t="e">
        <f>'Расчет базового уровня'!D65</f>
        <v>#N/A</v>
      </c>
      <c r="D65" s="324" t="e">
        <f>IF((D62+D38-D71*$D$156)*($D$158-1)&gt;C65,C65,(D62+D38-D71*$D$156)*($D$158-1))</f>
        <v>#VALUE!</v>
      </c>
      <c r="E65" s="74"/>
      <c r="F65" s="74"/>
      <c r="G65" s="345" t="s">
        <v>1206</v>
      </c>
      <c r="H65" s="346" t="s">
        <v>842</v>
      </c>
      <c r="I65" s="323" t="e">
        <f>'Расчет базового уровня'!J65</f>
        <v>#N/A</v>
      </c>
      <c r="J65" s="347" t="e">
        <f>MIN(I65,(J62+J38-J71*$D$156)*($D$158-1))</f>
        <v>#DIV/0!</v>
      </c>
      <c r="K65" s="323" t="e">
        <f>'Расчет базового уровня'!M65</f>
        <v>#N/A</v>
      </c>
      <c r="L65" s="347" t="e">
        <f>MIN(K65,(L62+L38-L71*$D$156)*($D$158-1))</f>
        <v>#DIV/0!</v>
      </c>
      <c r="M65" s="323" t="e">
        <f>'Расчет базового уровня'!P65</f>
        <v>#N/A</v>
      </c>
      <c r="N65" s="347" t="e">
        <f>MIN(M65,(N62+N38-N71*$D$156)*($D$158-1))</f>
        <v>#DIV/0!</v>
      </c>
      <c r="O65" s="323" t="e">
        <f>'Расчет базового уровня'!S65</f>
        <v>#N/A</v>
      </c>
      <c r="P65" s="347" t="e">
        <f>MIN(O65,(P62+P38-P71*$D$156)*($D$158-1))</f>
        <v>#DIV/0!</v>
      </c>
      <c r="Q65" s="323">
        <f>'Расчет базового уровня'!V65</f>
        <v>0</v>
      </c>
      <c r="R65" s="347" t="e">
        <f>MIN(Q65,(R62+R38-R71*$D$156)*($D$158-1))</f>
        <v>#DIV/0!</v>
      </c>
      <c r="S65" s="323">
        <f>'Расчет базового уровня'!Y65</f>
        <v>0</v>
      </c>
      <c r="T65" s="347" t="e">
        <f>MIN(S65,(T62+T38-T71*$D$156)*($D$158-1))</f>
        <v>#DIV/0!</v>
      </c>
      <c r="U65" s="323">
        <f>'Расчет базового уровня'!AB65</f>
        <v>0</v>
      </c>
      <c r="V65" s="347" t="e">
        <f>MIN(U65,(V62+V38-V71*$D$156)*($D$158-1))</f>
        <v>#DIV/0!</v>
      </c>
      <c r="W65" s="323">
        <f>'Расчет базового уровня'!AE65</f>
        <v>0</v>
      </c>
      <c r="X65" s="347" t="e">
        <f>MIN(W65,(X62+X38-X71*$D$156)*($D$158-1))</f>
        <v>#DIV/0!</v>
      </c>
      <c r="Y65" s="323">
        <f>'Расчет базового уровня'!AH65</f>
        <v>0</v>
      </c>
      <c r="Z65" s="347" t="e">
        <f>MIN(Y65,(Z62+Z38-Z71*$D$156)*($D$158-1))</f>
        <v>#DIV/0!</v>
      </c>
      <c r="AA65" s="323">
        <f>'Расчет базового уровня'!AK65</f>
        <v>0</v>
      </c>
      <c r="AB65" s="347" t="e">
        <f>MIN(AA65,(AB62+AB38-AB71*$D$156)*($D$158-1))</f>
        <v>#DIV/0!</v>
      </c>
      <c r="AC65" s="323">
        <f>'Расчет базового уровня'!AN65</f>
        <v>0</v>
      </c>
      <c r="AD65" s="347" t="e">
        <f>MIN(AC65,(AD62+AD38-AD71*$D$156)*($D$158-1))</f>
        <v>#DIV/0!</v>
      </c>
      <c r="AE65" s="323">
        <f>'Расчет базового уровня'!AQ65</f>
        <v>0</v>
      </c>
      <c r="AF65" s="347" t="e">
        <f>MIN(AE65,(AF62+AF38-AF71*$D$156)*($D$158-1))</f>
        <v>#DIV/0!</v>
      </c>
      <c r="AG65" s="74"/>
      <c r="AH65" s="74"/>
      <c r="AI65" s="74"/>
      <c r="AJ65" s="74"/>
      <c r="AK65" s="74"/>
      <c r="AL65" s="74"/>
      <c r="AM65" s="74"/>
      <c r="AN65" s="74"/>
      <c r="AO65" s="74"/>
      <c r="AP65" s="74"/>
      <c r="AQ65" s="74"/>
      <c r="AR65" s="74"/>
      <c r="AS65" s="74"/>
      <c r="AT65" s="74"/>
      <c r="AU65" s="74"/>
    </row>
    <row r="66" spans="1:47" x14ac:dyDescent="0.25">
      <c r="A66" s="307" t="s">
        <v>1339</v>
      </c>
      <c r="B66" s="304" t="s">
        <v>842</v>
      </c>
      <c r="C66" s="308"/>
      <c r="D66" s="308" t="e">
        <f>C65-D65</f>
        <v>#N/A</v>
      </c>
      <c r="E66" s="74"/>
      <c r="F66" s="74"/>
      <c r="G66" s="307" t="s">
        <v>1339</v>
      </c>
      <c r="H66" s="304" t="s">
        <v>842</v>
      </c>
      <c r="I66" s="308"/>
      <c r="J66" s="308" t="e">
        <f>I65-J65</f>
        <v>#N/A</v>
      </c>
      <c r="K66" s="308"/>
      <c r="L66" s="308" t="e">
        <f>K65-L65</f>
        <v>#N/A</v>
      </c>
      <c r="M66" s="308"/>
      <c r="N66" s="308" t="e">
        <f>M65-N65</f>
        <v>#N/A</v>
      </c>
      <c r="O66" s="308"/>
      <c r="P66" s="308" t="e">
        <f>O65-P65</f>
        <v>#N/A</v>
      </c>
      <c r="Q66" s="308"/>
      <c r="R66" s="308" t="e">
        <f>Q65-R65</f>
        <v>#DIV/0!</v>
      </c>
      <c r="S66" s="308"/>
      <c r="T66" s="308" t="e">
        <f>S65-T65</f>
        <v>#DIV/0!</v>
      </c>
      <c r="U66" s="308"/>
      <c r="V66" s="308" t="e">
        <f>U65-V65</f>
        <v>#DIV/0!</v>
      </c>
      <c r="W66" s="308"/>
      <c r="X66" s="308" t="e">
        <f>W65-X65</f>
        <v>#DIV/0!</v>
      </c>
      <c r="Y66" s="308"/>
      <c r="Z66" s="308" t="e">
        <f>Y65-Z65</f>
        <v>#DIV/0!</v>
      </c>
      <c r="AA66" s="308"/>
      <c r="AB66" s="308" t="e">
        <f>AA65-AB65</f>
        <v>#DIV/0!</v>
      </c>
      <c r="AC66" s="308"/>
      <c r="AD66" s="308" t="e">
        <f>AC65-AD65</f>
        <v>#DIV/0!</v>
      </c>
      <c r="AE66" s="308"/>
      <c r="AF66" s="308" t="e">
        <f>AE65-AF65</f>
        <v>#DIV/0!</v>
      </c>
      <c r="AG66" s="74"/>
      <c r="AH66" s="74"/>
      <c r="AI66" s="74"/>
      <c r="AJ66" s="74"/>
      <c r="AK66" s="74"/>
      <c r="AL66" s="74"/>
      <c r="AM66" s="74"/>
      <c r="AN66" s="74"/>
      <c r="AO66" s="74"/>
      <c r="AP66" s="74"/>
      <c r="AQ66" s="74"/>
      <c r="AR66" s="74"/>
      <c r="AS66" s="74"/>
      <c r="AT66" s="74"/>
      <c r="AU66" s="74"/>
    </row>
    <row r="67" spans="1:47" ht="18" customHeight="1" thickBot="1" x14ac:dyDescent="0.3">
      <c r="A67" s="307" t="s">
        <v>874</v>
      </c>
      <c r="B67" s="309" t="s">
        <v>1181</v>
      </c>
      <c r="C67" s="310"/>
      <c r="D67" s="310" t="e">
        <f>IF(C65=0,0,D66/C65)</f>
        <v>#N/A</v>
      </c>
      <c r="E67" s="74"/>
      <c r="F67" s="74"/>
      <c r="G67" s="307" t="s">
        <v>874</v>
      </c>
      <c r="H67" s="309" t="s">
        <v>1181</v>
      </c>
      <c r="I67" s="310"/>
      <c r="J67" s="310" t="e">
        <f>IF(I65=0,0,J66/I65)</f>
        <v>#N/A</v>
      </c>
      <c r="K67" s="310"/>
      <c r="L67" s="310" t="e">
        <f>IF(K65=0,0,L66/K65)</f>
        <v>#N/A</v>
      </c>
      <c r="M67" s="310"/>
      <c r="N67" s="310" t="e">
        <f>IF(M65=0,0,N66/M65)</f>
        <v>#N/A</v>
      </c>
      <c r="O67" s="310"/>
      <c r="P67" s="310" t="e">
        <f>IF(O65=0,0,P66/O65)</f>
        <v>#N/A</v>
      </c>
      <c r="Q67" s="310"/>
      <c r="R67" s="310">
        <f>IF(Q65=0,0,R66/Q65)</f>
        <v>0</v>
      </c>
      <c r="S67" s="310"/>
      <c r="T67" s="310">
        <f>IF(S65=0,0,T66/S65)</f>
        <v>0</v>
      </c>
      <c r="U67" s="310"/>
      <c r="V67" s="310">
        <f>IF(U65=0,0,V66/U65)</f>
        <v>0</v>
      </c>
      <c r="W67" s="310"/>
      <c r="X67" s="310">
        <f>IF(W65=0,0,X66/W65)</f>
        <v>0</v>
      </c>
      <c r="Y67" s="310"/>
      <c r="Z67" s="310">
        <f>IF(Y65=0,0,Z66/Y65)</f>
        <v>0</v>
      </c>
      <c r="AA67" s="310"/>
      <c r="AB67" s="310">
        <f>IF(AA65=0,0,AB66/AA65)</f>
        <v>0</v>
      </c>
      <c r="AC67" s="310"/>
      <c r="AD67" s="310">
        <f>IF(AC65=0,0,AD66/AC65)</f>
        <v>0</v>
      </c>
      <c r="AE67" s="310"/>
      <c r="AF67" s="310">
        <f>IF(AE65=0,0,AF66/AE65)</f>
        <v>0</v>
      </c>
      <c r="AG67" s="74"/>
      <c r="AH67" s="74"/>
      <c r="AI67" s="74"/>
      <c r="AJ67" s="74"/>
      <c r="AK67" s="74"/>
      <c r="AL67" s="74"/>
      <c r="AM67" s="74"/>
      <c r="AN67" s="74"/>
      <c r="AO67" s="74"/>
      <c r="AP67" s="74"/>
      <c r="AQ67" s="74"/>
      <c r="AR67" s="74"/>
      <c r="AS67" s="74"/>
      <c r="AT67" s="74"/>
      <c r="AU67" s="74"/>
    </row>
    <row r="68" spans="1:47" ht="45.6" customHeight="1" x14ac:dyDescent="0.25">
      <c r="A68" s="329" t="s">
        <v>1200</v>
      </c>
      <c r="B68" s="322" t="s">
        <v>842</v>
      </c>
      <c r="C68" s="323" t="e">
        <f>'Расчет базового уровня'!D68</f>
        <v>#DIV/0!</v>
      </c>
      <c r="D68" s="348" t="e">
        <f>IF(D71*(1-$D$156)&gt;C68,C68,D71*(1-$D$156))</f>
        <v>#DIV/0!</v>
      </c>
      <c r="E68" s="74"/>
      <c r="F68" s="74"/>
      <c r="G68" s="345" t="s">
        <v>1200</v>
      </c>
      <c r="H68" s="346" t="s">
        <v>842</v>
      </c>
      <c r="I68" s="323" t="e">
        <f>'Расчет базового уровня'!J68</f>
        <v>#DIV/0!</v>
      </c>
      <c r="J68" s="349" t="e">
        <f>MIN(I68,J71*(1-$D$156))</f>
        <v>#DIV/0!</v>
      </c>
      <c r="K68" s="323" t="e">
        <f>'Расчет базового уровня'!M68</f>
        <v>#DIV/0!</v>
      </c>
      <c r="L68" s="349" t="e">
        <f>MIN(K68,L71*(1-$D$156))</f>
        <v>#DIV/0!</v>
      </c>
      <c r="M68" s="323" t="e">
        <f>'Расчет базового уровня'!P68</f>
        <v>#DIV/0!</v>
      </c>
      <c r="N68" s="349" t="e">
        <f>MIN(M68,N71*(1-$D$156))</f>
        <v>#DIV/0!</v>
      </c>
      <c r="O68" s="323" t="e">
        <f>'Расчет базового уровня'!S68</f>
        <v>#DIV/0!</v>
      </c>
      <c r="P68" s="349" t="e">
        <f>MIN(O68,P71*(1-$D$156))</f>
        <v>#DIV/0!</v>
      </c>
      <c r="Q68" s="323">
        <f>'Расчет базового уровня'!V68</f>
        <v>0</v>
      </c>
      <c r="R68" s="349">
        <f>MIN(Q68,R71*(1-$D$156))</f>
        <v>0</v>
      </c>
      <c r="S68" s="323">
        <f>'Расчет базового уровня'!Y68</f>
        <v>0</v>
      </c>
      <c r="T68" s="349">
        <f>MIN(S68,T71*(1-$D$156))</f>
        <v>0</v>
      </c>
      <c r="U68" s="323">
        <f>'Расчет базового уровня'!AB68</f>
        <v>0</v>
      </c>
      <c r="V68" s="349">
        <f>MIN(U68,V71*(1-$D$156))</f>
        <v>0</v>
      </c>
      <c r="W68" s="323">
        <f>'Расчет базового уровня'!AE68</f>
        <v>0</v>
      </c>
      <c r="X68" s="349">
        <f>MIN(W68,X71*(1-$D$156))</f>
        <v>0</v>
      </c>
      <c r="Y68" s="323">
        <f>'Расчет базового уровня'!AH68</f>
        <v>0</v>
      </c>
      <c r="Z68" s="349">
        <f>MIN(Y68,Z71*(1-$D$156))</f>
        <v>0</v>
      </c>
      <c r="AA68" s="323">
        <f>'Расчет базового уровня'!AK68</f>
        <v>0</v>
      </c>
      <c r="AB68" s="349">
        <f>MIN(AA68,AB71*(1-$D$156))</f>
        <v>0</v>
      </c>
      <c r="AC68" s="323">
        <f>'Расчет базового уровня'!AN68</f>
        <v>0</v>
      </c>
      <c r="AD68" s="349">
        <f>MIN(AC68,AD71*(1-$D$156))</f>
        <v>0</v>
      </c>
      <c r="AE68" s="323">
        <f>'Расчет базового уровня'!AQ68</f>
        <v>0</v>
      </c>
      <c r="AF68" s="349">
        <f>MIN(AE68,AF71*(1-$D$156))</f>
        <v>0</v>
      </c>
      <c r="AG68" s="74"/>
      <c r="AH68" s="74"/>
      <c r="AI68" s="74"/>
      <c r="AJ68" s="74"/>
      <c r="AK68" s="74"/>
      <c r="AL68" s="74"/>
      <c r="AM68" s="74"/>
      <c r="AN68" s="74"/>
      <c r="AO68" s="74"/>
      <c r="AP68" s="74"/>
      <c r="AQ68" s="74"/>
      <c r="AR68" s="74"/>
      <c r="AS68" s="74"/>
      <c r="AT68" s="74"/>
      <c r="AU68" s="74"/>
    </row>
    <row r="69" spans="1:47" x14ac:dyDescent="0.25">
      <c r="A69" s="307" t="s">
        <v>1339</v>
      </c>
      <c r="B69" s="304" t="s">
        <v>842</v>
      </c>
      <c r="C69" s="308"/>
      <c r="D69" s="308" t="e">
        <f>C68-D68</f>
        <v>#DIV/0!</v>
      </c>
      <c r="E69" s="74"/>
      <c r="F69" s="74"/>
      <c r="G69" s="307" t="s">
        <v>1339</v>
      </c>
      <c r="H69" s="304" t="s">
        <v>842</v>
      </c>
      <c r="I69" s="308"/>
      <c r="J69" s="308" t="e">
        <f>I68-J68</f>
        <v>#DIV/0!</v>
      </c>
      <c r="K69" s="308"/>
      <c r="L69" s="308" t="e">
        <f>K68-L68</f>
        <v>#DIV/0!</v>
      </c>
      <c r="M69" s="308"/>
      <c r="N69" s="308" t="e">
        <f>M68-N68</f>
        <v>#DIV/0!</v>
      </c>
      <c r="O69" s="308"/>
      <c r="P69" s="308" t="e">
        <f>O68-P68</f>
        <v>#DIV/0!</v>
      </c>
      <c r="Q69" s="308"/>
      <c r="R69" s="308">
        <f>Q68-R68</f>
        <v>0</v>
      </c>
      <c r="S69" s="308"/>
      <c r="T69" s="308">
        <f>S68-T68</f>
        <v>0</v>
      </c>
      <c r="U69" s="308"/>
      <c r="V69" s="308">
        <f>U68-V68</f>
        <v>0</v>
      </c>
      <c r="W69" s="308"/>
      <c r="X69" s="308">
        <f>W68-X68</f>
        <v>0</v>
      </c>
      <c r="Y69" s="308"/>
      <c r="Z69" s="308">
        <f>Y68-Z68</f>
        <v>0</v>
      </c>
      <c r="AA69" s="308"/>
      <c r="AB69" s="308">
        <f>AA68-AB68</f>
        <v>0</v>
      </c>
      <c r="AC69" s="308"/>
      <c r="AD69" s="308">
        <f>AC68-AD68</f>
        <v>0</v>
      </c>
      <c r="AE69" s="308"/>
      <c r="AF69" s="308">
        <f>AE68-AF68</f>
        <v>0</v>
      </c>
      <c r="AG69" s="74"/>
      <c r="AH69" s="74"/>
      <c r="AI69" s="74"/>
      <c r="AJ69" s="74"/>
      <c r="AK69" s="74"/>
      <c r="AL69" s="74"/>
      <c r="AM69" s="74"/>
      <c r="AN69" s="74"/>
      <c r="AO69" s="74"/>
      <c r="AP69" s="74"/>
      <c r="AQ69" s="74"/>
      <c r="AR69" s="74"/>
      <c r="AS69" s="74"/>
      <c r="AT69" s="74"/>
      <c r="AU69" s="74"/>
    </row>
    <row r="70" spans="1:47" ht="15" customHeight="1" thickBot="1" x14ac:dyDescent="0.3">
      <c r="A70" s="307" t="s">
        <v>874</v>
      </c>
      <c r="B70" s="309" t="s">
        <v>1181</v>
      </c>
      <c r="C70" s="310"/>
      <c r="D70" s="310" t="e">
        <f>IF(C68=0,0,D69/C68)</f>
        <v>#DIV/0!</v>
      </c>
      <c r="E70" s="74"/>
      <c r="F70" s="74"/>
      <c r="G70" s="307" t="s">
        <v>874</v>
      </c>
      <c r="H70" s="309" t="s">
        <v>1181</v>
      </c>
      <c r="I70" s="310"/>
      <c r="J70" s="310" t="e">
        <f>IF(I68=0,0,J69/I68)</f>
        <v>#DIV/0!</v>
      </c>
      <c r="K70" s="310"/>
      <c r="L70" s="310" t="e">
        <f>IF(K68=0,0,L69/K68)</f>
        <v>#DIV/0!</v>
      </c>
      <c r="M70" s="310"/>
      <c r="N70" s="310" t="e">
        <f>IF(M68=0,0,N69/M68)</f>
        <v>#DIV/0!</v>
      </c>
      <c r="O70" s="310"/>
      <c r="P70" s="310" t="e">
        <f>IF(O68=0,0,P69/O68)</f>
        <v>#DIV/0!</v>
      </c>
      <c r="Q70" s="310"/>
      <c r="R70" s="310">
        <f>IF(Q68=0,0,R69/Q68)</f>
        <v>0</v>
      </c>
      <c r="S70" s="310"/>
      <c r="T70" s="310">
        <f>IF(S68=0,0,T69/S68)</f>
        <v>0</v>
      </c>
      <c r="U70" s="310"/>
      <c r="V70" s="310">
        <f>IF(U68=0,0,V69/U68)</f>
        <v>0</v>
      </c>
      <c r="W70" s="310"/>
      <c r="X70" s="310">
        <f>IF(W68=0,0,X69/W68)</f>
        <v>0</v>
      </c>
      <c r="Y70" s="310"/>
      <c r="Z70" s="310">
        <f>IF(Y68=0,0,Z69/Y68)</f>
        <v>0</v>
      </c>
      <c r="AA70" s="310"/>
      <c r="AB70" s="310">
        <f>IF(AA68=0,0,AB69/AA68)</f>
        <v>0</v>
      </c>
      <c r="AC70" s="310"/>
      <c r="AD70" s="310">
        <f>IF(AC68=0,0,AD69/AC68)</f>
        <v>0</v>
      </c>
      <c r="AE70" s="310"/>
      <c r="AF70" s="310">
        <f>IF(AE68=0,0,AF69/AE68)</f>
        <v>0</v>
      </c>
      <c r="AG70" s="74"/>
      <c r="AH70" s="74"/>
      <c r="AI70" s="74"/>
      <c r="AJ70" s="74"/>
      <c r="AK70" s="74"/>
      <c r="AL70" s="74"/>
      <c r="AM70" s="74"/>
      <c r="AN70" s="74"/>
      <c r="AO70" s="74"/>
      <c r="AP70" s="74"/>
      <c r="AQ70" s="74"/>
      <c r="AR70" s="74"/>
      <c r="AS70" s="74"/>
      <c r="AT70" s="74"/>
      <c r="AU70" s="74"/>
    </row>
    <row r="71" spans="1:47" ht="26.1" customHeight="1" x14ac:dyDescent="0.25">
      <c r="A71" s="350" t="s">
        <v>1202</v>
      </c>
      <c r="B71" s="351" t="s">
        <v>842</v>
      </c>
      <c r="C71" s="323" t="e">
        <f>'Расчет базового уровня'!D71</f>
        <v>#DIV/0!</v>
      </c>
      <c r="D71" s="352" t="e">
        <f>C71</f>
        <v>#DIV/0!</v>
      </c>
      <c r="E71" s="74"/>
      <c r="F71" s="74"/>
      <c r="G71" s="344" t="s">
        <v>1202</v>
      </c>
      <c r="H71" s="346" t="s">
        <v>842</v>
      </c>
      <c r="I71" s="323">
        <f>'Расчет базового уровня'!J71</f>
        <v>0</v>
      </c>
      <c r="J71" s="353">
        <f>I71</f>
        <v>0</v>
      </c>
      <c r="K71" s="323">
        <f>'Расчет базового уровня'!M71</f>
        <v>0</v>
      </c>
      <c r="L71" s="353">
        <f>K71</f>
        <v>0</v>
      </c>
      <c r="M71" s="323">
        <f>'Расчет базового уровня'!P71</f>
        <v>0</v>
      </c>
      <c r="N71" s="353">
        <f>M71</f>
        <v>0</v>
      </c>
      <c r="O71" s="323">
        <f>'Расчет базового уровня'!S71</f>
        <v>0</v>
      </c>
      <c r="P71" s="354">
        <f>O71</f>
        <v>0</v>
      </c>
      <c r="Q71" s="323">
        <f>'Расчет базового уровня'!V71</f>
        <v>0</v>
      </c>
      <c r="R71" s="335">
        <f>Q71</f>
        <v>0</v>
      </c>
      <c r="S71" s="323">
        <f>'Расчет базового уровня'!Y71</f>
        <v>0</v>
      </c>
      <c r="T71" s="343">
        <f>S71</f>
        <v>0</v>
      </c>
      <c r="U71" s="323">
        <f>'Расчет базового уровня'!AB71</f>
        <v>0</v>
      </c>
      <c r="V71" s="355">
        <f>U71</f>
        <v>0</v>
      </c>
      <c r="W71" s="323">
        <f>'Расчет базового уровня'!AE71</f>
        <v>0</v>
      </c>
      <c r="X71" s="356">
        <f>W71</f>
        <v>0</v>
      </c>
      <c r="Y71" s="323">
        <f>'Расчет базового уровня'!AH71</f>
        <v>0</v>
      </c>
      <c r="Z71" s="355">
        <f>Y71</f>
        <v>0</v>
      </c>
      <c r="AA71" s="323">
        <f>'Расчет базового уровня'!AK71</f>
        <v>0</v>
      </c>
      <c r="AB71" s="353">
        <f>AA71</f>
        <v>0</v>
      </c>
      <c r="AC71" s="323">
        <f>'Расчет базового уровня'!AN71</f>
        <v>0</v>
      </c>
      <c r="AD71" s="353">
        <f>AC71</f>
        <v>0</v>
      </c>
      <c r="AE71" s="323">
        <f>'Расчет базового уровня'!AQ71</f>
        <v>0</v>
      </c>
      <c r="AF71" s="357">
        <f>AE71</f>
        <v>0</v>
      </c>
      <c r="AG71" s="74"/>
      <c r="AH71" s="74"/>
      <c r="AI71" s="74"/>
      <c r="AJ71" s="74"/>
      <c r="AK71" s="74"/>
      <c r="AL71" s="74"/>
      <c r="AM71" s="74"/>
      <c r="AN71" s="74"/>
      <c r="AO71" s="74"/>
      <c r="AP71" s="74"/>
      <c r="AQ71" s="74"/>
      <c r="AR71" s="74"/>
      <c r="AS71" s="74"/>
      <c r="AT71" s="74"/>
      <c r="AU71" s="74"/>
    </row>
    <row r="72" spans="1:47" ht="17.100000000000001" customHeight="1" thickBot="1" x14ac:dyDescent="0.3">
      <c r="A72" s="358" t="s">
        <v>874</v>
      </c>
      <c r="B72" s="359" t="s">
        <v>1184</v>
      </c>
      <c r="C72" s="360" t="e">
        <f>0.86*C71/1000</f>
        <v>#DIV/0!</v>
      </c>
      <c r="D72" s="361" t="e">
        <f>C72</f>
        <v>#DIV/0!</v>
      </c>
      <c r="E72" s="74"/>
      <c r="F72" s="74"/>
      <c r="G72" s="362" t="s">
        <v>874</v>
      </c>
      <c r="H72" s="363" t="s">
        <v>1184</v>
      </c>
      <c r="I72" s="364"/>
      <c r="J72" s="365">
        <f>0.86*J71/1000</f>
        <v>0</v>
      </c>
      <c r="K72" s="364"/>
      <c r="L72" s="365">
        <f>0.86*L71/1000</f>
        <v>0</v>
      </c>
      <c r="M72" s="364"/>
      <c r="N72" s="366">
        <f>0.86*N71/1000</f>
        <v>0</v>
      </c>
      <c r="O72" s="364"/>
      <c r="P72" s="367">
        <f>0.86*P71/1000</f>
        <v>0</v>
      </c>
      <c r="Q72" s="364"/>
      <c r="R72" s="368">
        <f>0.86*R71/1000</f>
        <v>0</v>
      </c>
      <c r="S72" s="364"/>
      <c r="T72" s="369">
        <f>0.86*T71/1000</f>
        <v>0</v>
      </c>
      <c r="U72" s="364"/>
      <c r="V72" s="367">
        <f>0.86*V71/1000</f>
        <v>0</v>
      </c>
      <c r="W72" s="364"/>
      <c r="X72" s="370">
        <f>0.86*X71/1000</f>
        <v>0</v>
      </c>
      <c r="Y72" s="364"/>
      <c r="Z72" s="370">
        <f>0.86*Z71/1000</f>
        <v>0</v>
      </c>
      <c r="AA72" s="364"/>
      <c r="AB72" s="369">
        <f>0.86*AB71/1000</f>
        <v>0</v>
      </c>
      <c r="AC72" s="364"/>
      <c r="AD72" s="369">
        <f>0.86*AD71/1000</f>
        <v>0</v>
      </c>
      <c r="AE72" s="364"/>
      <c r="AF72" s="371">
        <f>0.86*AF71/1000</f>
        <v>0</v>
      </c>
      <c r="AG72" s="74"/>
      <c r="AH72" s="74"/>
      <c r="AI72" s="74"/>
      <c r="AJ72" s="74"/>
      <c r="AK72" s="74"/>
      <c r="AL72" s="74"/>
      <c r="AM72" s="74"/>
      <c r="AN72" s="74"/>
      <c r="AO72" s="74"/>
      <c r="AP72" s="74"/>
      <c r="AQ72" s="74"/>
      <c r="AR72" s="74"/>
      <c r="AS72" s="74"/>
      <c r="AT72" s="74"/>
      <c r="AU72" s="74"/>
    </row>
    <row r="73" spans="1:47" ht="8.25" customHeight="1" x14ac:dyDescent="0.25">
      <c r="A73" s="329"/>
      <c r="B73" s="322"/>
      <c r="C73" s="323"/>
      <c r="D73" s="372"/>
      <c r="E73" s="74"/>
      <c r="F73" s="74"/>
      <c r="G73" s="344"/>
      <c r="H73" s="326"/>
      <c r="I73" s="323"/>
      <c r="J73" s="373"/>
      <c r="K73" s="323"/>
      <c r="L73" s="373"/>
      <c r="M73" s="323"/>
      <c r="N73" s="373"/>
      <c r="O73" s="323"/>
      <c r="P73" s="373"/>
      <c r="Q73" s="323"/>
      <c r="R73" s="374"/>
      <c r="S73" s="323"/>
      <c r="T73" s="373"/>
      <c r="U73" s="323"/>
      <c r="V73" s="373"/>
      <c r="W73" s="323"/>
      <c r="X73" s="375"/>
      <c r="Y73" s="323"/>
      <c r="Z73" s="376"/>
      <c r="AA73" s="323"/>
      <c r="AB73" s="373"/>
      <c r="AC73" s="323"/>
      <c r="AD73" s="373"/>
      <c r="AE73" s="323"/>
      <c r="AF73" s="373"/>
      <c r="AG73" s="74"/>
      <c r="AH73" s="74"/>
      <c r="AI73" s="74"/>
      <c r="AJ73" s="74"/>
      <c r="AK73" s="74"/>
      <c r="AL73" s="74"/>
      <c r="AM73" s="74"/>
      <c r="AN73" s="74"/>
      <c r="AO73" s="74"/>
      <c r="AP73" s="74"/>
      <c r="AQ73" s="74"/>
      <c r="AR73" s="74"/>
      <c r="AS73" s="74"/>
      <c r="AT73" s="74"/>
      <c r="AU73" s="74"/>
    </row>
    <row r="74" spans="1:47" ht="8.25" customHeight="1" x14ac:dyDescent="0.25">
      <c r="A74" s="358"/>
      <c r="B74" s="359"/>
      <c r="C74" s="377"/>
      <c r="D74" s="378"/>
      <c r="E74" s="74"/>
      <c r="F74" s="74"/>
      <c r="G74" s="379"/>
      <c r="H74" s="380"/>
      <c r="I74" s="381"/>
      <c r="J74" s="382"/>
      <c r="K74" s="381"/>
      <c r="L74" s="382"/>
      <c r="M74" s="381"/>
      <c r="N74" s="382"/>
      <c r="O74" s="381"/>
      <c r="P74" s="382"/>
      <c r="Q74" s="381"/>
      <c r="R74" s="383"/>
      <c r="S74" s="381"/>
      <c r="T74" s="382"/>
      <c r="U74" s="381"/>
      <c r="V74" s="382"/>
      <c r="W74" s="381"/>
      <c r="X74" s="382"/>
      <c r="Y74" s="381"/>
      <c r="Z74" s="384"/>
      <c r="AA74" s="381"/>
      <c r="AB74" s="382"/>
      <c r="AC74" s="381"/>
      <c r="AD74" s="382"/>
      <c r="AE74" s="381"/>
      <c r="AF74" s="382"/>
      <c r="AG74" s="74"/>
      <c r="AH74" s="74"/>
      <c r="AI74" s="74"/>
      <c r="AJ74" s="74"/>
      <c r="AK74" s="74"/>
      <c r="AL74" s="74"/>
      <c r="AM74" s="74"/>
      <c r="AN74" s="74"/>
      <c r="AO74" s="74"/>
      <c r="AP74" s="74"/>
      <c r="AQ74" s="74"/>
      <c r="AR74" s="74"/>
      <c r="AS74" s="74"/>
      <c r="AT74" s="74"/>
      <c r="AU74" s="74"/>
    </row>
    <row r="75" spans="1:47" ht="8.25" customHeight="1" thickBot="1" x14ac:dyDescent="0.3">
      <c r="A75" s="385"/>
      <c r="B75" s="386"/>
      <c r="C75" s="387"/>
      <c r="D75" s="378"/>
      <c r="E75" s="74"/>
      <c r="F75" s="74"/>
      <c r="G75" s="362"/>
      <c r="H75" s="388"/>
      <c r="I75" s="389"/>
      <c r="J75" s="390"/>
      <c r="K75" s="389"/>
      <c r="L75" s="390"/>
      <c r="M75" s="389"/>
      <c r="N75" s="391"/>
      <c r="O75" s="389"/>
      <c r="P75" s="390"/>
      <c r="Q75" s="389"/>
      <c r="R75" s="392"/>
      <c r="S75" s="389"/>
      <c r="T75" s="390"/>
      <c r="U75" s="389"/>
      <c r="V75" s="390"/>
      <c r="W75" s="389"/>
      <c r="X75" s="382"/>
      <c r="Y75" s="389"/>
      <c r="Z75" s="384"/>
      <c r="AA75" s="389"/>
      <c r="AB75" s="390"/>
      <c r="AC75" s="389"/>
      <c r="AD75" s="390"/>
      <c r="AE75" s="389"/>
      <c r="AF75" s="390"/>
      <c r="AG75" s="74"/>
      <c r="AH75" s="74"/>
      <c r="AI75" s="74"/>
      <c r="AJ75" s="74"/>
      <c r="AK75" s="74"/>
      <c r="AL75" s="74"/>
      <c r="AM75" s="74"/>
      <c r="AN75" s="74"/>
      <c r="AO75" s="74"/>
      <c r="AP75" s="74"/>
      <c r="AQ75" s="74"/>
      <c r="AR75" s="74"/>
      <c r="AS75" s="74"/>
      <c r="AT75" s="74"/>
      <c r="AU75" s="74"/>
    </row>
    <row r="76" spans="1:47" ht="24.75" customHeight="1" x14ac:dyDescent="0.25">
      <c r="A76" s="350" t="s">
        <v>1208</v>
      </c>
      <c r="B76" s="351" t="s">
        <v>1190</v>
      </c>
      <c r="C76" s="323" t="e">
        <f>'Расчет базового уровня'!D76</f>
        <v>#DIV/0!</v>
      </c>
      <c r="D76" s="393" t="e">
        <f>D35/('Ввод исходных данных'!$G$45+'Ввод исходных данных'!$D$23)</f>
        <v>#N/A</v>
      </c>
      <c r="E76" s="74"/>
      <c r="F76" s="74"/>
      <c r="G76" s="345"/>
      <c r="H76" s="346"/>
      <c r="I76" s="323"/>
      <c r="J76" s="394"/>
      <c r="K76" s="323"/>
      <c r="L76" s="395"/>
      <c r="M76" s="323"/>
      <c r="N76" s="373"/>
      <c r="O76" s="323"/>
      <c r="P76" s="395"/>
      <c r="Q76" s="323"/>
      <c r="R76" s="373"/>
      <c r="S76" s="323"/>
      <c r="T76" s="396"/>
      <c r="U76" s="323"/>
      <c r="V76" s="395"/>
      <c r="W76" s="323"/>
      <c r="X76" s="375"/>
      <c r="Y76" s="323"/>
      <c r="Z76" s="376"/>
      <c r="AA76" s="323"/>
      <c r="AB76" s="396"/>
      <c r="AC76" s="323"/>
      <c r="AD76" s="373"/>
      <c r="AE76" s="323"/>
      <c r="AF76" s="396"/>
      <c r="AG76" s="74"/>
      <c r="AH76" s="74"/>
      <c r="AI76" s="74"/>
      <c r="AJ76" s="74"/>
      <c r="AK76" s="74"/>
      <c r="AL76" s="74"/>
      <c r="AM76" s="74"/>
      <c r="AN76" s="74"/>
      <c r="AO76" s="74"/>
      <c r="AP76" s="74"/>
      <c r="AQ76" s="74"/>
      <c r="AR76" s="74"/>
      <c r="AS76" s="74"/>
      <c r="AT76" s="74"/>
      <c r="AU76" s="74"/>
    </row>
    <row r="77" spans="1:47" ht="15.75" thickBot="1" x14ac:dyDescent="0.3">
      <c r="A77" s="385" t="s">
        <v>874</v>
      </c>
      <c r="B77" s="397" t="s">
        <v>1209</v>
      </c>
      <c r="C77" s="398" t="e">
        <f>C76*0.86/1000</f>
        <v>#DIV/0!</v>
      </c>
      <c r="D77" s="399" t="e">
        <f>D76*0.86/1000</f>
        <v>#N/A</v>
      </c>
      <c r="E77" s="74"/>
      <c r="F77" s="74"/>
      <c r="G77" s="362"/>
      <c r="H77" s="400"/>
      <c r="I77" s="401"/>
      <c r="J77" s="402"/>
      <c r="K77" s="401"/>
      <c r="L77" s="403"/>
      <c r="M77" s="401"/>
      <c r="N77" s="404"/>
      <c r="O77" s="401"/>
      <c r="P77" s="403"/>
      <c r="Q77" s="401"/>
      <c r="R77" s="390"/>
      <c r="S77" s="401"/>
      <c r="T77" s="390"/>
      <c r="U77" s="401"/>
      <c r="V77" s="384"/>
      <c r="W77" s="401"/>
      <c r="X77" s="390"/>
      <c r="Y77" s="401"/>
      <c r="Z77" s="384"/>
      <c r="AA77" s="401"/>
      <c r="AB77" s="390"/>
      <c r="AC77" s="401"/>
      <c r="AD77" s="401"/>
      <c r="AE77" s="401"/>
      <c r="AF77" s="390"/>
      <c r="AG77" s="74"/>
      <c r="AH77" s="74"/>
      <c r="AI77" s="74"/>
      <c r="AJ77" s="74"/>
      <c r="AK77" s="74"/>
      <c r="AL77" s="74"/>
      <c r="AM77" s="74"/>
      <c r="AN77" s="74"/>
      <c r="AO77" s="74"/>
      <c r="AP77" s="74"/>
      <c r="AQ77" s="74"/>
      <c r="AR77" s="74"/>
      <c r="AS77" s="74"/>
      <c r="AT77" s="74"/>
      <c r="AU77" s="74"/>
    </row>
    <row r="78" spans="1:47" x14ac:dyDescent="0.25">
      <c r="A78" s="74"/>
      <c r="B78" s="74"/>
      <c r="C78" s="74"/>
      <c r="D78" s="74"/>
      <c r="E78" s="74"/>
      <c r="F78" s="74"/>
      <c r="G78" s="74"/>
      <c r="H78" s="74"/>
      <c r="I78" s="74"/>
      <c r="J78" s="74"/>
      <c r="K78" s="74"/>
      <c r="L78" s="74"/>
      <c r="M78" s="74"/>
      <c r="N78" s="74"/>
      <c r="O78" s="74"/>
      <c r="P78" s="74"/>
      <c r="Q78" s="74"/>
      <c r="R78" s="74"/>
      <c r="S78" s="74"/>
      <c r="T78" s="74"/>
      <c r="U78" s="74"/>
      <c r="V78" s="74"/>
      <c r="W78" s="74"/>
      <c r="X78" s="74"/>
      <c r="Y78" s="74"/>
      <c r="Z78" s="74"/>
      <c r="AA78" s="74"/>
      <c r="AB78" s="74"/>
      <c r="AC78" s="74"/>
      <c r="AD78" s="74"/>
      <c r="AE78" s="74"/>
      <c r="AF78" s="74"/>
      <c r="AG78" s="74"/>
      <c r="AH78" s="74"/>
      <c r="AI78" s="74"/>
      <c r="AJ78" s="74"/>
      <c r="AK78" s="74"/>
      <c r="AL78" s="74"/>
      <c r="AM78" s="74"/>
      <c r="AN78" s="74"/>
      <c r="AO78" s="74"/>
      <c r="AP78" s="74"/>
      <c r="AQ78" s="74"/>
      <c r="AR78" s="74"/>
      <c r="AS78" s="74"/>
      <c r="AT78" s="74"/>
      <c r="AU78" s="74"/>
    </row>
    <row r="79" spans="1:47" ht="84.95" customHeight="1" x14ac:dyDescent="0.25">
      <c r="A79" s="405" t="s">
        <v>1196</v>
      </c>
      <c r="B79" s="406" t="s">
        <v>1198</v>
      </c>
      <c r="C79" s="406" t="s">
        <v>1289</v>
      </c>
      <c r="D79" s="406" t="s">
        <v>1200</v>
      </c>
      <c r="E79" s="74"/>
      <c r="F79" s="74"/>
      <c r="G79" s="74"/>
      <c r="H79" s="74"/>
      <c r="I79" s="74"/>
      <c r="J79" s="74"/>
      <c r="K79" s="74"/>
      <c r="L79" s="74"/>
      <c r="M79" s="74"/>
      <c r="N79" s="74"/>
      <c r="O79" s="74"/>
      <c r="P79" s="74"/>
      <c r="Q79" s="74"/>
      <c r="R79" s="74"/>
      <c r="S79" s="74"/>
      <c r="T79" s="74"/>
      <c r="U79" s="74"/>
      <c r="V79" s="74"/>
      <c r="W79" s="74"/>
      <c r="X79" s="74"/>
      <c r="Y79" s="74"/>
      <c r="Z79" s="74"/>
      <c r="AA79" s="74"/>
      <c r="AB79" s="74"/>
      <c r="AC79" s="74"/>
      <c r="AD79" s="74"/>
      <c r="AE79" s="74"/>
      <c r="AF79" s="74"/>
      <c r="AG79" s="74"/>
      <c r="AH79" s="74"/>
      <c r="AI79" s="74"/>
      <c r="AJ79" s="74"/>
      <c r="AK79" s="74"/>
      <c r="AL79" s="74"/>
      <c r="AM79" s="74"/>
      <c r="AN79" s="74"/>
      <c r="AO79" s="74"/>
      <c r="AP79" s="74"/>
      <c r="AQ79" s="74"/>
      <c r="AR79" s="74"/>
      <c r="AS79" s="74"/>
      <c r="AT79" s="74"/>
      <c r="AU79" s="74"/>
    </row>
    <row r="80" spans="1:47" x14ac:dyDescent="0.25">
      <c r="A80" s="407" t="e">
        <f>D38</f>
        <v>#N/A</v>
      </c>
      <c r="B80" s="408" t="e">
        <f>D62</f>
        <v>#VALUE!</v>
      </c>
      <c r="C80" s="408" t="e">
        <f>D65</f>
        <v>#VALUE!</v>
      </c>
      <c r="D80" s="409" t="e">
        <f>D68</f>
        <v>#DIV/0!</v>
      </c>
      <c r="E80" s="74"/>
      <c r="F80" s="74"/>
      <c r="G80" s="74"/>
      <c r="H80" s="74"/>
      <c r="I80" s="74"/>
      <c r="J80" s="74"/>
      <c r="K80" s="74"/>
      <c r="L80" s="74"/>
      <c r="M80" s="74"/>
      <c r="N80" s="74"/>
      <c r="O80" s="74"/>
      <c r="P80" s="74"/>
      <c r="Q80" s="74"/>
      <c r="R80" s="74"/>
      <c r="S80" s="74"/>
      <c r="T80" s="74"/>
      <c r="U80" s="74"/>
      <c r="V80" s="74"/>
      <c r="W80" s="74"/>
      <c r="X80" s="74"/>
      <c r="Y80" s="74"/>
      <c r="Z80" s="74"/>
      <c r="AA80" s="74"/>
      <c r="AB80" s="74"/>
      <c r="AC80" s="74"/>
      <c r="AD80" s="74"/>
      <c r="AE80" s="74"/>
      <c r="AF80" s="74"/>
      <c r="AG80" s="74"/>
      <c r="AH80" s="74"/>
      <c r="AI80" s="74"/>
      <c r="AJ80" s="74"/>
      <c r="AK80" s="74"/>
      <c r="AL80" s="74"/>
      <c r="AM80" s="74"/>
      <c r="AN80" s="74"/>
      <c r="AO80" s="74"/>
      <c r="AP80" s="74"/>
      <c r="AQ80" s="74"/>
      <c r="AR80" s="74"/>
      <c r="AS80" s="74"/>
      <c r="AT80" s="74"/>
      <c r="AU80" s="74"/>
    </row>
    <row r="81" spans="1:55" ht="283.5" customHeight="1" x14ac:dyDescent="0.25">
      <c r="A81" s="74"/>
      <c r="B81" s="74"/>
      <c r="C81" s="74"/>
      <c r="D81" s="74"/>
      <c r="E81" s="74"/>
      <c r="F81" s="74"/>
      <c r="G81" s="74"/>
      <c r="H81" s="74"/>
      <c r="I81" s="74"/>
      <c r="J81" s="74"/>
      <c r="K81" s="74"/>
      <c r="L81" s="74"/>
      <c r="M81" s="74"/>
      <c r="N81" s="74"/>
      <c r="O81" s="74"/>
      <c r="P81" s="74"/>
      <c r="Q81" s="74"/>
      <c r="R81" s="74"/>
      <c r="S81" s="74"/>
      <c r="T81" s="74"/>
      <c r="U81" s="74"/>
      <c r="V81" s="74"/>
      <c r="W81" s="74"/>
      <c r="X81" s="74"/>
      <c r="Y81" s="74"/>
      <c r="Z81" s="74"/>
      <c r="AA81" s="74"/>
      <c r="AB81" s="74"/>
      <c r="AC81" s="74"/>
      <c r="AD81" s="74"/>
      <c r="AE81" s="74"/>
      <c r="AF81" s="74"/>
      <c r="AG81" s="74"/>
      <c r="AH81" s="74"/>
      <c r="AI81" s="74"/>
      <c r="AJ81" s="74"/>
      <c r="AK81" s="74"/>
      <c r="AL81" s="74"/>
      <c r="AM81" s="74"/>
      <c r="AN81" s="74"/>
      <c r="AO81" s="74"/>
      <c r="AP81" s="74"/>
      <c r="AQ81" s="74"/>
      <c r="AR81" s="74"/>
      <c r="AS81" s="74"/>
      <c r="AT81" s="74"/>
      <c r="AU81" s="74"/>
    </row>
    <row r="82" spans="1:55" ht="33.6" customHeight="1" thickBot="1" x14ac:dyDescent="0.3">
      <c r="A82" s="1806" t="s">
        <v>1210</v>
      </c>
      <c r="B82" s="1806"/>
      <c r="C82" s="1806"/>
      <c r="D82" s="1806"/>
      <c r="E82" s="410"/>
      <c r="F82" s="410"/>
      <c r="G82" s="411" t="s">
        <v>1211</v>
      </c>
      <c r="H82" s="412"/>
      <c r="I82" s="412"/>
      <c r="J82" s="412"/>
      <c r="K82" s="412"/>
      <c r="L82" s="412"/>
      <c r="M82" s="412"/>
      <c r="N82" s="412"/>
      <c r="O82" s="410"/>
      <c r="P82" s="410"/>
      <c r="Q82" s="410"/>
      <c r="R82" s="410"/>
      <c r="S82" s="410"/>
      <c r="T82" s="410"/>
      <c r="U82" s="410"/>
      <c r="V82" s="410"/>
      <c r="W82" s="410"/>
      <c r="X82" s="410"/>
      <c r="Y82" s="410"/>
      <c r="Z82" s="410"/>
      <c r="AA82" s="410"/>
      <c r="AB82" s="410"/>
      <c r="AC82" s="410"/>
      <c r="AD82" s="410"/>
      <c r="AE82" s="410"/>
      <c r="AF82" s="410"/>
      <c r="AG82" s="74"/>
      <c r="AH82" s="74"/>
      <c r="AI82" s="74"/>
      <c r="AJ82" s="74"/>
      <c r="AK82" s="74"/>
      <c r="AL82" s="74"/>
      <c r="AM82" s="74"/>
      <c r="AN82" s="74"/>
      <c r="AO82" s="74"/>
      <c r="AP82" s="74"/>
      <c r="AQ82" s="74"/>
      <c r="AR82" s="74"/>
      <c r="AS82" s="74"/>
      <c r="AT82" s="74"/>
      <c r="AU82" s="74"/>
      <c r="AV82" s="74"/>
    </row>
    <row r="83" spans="1:55" ht="38.450000000000003" customHeight="1" x14ac:dyDescent="0.25">
      <c r="A83" s="1817" t="s">
        <v>834</v>
      </c>
      <c r="B83" s="1809" t="s">
        <v>1174</v>
      </c>
      <c r="C83" s="1821" t="s">
        <v>1338</v>
      </c>
      <c r="D83" s="1819" t="s">
        <v>1402</v>
      </c>
      <c r="E83" s="74"/>
      <c r="F83" s="74"/>
      <c r="G83" s="1816" t="s">
        <v>834</v>
      </c>
      <c r="H83" s="1810" t="s">
        <v>1174</v>
      </c>
      <c r="I83" s="1807" t="s">
        <v>488</v>
      </c>
      <c r="J83" s="1808"/>
      <c r="K83" s="1807" t="s">
        <v>489</v>
      </c>
      <c r="L83" s="1808"/>
      <c r="M83" s="1807" t="s">
        <v>490</v>
      </c>
      <c r="N83" s="1808"/>
      <c r="O83" s="1807" t="s">
        <v>491</v>
      </c>
      <c r="P83" s="1808"/>
      <c r="Q83" s="1807" t="s">
        <v>805</v>
      </c>
      <c r="R83" s="1808"/>
      <c r="S83" s="1807" t="s">
        <v>806</v>
      </c>
      <c r="T83" s="1808"/>
      <c r="U83" s="1807" t="s">
        <v>807</v>
      </c>
      <c r="V83" s="1808"/>
      <c r="W83" s="1807" t="s">
        <v>808</v>
      </c>
      <c r="X83" s="1808"/>
      <c r="Y83" s="1807" t="s">
        <v>809</v>
      </c>
      <c r="Z83" s="1808"/>
      <c r="AA83" s="1807" t="s">
        <v>482</v>
      </c>
      <c r="AB83" s="1808"/>
      <c r="AC83" s="1807" t="s">
        <v>486</v>
      </c>
      <c r="AD83" s="1808"/>
      <c r="AE83" s="1807" t="s">
        <v>487</v>
      </c>
      <c r="AF83" s="1808"/>
      <c r="AG83" s="74"/>
      <c r="AH83" s="74"/>
      <c r="AI83" s="74"/>
      <c r="AJ83" s="74"/>
      <c r="AK83" s="74"/>
      <c r="AL83" s="74"/>
      <c r="AM83" s="74"/>
      <c r="AN83" s="74"/>
      <c r="AO83" s="74"/>
      <c r="AP83" s="74"/>
      <c r="AQ83" s="74"/>
      <c r="AR83" s="74"/>
      <c r="AS83" s="74"/>
      <c r="AT83" s="74"/>
      <c r="AU83" s="74"/>
      <c r="AV83" s="74"/>
      <c r="AW83" s="74"/>
    </row>
    <row r="84" spans="1:55" ht="45.75" customHeight="1" x14ac:dyDescent="0.25">
      <c r="A84" s="1818"/>
      <c r="B84" s="1810"/>
      <c r="C84" s="1822"/>
      <c r="D84" s="1820"/>
      <c r="E84" s="74"/>
      <c r="F84" s="74"/>
      <c r="G84" s="1816"/>
      <c r="H84" s="1810"/>
      <c r="I84" s="413" t="s">
        <v>1338</v>
      </c>
      <c r="J84" s="414" t="s">
        <v>1402</v>
      </c>
      <c r="K84" s="413" t="s">
        <v>1338</v>
      </c>
      <c r="L84" s="414" t="s">
        <v>1402</v>
      </c>
      <c r="M84" s="413" t="s">
        <v>1338</v>
      </c>
      <c r="N84" s="414" t="s">
        <v>1402</v>
      </c>
      <c r="O84" s="413" t="s">
        <v>1338</v>
      </c>
      <c r="P84" s="414" t="s">
        <v>1402</v>
      </c>
      <c r="Q84" s="413" t="s">
        <v>1338</v>
      </c>
      <c r="R84" s="414" t="s">
        <v>1402</v>
      </c>
      <c r="S84" s="413" t="s">
        <v>1338</v>
      </c>
      <c r="T84" s="414" t="s">
        <v>1402</v>
      </c>
      <c r="U84" s="413" t="s">
        <v>1338</v>
      </c>
      <c r="V84" s="414" t="s">
        <v>1402</v>
      </c>
      <c r="W84" s="413" t="s">
        <v>1338</v>
      </c>
      <c r="X84" s="414" t="s">
        <v>1402</v>
      </c>
      <c r="Y84" s="413" t="s">
        <v>1338</v>
      </c>
      <c r="Z84" s="414" t="s">
        <v>1402</v>
      </c>
      <c r="AA84" s="413" t="s">
        <v>1338</v>
      </c>
      <c r="AB84" s="414" t="s">
        <v>1402</v>
      </c>
      <c r="AC84" s="413" t="s">
        <v>1338</v>
      </c>
      <c r="AD84" s="414" t="s">
        <v>1402</v>
      </c>
      <c r="AE84" s="413" t="s">
        <v>1338</v>
      </c>
      <c r="AF84" s="414" t="s">
        <v>1402</v>
      </c>
      <c r="AG84" s="74"/>
      <c r="AH84" s="74"/>
      <c r="AI84" s="74"/>
      <c r="AJ84" s="74"/>
      <c r="AK84" s="74"/>
      <c r="AL84" s="74"/>
      <c r="AM84" s="74"/>
      <c r="AN84" s="74"/>
      <c r="AO84" s="74"/>
      <c r="AP84" s="74"/>
      <c r="AQ84" s="74"/>
      <c r="AR84" s="74"/>
      <c r="AS84" s="74"/>
      <c r="AT84" s="74"/>
      <c r="AU84" s="74"/>
      <c r="AV84" s="74"/>
      <c r="AW84" s="74"/>
    </row>
    <row r="85" spans="1:55" ht="29.25" customHeight="1" x14ac:dyDescent="0.25">
      <c r="A85" s="415" t="s">
        <v>1212</v>
      </c>
      <c r="B85" s="416" t="s">
        <v>842</v>
      </c>
      <c r="C85" s="417">
        <f>'Расчет базового уровня'!D85</f>
        <v>0</v>
      </c>
      <c r="D85" s="418" t="e">
        <f>IF('Система ГВС'!F3=2,0,IF(AND('Ввод исходных данных'!$K$198&gt;'Ввод исходных данных'!$F$218/1000*(60-'Расчет после реализации'!$E$173)*(1+'Расчет базового уровня'!$D$176)+'Ввод исходных данных'!E218*'Ввод исходных данных'!$D$113/1000,OR('Список мероприятий'!$D$33=списки!$N$46,'Список мероприятий'!$AB$35=1,'Список мероприятий'!$AB$34=1)),D90*1.163*('Ввод исходных данных'!D107-E173)*(1+IF('Список мероприятий'!$AB$38=1,D174,'Расчет базового уровня'!$D$176))+'Ввод исходных данных'!$E$218*1.163*'Ввод исходных данных'!$D$113*(1+IF('Список мероприятий'!$AB$38=1,D174,'Расчет базового уровня'!$D$176))/(1+'Расчет базового уровня'!$D$176),C85*D90/C90*(1+IF('Список мероприятий'!$AB$38=1,D174,'Расчет базового уровня'!$D$176))/(1+'Расчет базового уровня'!$D$176)+D178/0.86*1000))</f>
        <v>#DIV/0!</v>
      </c>
      <c r="E85" s="317"/>
      <c r="F85" s="419"/>
      <c r="G85" s="420" t="s">
        <v>1213</v>
      </c>
      <c r="H85" s="416" t="s">
        <v>842</v>
      </c>
      <c r="I85" s="421" t="e">
        <f>'Расчет базового уровня'!J85</f>
        <v>#N/A</v>
      </c>
      <c r="J85" s="418" t="e">
        <f>IF('Система ГВС'!F3=2,0,IF(AND('Ввод исходных данных'!$K$198&gt;'Ввод исходных данных'!$F$218/1000*(60-'Расчет после реализации'!$E$173)*(1+'Расчет базового уровня'!$D$176)+'Ввод исходных данных'!E218*3/1000,OR('Список мероприятий'!$D$33=списки!$N$46,'Список мероприятий'!$AB$35=1,'Список мероприятий'!$AB$34=1)),J90*4.2/3.6*(60-IF($I$93=1,5,15))*(1+IF('Список мероприятий'!$AB$38=1,D174,'Расчет базового уровня'!$D$176)),I85*J90/I90*(1+IF('Список мероприятий'!$AB$38=1,D174,'Расчет базового уровня'!$D$176))/(1+'Расчет базового уровня'!$D$176))+G178/0.86*1000)</f>
        <v>#N/A</v>
      </c>
      <c r="K85" s="421" t="e">
        <f>'Расчет базового уровня'!L85</f>
        <v>#N/A</v>
      </c>
      <c r="L85" s="418" t="e">
        <f>IF('Система ГВС'!F3=2,0,IF(AND('Ввод исходных данных'!$K$198&gt;'Ввод исходных данных'!$F$218/1000*(60-'Расчет после реализации'!$E$173)*(1+'Расчет базового уровня'!$D$176)+'Ввод исходных данных'!E218*3/1000,OR('Список мероприятий'!$D$33=списки!$N$46,'Список мероприятий'!$AB$35=1,'Список мероприятий'!$AB$34=1)),L90*4.2/3.6*(60-IF($K$93=1,5,15))*(1+IF('Список мероприятий'!$AB$38=1,D174,'Расчет базового уровня'!$D$176)),K85*L90/K90*(1+IF('Список мероприятий'!$AB$38=1,D174,'Расчет базового уровня'!$D$176))/(1+'Расчет базового уровня'!$D$176))+H178/0.86*1000)</f>
        <v>#N/A</v>
      </c>
      <c r="M85" s="421" t="e">
        <f>'Расчет базового уровня'!N85</f>
        <v>#N/A</v>
      </c>
      <c r="N85" s="418" t="e">
        <f>IF('Система ГВС'!F3=2,0,IF(AND('Ввод исходных данных'!$K$198&gt;'Ввод исходных данных'!$F$218/1000*(60-'Расчет после реализации'!$E$173)*(1+'Расчет базового уровня'!$D$176)+'Ввод исходных данных'!E218*3/1000,OR('Список мероприятий'!$D$33=списки!$N$46,'Список мероприятий'!$AB$35=1,'Список мероприятий'!$AB$34=1)),N90*4.2/3.6*(60-IF($M$93=1,5,15))*(1+IF('Список мероприятий'!$AB$38=1,D174,'Расчет базового уровня'!$D$176)),M85*N90/M90*(1+IF('Список мероприятий'!$AB$38=1,D174,'Расчет базового уровня'!$D$176))/(1+'Расчет базового уровня'!$D$176))+I178/0.86*1000)</f>
        <v>#N/A</v>
      </c>
      <c r="O85" s="421" t="e">
        <f>'Расчет базового уровня'!P85</f>
        <v>#N/A</v>
      </c>
      <c r="P85" s="418" t="e">
        <f>IF('Система ГВС'!F3=2,0,IF(AND('Ввод исходных данных'!$K$198&gt;'Ввод исходных данных'!$F$218/1000*(60-'Расчет после реализации'!$E$173)*(1+'Расчет базового уровня'!$D$176)+'Ввод исходных данных'!E218*3/1000,OR('Список мероприятий'!$D$33=списки!$N$46,'Список мероприятий'!$AB$35=1,'Список мероприятий'!$AB$34=1)),P90*4.2/3.6*(60-IF($O$93=1,5,15))*(1+IF('Список мероприятий'!$AB$38=1,D174,'Расчет базового уровня'!$D$176)),O85*P90/O90*(1+IF('Список мероприятий'!$AB$38=1,D174,'Расчет базового уровня'!$D$176))/(1+'Расчет базового уровня'!$D$176))+J178/0.86*1000)</f>
        <v>#N/A</v>
      </c>
      <c r="Q85" s="421" t="e">
        <f>'Расчет базового уровня'!R85</f>
        <v>#N/A</v>
      </c>
      <c r="R85" s="418" t="e">
        <f>IF('Система ГВС'!F3=2,0,IF(AND('Ввод исходных данных'!$K$198&gt;'Ввод исходных данных'!$F$218/1000*(60-'Расчет после реализации'!$E$173)*(1+'Расчет базового уровня'!$D$176)+'Ввод исходных данных'!E218*3/1000,OR('Список мероприятий'!$D$33=списки!$N$46,'Список мероприятий'!$AB$35=1,'Список мероприятий'!$AB$34=1)),R90*4.2/3.6*(60-IF($Q$93=1,5,15))*(1+IF('Список мероприятий'!$AB$38=1,D174,'Расчет базового уровня'!$D$176)),Q85*R90/Q90*(1+IF('Список мероприятий'!$AB$38=1,D174,'Расчет базового уровня'!$D$176))/(1+'Расчет базового уровня'!$D$176))+K178/0.86*1000)</f>
        <v>#N/A</v>
      </c>
      <c r="S85" s="421" t="e">
        <f>'Расчет базового уровня'!T85</f>
        <v>#N/A</v>
      </c>
      <c r="T85" s="418" t="e">
        <f>IF('Система ГВС'!F3=2,0,IF(AND('Ввод исходных данных'!$K$198&gt;'Ввод исходных данных'!$F$218/1000*(60-'Расчет после реализации'!$E$173)*(1+'Расчет базового уровня'!$D$176)+'Ввод исходных данных'!E218*3/1000,OR('Список мероприятий'!$D$33=списки!$N$46,'Список мероприятий'!$AB$35=1,'Список мероприятий'!$AB$34=1)),T90*4.2/3.6*(60-IF($S$93=1,5,15))*(1+IF('Список мероприятий'!$AB$38=1,D174,'Расчет базового уровня'!$D$176)),S85*T90/S90*(1+IF('Список мероприятий'!$AB$38=1,D174,'Расчет базового уровня'!$D$176))/(1+'Расчет базового уровня'!$D$176))+L178/0.86*1000)</f>
        <v>#N/A</v>
      </c>
      <c r="U85" s="421" t="e">
        <f>'Расчет базового уровня'!V85</f>
        <v>#N/A</v>
      </c>
      <c r="V85" s="418" t="e">
        <f>IF('Система ГВС'!F3=2,0,IF(AND('Ввод исходных данных'!$K$198&gt;'Ввод исходных данных'!$F$218/1000*(60-'Расчет после реализации'!$E$173)*(1+'Расчет базового уровня'!$D$176)+'Ввод исходных данных'!E218*3/1000,OR('Список мероприятий'!$D$33=списки!$N$46,'Список мероприятий'!$AB$35=1,'Список мероприятий'!$AB$34=1)),V90*4.2/3.6*(60-IF($U$93=1,5,15))*(1+IF('Список мероприятий'!$AB$38=1,D174,'Расчет базового уровня'!$D$176)),U85*V90/U90*(1+IF('Список мероприятий'!$AB$38=1,D174,'Расчет базового уровня'!$D$176))/(1+'Расчет базового уровня'!$D$176))+M178/0.86*1000)</f>
        <v>#N/A</v>
      </c>
      <c r="W85" s="421" t="e">
        <f>'Расчет базового уровня'!X85</f>
        <v>#N/A</v>
      </c>
      <c r="X85" s="418" t="e">
        <f>IF('Система ГВС'!F3=2,0,IF(AND('Ввод исходных данных'!$K$198&gt;'Ввод исходных данных'!$F$218/1000*(60-'Расчет после реализации'!$E$173)*(1+'Расчет базового уровня'!$D$176)+'Ввод исходных данных'!E218*3/1000,OR('Список мероприятий'!$D$33=списки!$N$46,'Список мероприятий'!$AB$35=1,'Список мероприятий'!$AB$34=1)),X90*4.2/3.6*(60-IF($W$93=1,5,15))*(1+IF('Список мероприятий'!$AB$38=1,D174,'Расчет базового уровня'!$D$176)),W85*X90/W90*(1+IF('Список мероприятий'!$AB$38=1,D174,'Расчет базового уровня'!$D$176))/(1+'Расчет базового уровня'!$D$176))+N178/0.86*1000)</f>
        <v>#N/A</v>
      </c>
      <c r="Y85" s="421" t="e">
        <f>'Расчет базового уровня'!Z85</f>
        <v>#N/A</v>
      </c>
      <c r="Z85" s="418" t="e">
        <f>IF('Система ГВС'!F3=2,0,IF(AND('Ввод исходных данных'!$K$198&gt;'Ввод исходных данных'!$F$218/1000*(60-'Расчет после реализации'!$E$173)*(1+'Расчет базового уровня'!$D$176)+'Ввод исходных данных'!E218*3/1000,OR('Список мероприятий'!$D$33=списки!$N$46,'Список мероприятий'!$AB$35=1,'Список мероприятий'!$AB$34=1)),Z90*4.2/3.6*(60-IF($Y$93=1,5,15))*(1+IF('Список мероприятий'!$AB$38=1,D174,'Расчет базового уровня'!$D$176)),Y85*Z90/Y90*(1+IF('Список мероприятий'!$AB$38=1,D174,'Расчет базового уровня'!$D$176))/(1+'Расчет базового уровня'!$D$176))+O178/0.86*1000)</f>
        <v>#N/A</v>
      </c>
      <c r="AA85" s="421" t="e">
        <f>'Расчет базового уровня'!AB85</f>
        <v>#N/A</v>
      </c>
      <c r="AB85" s="418" t="e">
        <f>IF('Система ГВС'!F3=2,0,IF(AND('Ввод исходных данных'!$K$198&gt;'Ввод исходных данных'!$F$218/1000*(60-'Расчет после реализации'!$E$173)*(1+'Расчет базового уровня'!$D$176)+'Ввод исходных данных'!E218*3/1000,OR('Список мероприятий'!$D$33=списки!$N$46,'Список мероприятий'!$AB$35=1,'Список мероприятий'!$AB$34=1)),AB90*4.2/3.6*(60-IF($AA$93=1,5,15))*(1+IF('Список мероприятий'!$AB$38=1,D174,'Расчет базового уровня'!$D$176)),AA85*AB90/AA90*(1+IF('Список мероприятий'!$AB$38=1,D174,'Расчет базового уровня'!$D$176))/(1+'Расчет базового уровня'!$D$176))+P178/0.86*1000)</f>
        <v>#N/A</v>
      </c>
      <c r="AC85" s="421" t="e">
        <f>'Расчет базового уровня'!AD85</f>
        <v>#N/A</v>
      </c>
      <c r="AD85" s="418" t="e">
        <f>IF('Система ГВС'!F3=2,0,IF(AND('Ввод исходных данных'!$K$198&gt;'Ввод исходных данных'!$F$218/1000*(60-'Расчет после реализации'!$E$173)*(1+'Расчет базового уровня'!$D$176)+'Ввод исходных данных'!E218*3/1000,OR('Список мероприятий'!$D$33=списки!$N$46,'Список мероприятий'!$AB$35=1,'Список мероприятий'!$AB$34=1)),AD90*4.2/3.6*(60-IF($AC$93=1,5,15))*(1+IF('Список мероприятий'!$AB$38=1,D174,'Расчет базового уровня'!$D$176)),AC85*AD90/AC90*(1+IF('Список мероприятий'!$AB$38=1,D174,'Расчет базового уровня'!$D$176))/(1+'Расчет базового уровня'!$D$176))+Q178/0.86*1000)</f>
        <v>#N/A</v>
      </c>
      <c r="AE85" s="421" t="e">
        <f>'Расчет базового уровня'!AF85</f>
        <v>#N/A</v>
      </c>
      <c r="AF85" s="418" t="e">
        <f>IF('Система ГВС'!F3=2,0,IF(AND('Ввод исходных данных'!$K$198&gt;'Ввод исходных данных'!$F$218/1000*(60-'Расчет после реализации'!$E$173)*(1+'Расчет базового уровня'!$D$176)+'Ввод исходных данных'!E218*3/1000,OR('Список мероприятий'!$D$33=списки!$N$46,'Список мероприятий'!$AB$35=1,'Список мероприятий'!$AB$34=1)),AF90*4.2/3.6*(60-IF($AE$93=1,5,15))*(1+IF('Список мероприятий'!$AB$38=1,D174,'Расчет базового уровня'!$D$176)),AE85*AF90/AE90*(1+IF('Список мероприятий'!$AB$38=1,D174,'Расчет базового уровня'!$D$176))/(1+'Расчет базового уровня'!$D$176))+R178/0.86*1000)</f>
        <v>#N/A</v>
      </c>
      <c r="AG85" s="74"/>
      <c r="AH85" s="74"/>
      <c r="AI85" s="74"/>
      <c r="AJ85" s="74"/>
      <c r="AK85" s="74"/>
      <c r="AL85" s="74"/>
      <c r="AM85" s="74"/>
      <c r="AN85" s="74"/>
      <c r="AO85" s="74"/>
      <c r="AP85" s="74"/>
      <c r="AQ85" s="74"/>
      <c r="AR85" s="74"/>
      <c r="AS85" s="74"/>
      <c r="AT85" s="74"/>
      <c r="AU85" s="74"/>
      <c r="AV85" s="74"/>
      <c r="AW85" s="74"/>
    </row>
    <row r="86" spans="1:55" x14ac:dyDescent="0.25">
      <c r="A86" s="422" t="s">
        <v>1339</v>
      </c>
      <c r="B86" s="416" t="s">
        <v>842</v>
      </c>
      <c r="C86" s="308"/>
      <c r="D86" s="308" t="e">
        <f>C85-D85</f>
        <v>#DIV/0!</v>
      </c>
      <c r="E86" s="74">
        <f>D90*1.163*('Ввод исходных данных'!D107-E173)*(1+IF('Список мероприятий'!$AB$38=1,D174,'Расчет базового уровня'!$D$176))+'Ввод исходных данных'!$E$218*1.163*'Ввод исходных данных'!$D$113</f>
        <v>0</v>
      </c>
      <c r="F86" s="317"/>
      <c r="G86" s="423" t="s">
        <v>1339</v>
      </c>
      <c r="H86" s="416" t="s">
        <v>842</v>
      </c>
      <c r="I86" s="424"/>
      <c r="J86" s="424" t="e">
        <f>I85-J85</f>
        <v>#N/A</v>
      </c>
      <c r="K86" s="424"/>
      <c r="L86" s="424" t="e">
        <f>K85-L85</f>
        <v>#N/A</v>
      </c>
      <c r="M86" s="424"/>
      <c r="N86" s="424" t="e">
        <f>M85-N85</f>
        <v>#N/A</v>
      </c>
      <c r="O86" s="424"/>
      <c r="P86" s="424" t="e">
        <f>O85-P85</f>
        <v>#N/A</v>
      </c>
      <c r="Q86" s="424"/>
      <c r="R86" s="424" t="e">
        <f>Q85-R85</f>
        <v>#N/A</v>
      </c>
      <c r="S86" s="424"/>
      <c r="T86" s="424" t="e">
        <f>S85-T85</f>
        <v>#N/A</v>
      </c>
      <c r="U86" s="424"/>
      <c r="V86" s="424" t="e">
        <f>U85-V85</f>
        <v>#N/A</v>
      </c>
      <c r="W86" s="424"/>
      <c r="X86" s="424" t="e">
        <f>W85-X85</f>
        <v>#N/A</v>
      </c>
      <c r="Y86" s="424"/>
      <c r="Z86" s="424" t="e">
        <f>Y85-Z85</f>
        <v>#N/A</v>
      </c>
      <c r="AA86" s="424"/>
      <c r="AB86" s="424" t="e">
        <f>AA85-AB85</f>
        <v>#N/A</v>
      </c>
      <c r="AC86" s="424"/>
      <c r="AD86" s="424" t="e">
        <f>AC85-AD85</f>
        <v>#N/A</v>
      </c>
      <c r="AE86" s="424"/>
      <c r="AF86" s="424" t="e">
        <f>AE85-AF85</f>
        <v>#N/A</v>
      </c>
      <c r="AG86" s="74"/>
      <c r="AH86" s="74"/>
      <c r="AI86" s="74"/>
      <c r="AJ86" s="74"/>
      <c r="AK86" s="74"/>
      <c r="AL86" s="74"/>
      <c r="AM86" s="74"/>
      <c r="AN86" s="74"/>
      <c r="AO86" s="74"/>
      <c r="AP86" s="74"/>
      <c r="AQ86" s="74"/>
      <c r="AR86" s="74"/>
      <c r="AS86" s="74"/>
      <c r="AT86" s="74"/>
      <c r="AU86" s="74"/>
    </row>
    <row r="87" spans="1:55" x14ac:dyDescent="0.25">
      <c r="A87" s="422" t="s">
        <v>874</v>
      </c>
      <c r="B87" s="416" t="s">
        <v>1181</v>
      </c>
      <c r="C87" s="310"/>
      <c r="D87" s="310">
        <f>IF(C85=0,0,D86/C85)</f>
        <v>0</v>
      </c>
      <c r="E87" s="317" t="e">
        <f>C85*D90/C90*(1+IF('Список мероприятий'!$AB$38=1,D174,'Расчет базового уровня'!$D$176))/(1+'Расчет базового уровня'!$D$176)+D178/0.86*1000</f>
        <v>#DIV/0!</v>
      </c>
      <c r="F87" s="74"/>
      <c r="G87" s="423" t="s">
        <v>874</v>
      </c>
      <c r="H87" s="416" t="s">
        <v>1181</v>
      </c>
      <c r="I87" s="425"/>
      <c r="J87" s="425" t="e">
        <f>IF(I85=0,0,J86/I85)</f>
        <v>#N/A</v>
      </c>
      <c r="K87" s="425"/>
      <c r="L87" s="425" t="e">
        <f>IF(K85=0,0,L86/K85)</f>
        <v>#N/A</v>
      </c>
      <c r="M87" s="425"/>
      <c r="N87" s="425" t="e">
        <f>IF(M85=0,0,N86/M85)</f>
        <v>#N/A</v>
      </c>
      <c r="O87" s="425"/>
      <c r="P87" s="425" t="e">
        <f>IF(O85=0,0,P86/O85)</f>
        <v>#N/A</v>
      </c>
      <c r="Q87" s="425"/>
      <c r="R87" s="425" t="e">
        <f>IF(Q85=0,0,R86/Q85)</f>
        <v>#N/A</v>
      </c>
      <c r="S87" s="425"/>
      <c r="T87" s="425" t="e">
        <f>IF(S85=0,0,T86/S85)</f>
        <v>#N/A</v>
      </c>
      <c r="U87" s="425"/>
      <c r="V87" s="425" t="e">
        <f>IF(U85=0,0,V86/U85)</f>
        <v>#N/A</v>
      </c>
      <c r="W87" s="425"/>
      <c r="X87" s="425" t="e">
        <f>IF(W85=0,0,X86/W85)</f>
        <v>#N/A</v>
      </c>
      <c r="Y87" s="425"/>
      <c r="Z87" s="425" t="e">
        <f>IF(Y85=0,0,Z86/Y85)</f>
        <v>#N/A</v>
      </c>
      <c r="AA87" s="425"/>
      <c r="AB87" s="425" t="e">
        <f>IF(AA85=0,0,AB86/AA85)</f>
        <v>#N/A</v>
      </c>
      <c r="AC87" s="425"/>
      <c r="AD87" s="425" t="e">
        <f>IF(AC85=0,0,AD86/AC85)</f>
        <v>#N/A</v>
      </c>
      <c r="AE87" s="425"/>
      <c r="AF87" s="425" t="e">
        <f>IF(AE85=0,0,AF86/AE85)</f>
        <v>#N/A</v>
      </c>
      <c r="AG87" s="74"/>
      <c r="AH87" s="74"/>
      <c r="AI87" s="74"/>
      <c r="AJ87" s="74"/>
      <c r="AK87" s="74"/>
      <c r="AL87" s="74"/>
      <c r="AM87" s="74"/>
      <c r="AN87" s="74"/>
      <c r="AO87" s="74"/>
      <c r="AP87" s="74"/>
      <c r="AQ87" s="74"/>
      <c r="AR87" s="74"/>
      <c r="AS87" s="74"/>
      <c r="AT87" s="74"/>
      <c r="AU87" s="74"/>
    </row>
    <row r="88" spans="1:55" x14ac:dyDescent="0.25">
      <c r="A88" s="422"/>
      <c r="B88" s="416"/>
      <c r="C88" s="426"/>
      <c r="D88" s="261"/>
      <c r="E88" s="74"/>
      <c r="F88" s="74"/>
      <c r="G88" s="423"/>
      <c r="H88" s="416"/>
      <c r="I88" s="427"/>
      <c r="J88" s="428"/>
      <c r="K88" s="427"/>
      <c r="L88" s="428"/>
      <c r="M88" s="427"/>
      <c r="N88" s="428"/>
      <c r="O88" s="427"/>
      <c r="P88" s="428"/>
      <c r="Q88" s="427"/>
      <c r="R88" s="428"/>
      <c r="S88" s="427"/>
      <c r="T88" s="428"/>
      <c r="U88" s="427"/>
      <c r="V88" s="428"/>
      <c r="W88" s="427"/>
      <c r="X88" s="428"/>
      <c r="Y88" s="427"/>
      <c r="Z88" s="428"/>
      <c r="AA88" s="427"/>
      <c r="AB88" s="428"/>
      <c r="AC88" s="427"/>
      <c r="AD88" s="428"/>
      <c r="AE88" s="427"/>
      <c r="AF88" s="428"/>
      <c r="AG88" s="74"/>
      <c r="AH88" s="74"/>
      <c r="AI88" s="74"/>
      <c r="AJ88" s="74"/>
      <c r="AK88" s="74"/>
      <c r="AL88" s="74"/>
      <c r="AM88" s="74"/>
      <c r="AN88" s="74"/>
      <c r="AO88" s="74"/>
      <c r="AP88" s="74"/>
      <c r="AQ88" s="74"/>
      <c r="AR88" s="74"/>
      <c r="AS88" s="74"/>
      <c r="AT88" s="74"/>
      <c r="AU88" s="74"/>
      <c r="AV88" s="74"/>
      <c r="AW88" s="74"/>
    </row>
    <row r="89" spans="1:55" ht="18.600000000000001" customHeight="1" x14ac:dyDescent="0.25">
      <c r="A89" s="422"/>
      <c r="B89" s="416"/>
      <c r="C89" s="429"/>
      <c r="D89" s="261"/>
      <c r="E89" s="74"/>
      <c r="F89" s="74"/>
      <c r="G89" s="423"/>
      <c r="H89" s="416"/>
      <c r="I89" s="430"/>
      <c r="J89" s="428"/>
      <c r="K89" s="430"/>
      <c r="L89" s="428"/>
      <c r="M89" s="430"/>
      <c r="N89" s="428"/>
      <c r="O89" s="430"/>
      <c r="P89" s="428"/>
      <c r="Q89" s="430"/>
      <c r="R89" s="428"/>
      <c r="S89" s="430"/>
      <c r="T89" s="428"/>
      <c r="U89" s="430"/>
      <c r="V89" s="428"/>
      <c r="W89" s="430"/>
      <c r="X89" s="428"/>
      <c r="Y89" s="430"/>
      <c r="Z89" s="428"/>
      <c r="AA89" s="430"/>
      <c r="AB89" s="428"/>
      <c r="AC89" s="430"/>
      <c r="AD89" s="428"/>
      <c r="AE89" s="430"/>
      <c r="AF89" s="428"/>
      <c r="AG89" s="74"/>
      <c r="AH89" s="74"/>
      <c r="AI89" s="74"/>
      <c r="AJ89" s="74"/>
      <c r="AK89" s="74"/>
      <c r="AL89" s="74"/>
      <c r="AM89" s="74"/>
      <c r="AN89" s="74"/>
      <c r="AO89" s="74"/>
      <c r="AP89" s="74"/>
      <c r="AQ89" s="74"/>
      <c r="AR89" s="74"/>
      <c r="AS89" s="74"/>
      <c r="AT89" s="74"/>
      <c r="AU89" s="74"/>
      <c r="AV89" s="74"/>
      <c r="AW89" s="74"/>
    </row>
    <row r="90" spans="1:55" x14ac:dyDescent="0.25">
      <c r="A90" s="415" t="s">
        <v>1216</v>
      </c>
      <c r="B90" s="416" t="s">
        <v>1217</v>
      </c>
      <c r="C90" s="417">
        <f>'Расчет базового уровня'!D90</f>
        <v>0</v>
      </c>
      <c r="D90" s="261">
        <f>C90*IF(AND('Система ГВС'!$F$17=0,'Список мероприятий'!$AB$39=1),0.9,1)</f>
        <v>0</v>
      </c>
      <c r="E90" s="74"/>
      <c r="F90" s="74"/>
      <c r="G90" s="431" t="s">
        <v>1219</v>
      </c>
      <c r="H90" s="416" t="s">
        <v>1217</v>
      </c>
      <c r="I90" s="421">
        <f>'Расчет базового уровня'!J90</f>
        <v>0</v>
      </c>
      <c r="J90" s="261">
        <f>I90*IF(AND('Система ГВС'!$F$17=0,'Список мероприятий'!$AB$39=1),0.9,1)</f>
        <v>0</v>
      </c>
      <c r="K90" s="421">
        <f>'Расчет базового уровня'!L90</f>
        <v>0</v>
      </c>
      <c r="L90" s="261">
        <f>K90*IF(AND('Система ГВС'!$F$17=0,'Список мероприятий'!$AB$39=1),0.9,1)</f>
        <v>0</v>
      </c>
      <c r="M90" s="421">
        <f>'Расчет базового уровня'!N90</f>
        <v>0</v>
      </c>
      <c r="N90" s="261">
        <f>M90*IF(AND('Система ГВС'!$F$17=0,'Список мероприятий'!$AB$39=1),0.9,1)</f>
        <v>0</v>
      </c>
      <c r="O90" s="421">
        <f>'Расчет базового уровня'!P90</f>
        <v>0</v>
      </c>
      <c r="P90" s="261">
        <f>O90*IF(AND('Система ГВС'!$F$17=0,'Список мероприятий'!$AB$39=1),0.9,1)</f>
        <v>0</v>
      </c>
      <c r="Q90" s="421">
        <f>'Расчет базового уровня'!R90</f>
        <v>0</v>
      </c>
      <c r="R90" s="261">
        <f>Q90*IF(AND('Система ГВС'!$F$17=0,'Список мероприятий'!$AB$39=1),0.9,1)</f>
        <v>0</v>
      </c>
      <c r="S90" s="421">
        <f>'Расчет базового уровня'!T90</f>
        <v>0</v>
      </c>
      <c r="T90" s="261">
        <f>S90*IF(AND('Система ГВС'!$F$17=0,'Список мероприятий'!$AB$39=1),0.9,1)</f>
        <v>0</v>
      </c>
      <c r="U90" s="421">
        <f>'Расчет базового уровня'!V90</f>
        <v>0</v>
      </c>
      <c r="V90" s="261">
        <f>U90*IF(AND('Система ГВС'!$F$17=0,'Список мероприятий'!$AB$39=1),0.9,1)</f>
        <v>0</v>
      </c>
      <c r="W90" s="421">
        <f>'Расчет базового уровня'!X90</f>
        <v>0</v>
      </c>
      <c r="X90" s="261">
        <f>W90*IF(AND('Система ГВС'!$F$17=0,'Список мероприятий'!$AB$39=1),0.9,1)</f>
        <v>0</v>
      </c>
      <c r="Y90" s="421">
        <f>'Расчет базового уровня'!Z90</f>
        <v>0</v>
      </c>
      <c r="Z90" s="261">
        <f>Y90*IF(AND('Система ГВС'!$F$17=0,'Список мероприятий'!$AB$39=1),0.9,1)</f>
        <v>0</v>
      </c>
      <c r="AA90" s="421">
        <f>'Расчет базового уровня'!AB90</f>
        <v>0</v>
      </c>
      <c r="AB90" s="261">
        <f>AA90*IF(AND('Система ГВС'!$F$17=0,'Список мероприятий'!$AB$39=1),0.9,1)</f>
        <v>0</v>
      </c>
      <c r="AC90" s="421">
        <f>'Расчет базового уровня'!AD90</f>
        <v>0</v>
      </c>
      <c r="AD90" s="261">
        <f>AC90*IF(AND('Система ГВС'!$F$17=0,'Список мероприятий'!$AB$39=1),0.9,1)</f>
        <v>0</v>
      </c>
      <c r="AE90" s="421">
        <f>'Расчет базового уровня'!AF90</f>
        <v>0</v>
      </c>
      <c r="AF90" s="261">
        <f>AE90*IF(AND('Система ГВС'!$F$17=0,'Список мероприятий'!$AB$39=1),0.9,1)</f>
        <v>0</v>
      </c>
      <c r="AG90" s="74"/>
      <c r="AH90" s="74"/>
      <c r="AI90" s="74"/>
      <c r="AJ90" s="74"/>
      <c r="AK90" s="74"/>
      <c r="AL90" s="74"/>
      <c r="AM90" s="74"/>
      <c r="AN90" s="74"/>
      <c r="AO90" s="74"/>
      <c r="AP90" s="74"/>
      <c r="AQ90" s="74"/>
      <c r="AR90" s="74"/>
      <c r="AS90" s="74"/>
      <c r="AT90" s="74"/>
      <c r="AU90" s="74"/>
      <c r="AV90" s="74"/>
      <c r="AW90" s="74"/>
    </row>
    <row r="91" spans="1:55" x14ac:dyDescent="0.25">
      <c r="A91" s="422" t="s">
        <v>1339</v>
      </c>
      <c r="B91" s="416"/>
      <c r="C91" s="308"/>
      <c r="D91" s="308">
        <f>C90-D90</f>
        <v>0</v>
      </c>
      <c r="E91" s="74"/>
      <c r="F91" s="74"/>
      <c r="G91" s="423" t="s">
        <v>1339</v>
      </c>
      <c r="H91" s="416" t="s">
        <v>842</v>
      </c>
      <c r="I91" s="424"/>
      <c r="J91" s="424">
        <f>I90-J90</f>
        <v>0</v>
      </c>
      <c r="K91" s="424"/>
      <c r="L91" s="424">
        <f>K90-L90</f>
        <v>0</v>
      </c>
      <c r="M91" s="424"/>
      <c r="N91" s="424">
        <f>M90-N90</f>
        <v>0</v>
      </c>
      <c r="O91" s="424"/>
      <c r="P91" s="424">
        <f>O90-P90</f>
        <v>0</v>
      </c>
      <c r="Q91" s="424"/>
      <c r="R91" s="424">
        <f>Q90-R90</f>
        <v>0</v>
      </c>
      <c r="S91" s="424"/>
      <c r="T91" s="424">
        <f>S90-T90</f>
        <v>0</v>
      </c>
      <c r="U91" s="424"/>
      <c r="V91" s="424">
        <f>U90-V90</f>
        <v>0</v>
      </c>
      <c r="W91" s="424"/>
      <c r="X91" s="424">
        <f>W90-X90</f>
        <v>0</v>
      </c>
      <c r="Y91" s="424"/>
      <c r="Z91" s="424">
        <f>Y90-Z90</f>
        <v>0</v>
      </c>
      <c r="AA91" s="424"/>
      <c r="AB91" s="424">
        <f>AA90-AB90</f>
        <v>0</v>
      </c>
      <c r="AC91" s="424"/>
      <c r="AD91" s="424">
        <f>AC90-AD90</f>
        <v>0</v>
      </c>
      <c r="AE91" s="424"/>
      <c r="AF91" s="424">
        <f>AE90-AF90</f>
        <v>0</v>
      </c>
      <c r="AG91" s="74"/>
      <c r="AH91" s="74"/>
      <c r="AI91" s="74"/>
      <c r="AJ91" s="74"/>
      <c r="AK91" s="74"/>
      <c r="AL91" s="74"/>
      <c r="AM91" s="74"/>
      <c r="AN91" s="74"/>
      <c r="AO91" s="74"/>
      <c r="AP91" s="74"/>
      <c r="AQ91" s="74"/>
      <c r="AR91" s="74"/>
      <c r="AS91" s="74"/>
      <c r="AT91" s="74"/>
      <c r="AU91" s="74"/>
    </row>
    <row r="92" spans="1:55" x14ac:dyDescent="0.25">
      <c r="A92" s="422" t="s">
        <v>874</v>
      </c>
      <c r="B92" s="416" t="s">
        <v>1181</v>
      </c>
      <c r="C92" s="310"/>
      <c r="D92" s="310">
        <f>IF(C90=0,0,D91/C90)</f>
        <v>0</v>
      </c>
      <c r="E92" s="74"/>
      <c r="F92" s="74"/>
      <c r="G92" s="423" t="s">
        <v>874</v>
      </c>
      <c r="H92" s="416" t="s">
        <v>1181</v>
      </c>
      <c r="I92" s="425"/>
      <c r="J92" s="425">
        <f>IF(I90=0,0,J91/I90)</f>
        <v>0</v>
      </c>
      <c r="K92" s="425"/>
      <c r="L92" s="425">
        <f>IF(K90=0,0,L91/K90)</f>
        <v>0</v>
      </c>
      <c r="M92" s="425"/>
      <c r="N92" s="425">
        <f>IF(M90=0,0,N91/M90)</f>
        <v>0</v>
      </c>
      <c r="O92" s="425"/>
      <c r="P92" s="425">
        <f>IF(O90=0,0,P91/O90)</f>
        <v>0</v>
      </c>
      <c r="Q92" s="425"/>
      <c r="R92" s="425">
        <f>IF(Q90=0,0,R91/Q90)</f>
        <v>0</v>
      </c>
      <c r="S92" s="425"/>
      <c r="T92" s="425">
        <f>IF(S90=0,0,T91/S90)</f>
        <v>0</v>
      </c>
      <c r="U92" s="425"/>
      <c r="V92" s="425">
        <f>IF(U90=0,0,V91/U90)</f>
        <v>0</v>
      </c>
      <c r="W92" s="425"/>
      <c r="X92" s="425">
        <f>IF(W90=0,0,X91/W90)</f>
        <v>0</v>
      </c>
      <c r="Y92" s="425"/>
      <c r="Z92" s="425">
        <f>IF(Y90=0,0,Z91/Y90)</f>
        <v>0</v>
      </c>
      <c r="AA92" s="425"/>
      <c r="AB92" s="425">
        <f>IF(AA90=0,0,AB91/AA90)</f>
        <v>0</v>
      </c>
      <c r="AC92" s="425"/>
      <c r="AD92" s="425">
        <f>IF(AC90=0,0,AD91/AC90)</f>
        <v>0</v>
      </c>
      <c r="AE92" s="425"/>
      <c r="AF92" s="425">
        <f>IF(AE90=0,0,AF91/AE90)</f>
        <v>0</v>
      </c>
      <c r="AG92" s="74"/>
      <c r="AH92" s="74"/>
      <c r="AI92" s="74"/>
      <c r="AJ92" s="74"/>
      <c r="AK92" s="74"/>
      <c r="AL92" s="74"/>
      <c r="AM92" s="74"/>
      <c r="AN92" s="74"/>
      <c r="AO92" s="74"/>
      <c r="AP92" s="74"/>
      <c r="AQ92" s="74"/>
      <c r="AR92" s="74"/>
      <c r="AS92" s="74"/>
      <c r="AT92" s="74"/>
      <c r="AU92" s="74"/>
    </row>
    <row r="93" spans="1:55" ht="24" x14ac:dyDescent="0.25">
      <c r="A93" s="432" t="s">
        <v>1221</v>
      </c>
      <c r="B93" s="309" t="s">
        <v>1190</v>
      </c>
      <c r="C93" s="417" t="e">
        <f>'Расчет базового уровня'!D93</f>
        <v>#DIV/0!</v>
      </c>
      <c r="D93" s="433" t="e">
        <f>D85/('Ввод исходных данных'!$G$45+'Ввод исходных данных'!$D$23)</f>
        <v>#DIV/0!</v>
      </c>
      <c r="E93" s="74"/>
      <c r="F93" s="74"/>
      <c r="G93" s="74"/>
      <c r="H93" s="74"/>
      <c r="I93" s="74">
        <f>IF(G146&gt;14,1,0)</f>
        <v>1</v>
      </c>
      <c r="J93" s="74"/>
      <c r="K93" s="74">
        <f>IF(H146&gt;14,1,0)</f>
        <v>0</v>
      </c>
      <c r="L93" s="74"/>
      <c r="M93" s="74">
        <f>IF(I146&gt;14,1,0)</f>
        <v>0</v>
      </c>
      <c r="O93" s="74">
        <f>IF(J146&gt;14,1,0)</f>
        <v>0</v>
      </c>
      <c r="Q93" s="74">
        <f>IF(K146&gt;14,1,0)</f>
        <v>0</v>
      </c>
      <c r="S93" s="74">
        <f>IF(L146&gt;14,1,0)</f>
        <v>0</v>
      </c>
      <c r="U93" s="74">
        <f>IF(M146&gt;14,1,0)</f>
        <v>0</v>
      </c>
      <c r="W93" s="74">
        <f>IF(N146&gt;14,1,0)</f>
        <v>1</v>
      </c>
      <c r="Y93" s="74">
        <f>IF(O146&gt;14,1,0)</f>
        <v>1</v>
      </c>
      <c r="AA93" s="74">
        <f>IF(P146&gt;14,1,0)</f>
        <v>1</v>
      </c>
      <c r="AC93" s="74">
        <f>IF(Q146&gt;14,1,0)</f>
        <v>1</v>
      </c>
      <c r="AE93" s="74">
        <f>IF(R146&gt;14,1,0)</f>
        <v>1</v>
      </c>
      <c r="AF93" s="74"/>
      <c r="AG93" s="74"/>
      <c r="AH93" s="74"/>
      <c r="AI93" s="74"/>
      <c r="AJ93" s="74"/>
      <c r="AK93" s="74"/>
      <c r="AL93" s="74"/>
      <c r="AM93" s="74"/>
      <c r="AN93" s="74"/>
      <c r="AO93" s="74"/>
      <c r="AP93" s="74"/>
      <c r="AQ93" s="74"/>
      <c r="AR93" s="74"/>
      <c r="AS93" s="74"/>
      <c r="AT93" s="74"/>
      <c r="AU93" s="74"/>
      <c r="AV93" s="74"/>
      <c r="AW93" s="74"/>
      <c r="AX93" s="74"/>
      <c r="AY93" s="74"/>
      <c r="AZ93" s="74"/>
      <c r="BA93" s="74"/>
      <c r="BB93" s="74"/>
      <c r="BC93" s="74"/>
    </row>
    <row r="94" spans="1:55" x14ac:dyDescent="0.25">
      <c r="A94" s="422" t="s">
        <v>874</v>
      </c>
      <c r="B94" s="434" t="s">
        <v>1209</v>
      </c>
      <c r="C94" s="435"/>
      <c r="D94" s="436" t="e">
        <f>D86/('Ввод исходных данных'!$G$45+'Ввод исходных данных'!$D$23)</f>
        <v>#DIV/0!</v>
      </c>
      <c r="E94" s="74"/>
      <c r="F94" s="74"/>
      <c r="G94" s="74"/>
      <c r="H94" s="74"/>
      <c r="I94" s="74"/>
      <c r="J94" s="74"/>
      <c r="K94" s="74"/>
      <c r="L94" s="74"/>
      <c r="M94" s="74"/>
      <c r="N94" s="74"/>
      <c r="O94" s="74"/>
      <c r="P94" s="74"/>
      <c r="Q94" s="74"/>
      <c r="R94" s="74"/>
      <c r="S94" s="74"/>
      <c r="T94" s="74"/>
      <c r="U94" s="74"/>
      <c r="V94" s="74"/>
      <c r="W94" s="74"/>
      <c r="X94" s="74"/>
      <c r="Y94" s="74"/>
      <c r="Z94" s="74"/>
      <c r="AA94" s="74"/>
      <c r="AB94" s="74"/>
      <c r="AC94" s="74"/>
      <c r="AD94" s="74"/>
      <c r="AE94" s="74"/>
      <c r="AF94" s="74"/>
      <c r="AG94" s="74"/>
      <c r="AH94" s="74"/>
      <c r="AI94" s="74"/>
    </row>
    <row r="95" spans="1:55" ht="15.75" thickBot="1" x14ac:dyDescent="0.3">
      <c r="A95" s="437" t="s">
        <v>1222</v>
      </c>
      <c r="B95" s="438" t="s">
        <v>789</v>
      </c>
      <c r="C95" s="439"/>
      <c r="D95" s="440">
        <f>IF('Система ГВС'!F3=2,0,D166)</f>
        <v>90</v>
      </c>
      <c r="E95" s="74"/>
      <c r="F95" s="74"/>
      <c r="G95" s="74"/>
      <c r="H95" s="74"/>
      <c r="I95" s="74"/>
      <c r="J95" s="74"/>
      <c r="K95" s="74"/>
      <c r="L95" s="74"/>
      <c r="M95" s="74"/>
      <c r="N95" s="74"/>
      <c r="O95" s="74"/>
      <c r="P95" s="74"/>
      <c r="Q95" s="74"/>
      <c r="R95" s="74"/>
      <c r="S95" s="74"/>
      <c r="T95" s="74"/>
      <c r="U95" s="74"/>
      <c r="V95" s="74"/>
      <c r="W95" s="74"/>
      <c r="X95" s="74"/>
      <c r="Y95" s="74"/>
      <c r="Z95" s="74"/>
      <c r="AA95" s="74"/>
      <c r="AB95" s="74"/>
      <c r="AC95" s="74"/>
      <c r="AD95" s="74"/>
      <c r="AE95" s="74"/>
      <c r="AF95" s="74"/>
      <c r="AG95" s="74"/>
      <c r="AH95" s="74"/>
      <c r="AI95" s="74"/>
    </row>
    <row r="96" spans="1:55" ht="297" customHeight="1" x14ac:dyDescent="0.25">
      <c r="A96" s="74"/>
      <c r="B96" s="74"/>
      <c r="C96" s="74"/>
      <c r="D96" s="74"/>
      <c r="E96" s="74"/>
      <c r="F96" s="74"/>
      <c r="G96" s="74"/>
      <c r="H96" s="74"/>
      <c r="I96" s="74"/>
      <c r="J96" s="74"/>
      <c r="K96" s="74"/>
      <c r="L96" s="74"/>
      <c r="M96" s="74"/>
      <c r="N96" s="74"/>
      <c r="O96" s="74"/>
      <c r="P96" s="74"/>
      <c r="Q96" s="74"/>
      <c r="R96" s="74"/>
      <c r="S96" s="74"/>
      <c r="T96" s="74"/>
      <c r="U96" s="74"/>
      <c r="V96" s="74"/>
      <c r="W96" s="74"/>
      <c r="X96" s="74"/>
      <c r="Y96" s="74"/>
      <c r="Z96" s="74"/>
      <c r="AA96" s="74"/>
      <c r="AB96" s="74"/>
      <c r="AC96" s="74"/>
      <c r="AD96" s="74"/>
      <c r="AE96" s="74"/>
      <c r="AF96" s="74"/>
      <c r="AG96" s="74"/>
      <c r="AH96" s="74"/>
      <c r="AI96" s="74"/>
      <c r="AJ96" s="74"/>
      <c r="AK96" s="74"/>
      <c r="AL96" s="74"/>
      <c r="AM96" s="74"/>
    </row>
    <row r="97" spans="1:51" ht="16.5" thickBot="1" x14ac:dyDescent="0.3">
      <c r="A97" s="1803" t="s">
        <v>1186</v>
      </c>
      <c r="B97" s="1803"/>
      <c r="C97" s="1803"/>
      <c r="D97" s="1803"/>
      <c r="E97" s="441"/>
      <c r="F97" s="441"/>
      <c r="G97" s="442" t="s">
        <v>1223</v>
      </c>
      <c r="H97" s="442"/>
      <c r="I97" s="442"/>
      <c r="J97" s="442"/>
      <c r="K97" s="443"/>
      <c r="L97" s="443"/>
      <c r="M97" s="443"/>
      <c r="N97" s="443"/>
      <c r="O97" s="441"/>
      <c r="P97" s="441"/>
      <c r="Q97" s="441"/>
      <c r="R97" s="441"/>
      <c r="S97" s="441"/>
      <c r="T97" s="441"/>
      <c r="U97" s="441"/>
      <c r="V97" s="441"/>
      <c r="W97" s="441"/>
      <c r="X97" s="441"/>
      <c r="Y97" s="441"/>
      <c r="Z97" s="441"/>
      <c r="AA97" s="441"/>
      <c r="AB97" s="441"/>
      <c r="AC97" s="441"/>
      <c r="AD97" s="441"/>
      <c r="AE97" s="441"/>
      <c r="AF97" s="441"/>
      <c r="AG97" s="441"/>
      <c r="AH97" s="441"/>
      <c r="AI97" s="441"/>
      <c r="AJ97" s="74"/>
      <c r="AK97" s="74"/>
      <c r="AL97" s="74"/>
      <c r="AM97" s="74"/>
    </row>
    <row r="98" spans="1:51" ht="38.1" customHeight="1" x14ac:dyDescent="0.25">
      <c r="A98" s="1811" t="s">
        <v>834</v>
      </c>
      <c r="B98" s="1809" t="s">
        <v>1174</v>
      </c>
      <c r="C98" s="1815" t="s">
        <v>1338</v>
      </c>
      <c r="D98" s="1813" t="s">
        <v>1402</v>
      </c>
      <c r="E98" s="74"/>
      <c r="F98" s="74"/>
      <c r="G98" s="1811" t="s">
        <v>834</v>
      </c>
      <c r="H98" s="1809" t="s">
        <v>1174</v>
      </c>
      <c r="I98" s="1809" t="s">
        <v>488</v>
      </c>
      <c r="J98" s="1809"/>
      <c r="K98" s="444" t="s">
        <v>489</v>
      </c>
      <c r="L98" s="444"/>
      <c r="M98" s="444" t="s">
        <v>490</v>
      </c>
      <c r="N98" s="444"/>
      <c r="O98" s="444" t="s">
        <v>491</v>
      </c>
      <c r="P98" s="444"/>
      <c r="Q98" s="444" t="s">
        <v>805</v>
      </c>
      <c r="R98" s="444"/>
      <c r="S98" s="444" t="s">
        <v>806</v>
      </c>
      <c r="T98" s="444"/>
      <c r="U98" s="444" t="s">
        <v>807</v>
      </c>
      <c r="V98" s="444"/>
      <c r="W98" s="444" t="s">
        <v>808</v>
      </c>
      <c r="X98" s="444"/>
      <c r="Y98" s="444" t="s">
        <v>809</v>
      </c>
      <c r="Z98" s="444"/>
      <c r="AA98" s="444" t="s">
        <v>482</v>
      </c>
      <c r="AB98" s="444"/>
      <c r="AC98" s="444" t="s">
        <v>486</v>
      </c>
      <c r="AD98" s="444"/>
      <c r="AE98" s="444" t="s">
        <v>487</v>
      </c>
      <c r="AF98" s="445"/>
      <c r="AG98" s="74"/>
      <c r="AH98" s="74"/>
      <c r="AI98" s="74"/>
      <c r="AJ98" s="74"/>
      <c r="AK98" s="74"/>
      <c r="AL98" s="74"/>
      <c r="AM98" s="74"/>
      <c r="AN98" s="74"/>
      <c r="AO98" s="74"/>
      <c r="AP98" s="74"/>
      <c r="AQ98" s="74"/>
      <c r="AR98" s="74"/>
    </row>
    <row r="99" spans="1:51" ht="36" customHeight="1" x14ac:dyDescent="0.25">
      <c r="A99" s="1812"/>
      <c r="B99" s="1810"/>
      <c r="C99" s="1816"/>
      <c r="D99" s="1814"/>
      <c r="E99" s="74"/>
      <c r="F99" s="74"/>
      <c r="G99" s="1812"/>
      <c r="H99" s="1810"/>
      <c r="I99" s="413" t="s">
        <v>1338</v>
      </c>
      <c r="J99" s="414" t="s">
        <v>1402</v>
      </c>
      <c r="K99" s="413" t="s">
        <v>1338</v>
      </c>
      <c r="L99" s="414" t="s">
        <v>1402</v>
      </c>
      <c r="M99" s="413" t="s">
        <v>1338</v>
      </c>
      <c r="N99" s="414" t="s">
        <v>1402</v>
      </c>
      <c r="O99" s="413" t="s">
        <v>1338</v>
      </c>
      <c r="P99" s="414" t="s">
        <v>1402</v>
      </c>
      <c r="Q99" s="413" t="s">
        <v>1338</v>
      </c>
      <c r="R99" s="414" t="s">
        <v>1402</v>
      </c>
      <c r="S99" s="413" t="s">
        <v>1338</v>
      </c>
      <c r="T99" s="414" t="s">
        <v>1402</v>
      </c>
      <c r="U99" s="413" t="s">
        <v>1338</v>
      </c>
      <c r="V99" s="414" t="s">
        <v>1402</v>
      </c>
      <c r="W99" s="413" t="s">
        <v>1338</v>
      </c>
      <c r="X99" s="414" t="s">
        <v>1402</v>
      </c>
      <c r="Y99" s="413" t="s">
        <v>1338</v>
      </c>
      <c r="Z99" s="414" t="s">
        <v>1402</v>
      </c>
      <c r="AA99" s="413" t="s">
        <v>1338</v>
      </c>
      <c r="AB99" s="414" t="s">
        <v>1402</v>
      </c>
      <c r="AC99" s="413" t="s">
        <v>1338</v>
      </c>
      <c r="AD99" s="414" t="s">
        <v>1402</v>
      </c>
      <c r="AE99" s="413" t="s">
        <v>1338</v>
      </c>
      <c r="AF99" s="414" t="s">
        <v>1402</v>
      </c>
      <c r="AG99" s="74"/>
      <c r="AH99" s="74"/>
      <c r="AI99" s="74"/>
      <c r="AJ99" s="74"/>
      <c r="AK99" s="74"/>
      <c r="AL99" s="74"/>
      <c r="AM99" s="74"/>
      <c r="AN99" s="74"/>
      <c r="AO99" s="74"/>
      <c r="AP99" s="74"/>
      <c r="AQ99" s="74"/>
      <c r="AR99" s="74"/>
    </row>
    <row r="100" spans="1:51" ht="36" customHeight="1" x14ac:dyDescent="0.25">
      <c r="A100" s="446" t="s">
        <v>1224</v>
      </c>
      <c r="B100" s="416" t="s">
        <v>842</v>
      </c>
      <c r="C100" s="424">
        <f>'Расчет базового уровня'!D100</f>
        <v>0</v>
      </c>
      <c r="D100" s="447" t="e">
        <f>D102+D104+D106+D111</f>
        <v>#N/A</v>
      </c>
      <c r="E100" s="317"/>
      <c r="F100" s="74"/>
      <c r="G100" s="446" t="s">
        <v>1225</v>
      </c>
      <c r="H100" s="416" t="s">
        <v>842</v>
      </c>
      <c r="I100" s="424">
        <f>'Расчет базового уровня'!J100</f>
        <v>0</v>
      </c>
      <c r="J100" s="448" t="e">
        <f>J102+J104+J106+J111</f>
        <v>#N/A</v>
      </c>
      <c r="K100" s="424">
        <f>'Расчет базового уровня'!L100</f>
        <v>0</v>
      </c>
      <c r="L100" s="448" t="e">
        <f>L102+L104+L106+L111</f>
        <v>#N/A</v>
      </c>
      <c r="M100" s="424">
        <f>'Расчет базового уровня'!N100</f>
        <v>0</v>
      </c>
      <c r="N100" s="448" t="e">
        <f>N102+N104+N106+N111</f>
        <v>#N/A</v>
      </c>
      <c r="O100" s="424">
        <f>'Расчет базового уровня'!P100</f>
        <v>0</v>
      </c>
      <c r="P100" s="448" t="e">
        <f>P102+P104+P106+P111</f>
        <v>#N/A</v>
      </c>
      <c r="Q100" s="424">
        <f>'Расчет базового уровня'!R100</f>
        <v>0</v>
      </c>
      <c r="R100" s="448" t="e">
        <f>R102+R104+R106+R111</f>
        <v>#N/A</v>
      </c>
      <c r="S100" s="424">
        <f>'Расчет базового уровня'!T100</f>
        <v>0</v>
      </c>
      <c r="T100" s="448" t="e">
        <f>T102+T104+T106+T111</f>
        <v>#N/A</v>
      </c>
      <c r="U100" s="424">
        <f>'Расчет базового уровня'!V100</f>
        <v>0</v>
      </c>
      <c r="V100" s="449" t="e">
        <f>V102+V104+V106+V111</f>
        <v>#N/A</v>
      </c>
      <c r="W100" s="424">
        <f>'Расчет базового уровня'!X100</f>
        <v>0</v>
      </c>
      <c r="X100" s="448" t="e">
        <f>X102+X104+X106+X111</f>
        <v>#N/A</v>
      </c>
      <c r="Y100" s="424">
        <f>'Расчет базового уровня'!Z100</f>
        <v>0</v>
      </c>
      <c r="Z100" s="448" t="e">
        <f>Z102+Z104+Z106+Z111</f>
        <v>#N/A</v>
      </c>
      <c r="AA100" s="424">
        <f>'Расчет базового уровня'!AB100</f>
        <v>0</v>
      </c>
      <c r="AB100" s="450" t="e">
        <f>AB102+AB104+AB106+AB111</f>
        <v>#N/A</v>
      </c>
      <c r="AC100" s="424">
        <f>'Расчет базового уровня'!AD100</f>
        <v>0</v>
      </c>
      <c r="AD100" s="424" t="e">
        <f>AD102+AD104+AD106+AD111</f>
        <v>#N/A</v>
      </c>
      <c r="AE100" s="424">
        <f>'Расчет базового уровня'!AF100</f>
        <v>0</v>
      </c>
      <c r="AF100" s="451" t="e">
        <f>AF102+AF104+AF106+AF111</f>
        <v>#N/A</v>
      </c>
      <c r="AG100" s="74"/>
      <c r="AH100" s="74"/>
      <c r="AI100" s="74"/>
      <c r="AJ100" s="74"/>
      <c r="AK100" s="74"/>
      <c r="AL100" s="74"/>
      <c r="AM100" s="74"/>
      <c r="AN100" s="74"/>
      <c r="AO100" s="74"/>
      <c r="AP100" s="74"/>
      <c r="AQ100" s="74"/>
      <c r="AR100" s="74"/>
    </row>
    <row r="101" spans="1:51" ht="18.95" customHeight="1" x14ac:dyDescent="0.25">
      <c r="A101" s="452" t="s">
        <v>1340</v>
      </c>
      <c r="B101" s="416" t="s">
        <v>1181</v>
      </c>
      <c r="C101" s="428"/>
      <c r="D101" s="453">
        <f>IF(C100=0,0,D100/C100-1)</f>
        <v>0</v>
      </c>
      <c r="E101" s="74"/>
      <c r="F101" s="74"/>
      <c r="G101" s="452" t="s">
        <v>1340</v>
      </c>
      <c r="H101" s="416" t="s">
        <v>1181</v>
      </c>
      <c r="I101" s="428"/>
      <c r="J101" s="425">
        <f>IF(I100=0,0,J100/I100-1)</f>
        <v>0</v>
      </c>
      <c r="K101" s="428"/>
      <c r="L101" s="425">
        <f>IF(K100=0,0,L100/K100-1)</f>
        <v>0</v>
      </c>
      <c r="M101" s="428"/>
      <c r="N101" s="425">
        <f>IF(M100=0,0,N100/M100-1)</f>
        <v>0</v>
      </c>
      <c r="O101" s="428"/>
      <c r="P101" s="425">
        <f>IF(O100=0,0,P100/O100-1)</f>
        <v>0</v>
      </c>
      <c r="Q101" s="428"/>
      <c r="R101" s="425">
        <f>IF(Q100=0,0,R100/Q100-1)</f>
        <v>0</v>
      </c>
      <c r="S101" s="428"/>
      <c r="T101" s="425">
        <f>IF(S100=0,0,T100/S100-1)</f>
        <v>0</v>
      </c>
      <c r="U101" s="428"/>
      <c r="V101" s="425">
        <f>IF(U100=0,0,V100/U100-1)</f>
        <v>0</v>
      </c>
      <c r="W101" s="428"/>
      <c r="X101" s="425">
        <f>IF(W100=0,0,X100/W100-1)</f>
        <v>0</v>
      </c>
      <c r="Y101" s="428"/>
      <c r="Z101" s="425">
        <f>IF(Y100=0,0,Z100/Y100-1)</f>
        <v>0</v>
      </c>
      <c r="AA101" s="428"/>
      <c r="AB101" s="425">
        <f>IF(AA100=0,0,AB100/AA100-1)</f>
        <v>0</v>
      </c>
      <c r="AC101" s="428"/>
      <c r="AD101" s="425">
        <f>IF(AC100=0,0,AD100/AC100-1)</f>
        <v>0</v>
      </c>
      <c r="AE101" s="428"/>
      <c r="AF101" s="453">
        <f>IF(AE100=0,0,AF100/AE100-1)</f>
        <v>0</v>
      </c>
      <c r="AG101" s="74"/>
      <c r="AH101" s="74"/>
      <c r="AI101" s="74"/>
      <c r="AJ101" s="74"/>
      <c r="AK101" s="74"/>
      <c r="AL101" s="74"/>
      <c r="AM101" s="74"/>
      <c r="AN101" s="74"/>
      <c r="AO101" s="74"/>
      <c r="AP101" s="74"/>
      <c r="AQ101" s="74"/>
      <c r="AR101" s="74"/>
    </row>
    <row r="102" spans="1:51" ht="26.45" customHeight="1" x14ac:dyDescent="0.25">
      <c r="A102" s="454" t="s">
        <v>1226</v>
      </c>
      <c r="B102" s="416" t="s">
        <v>842</v>
      </c>
      <c r="C102" s="424">
        <f>'Расчет базового уровня'!D102</f>
        <v>0</v>
      </c>
      <c r="D102" s="447">
        <f>IF('Список мероприятий'!AB76=1,('Ввод исходных данных'!G131*'Ввод исходных данных'!H131*400+'Ввод исходных данных'!G132*'Ввод исходных данных'!H132*400+'Ввод исходных данных'!G133*'Ввод исходных данных'!H133*400+'Ввод исходных данных'!G134*'Ввод исходных данных'!H134*300+'Ввод исходных данных'!G135*'Ввод исходных данных'!H135*100)/1000,'Расчет базового уровня'!D102)*IF('Список мероприятий'!AB74=1,VLOOKUP('Список мероприятий'!D75,'Система электроснабжения'!B6:F10,5,0),1)</f>
        <v>0</v>
      </c>
      <c r="E102" s="455"/>
      <c r="F102" s="74"/>
      <c r="G102" s="454" t="s">
        <v>1226</v>
      </c>
      <c r="H102" s="416" t="s">
        <v>842</v>
      </c>
      <c r="I102" s="424">
        <f>'Расчет базового уровня'!J102</f>
        <v>0</v>
      </c>
      <c r="J102" s="424">
        <f>$D$102/12</f>
        <v>0</v>
      </c>
      <c r="K102" s="424">
        <f>'Расчет базового уровня'!L102</f>
        <v>0</v>
      </c>
      <c r="L102" s="424">
        <f>$D$102/12</f>
        <v>0</v>
      </c>
      <c r="M102" s="424">
        <f>'Расчет базового уровня'!N102</f>
        <v>0</v>
      </c>
      <c r="N102" s="424">
        <f>$D$102/12</f>
        <v>0</v>
      </c>
      <c r="O102" s="424">
        <f>'Расчет базового уровня'!P102</f>
        <v>0</v>
      </c>
      <c r="P102" s="424">
        <f>$D$102/12</f>
        <v>0</v>
      </c>
      <c r="Q102" s="424">
        <f>'Расчет базового уровня'!R102</f>
        <v>0</v>
      </c>
      <c r="R102" s="424">
        <f>$D$102/12</f>
        <v>0</v>
      </c>
      <c r="S102" s="424">
        <f>'Расчет базового уровня'!T102</f>
        <v>0</v>
      </c>
      <c r="T102" s="424">
        <f>$D$102/12</f>
        <v>0</v>
      </c>
      <c r="U102" s="424">
        <f>'Расчет базового уровня'!V102</f>
        <v>0</v>
      </c>
      <c r="V102" s="450">
        <f>$D$102/12</f>
        <v>0</v>
      </c>
      <c r="W102" s="424">
        <f>'Расчет базового уровня'!X102</f>
        <v>0</v>
      </c>
      <c r="X102" s="424">
        <f>$D$102/12</f>
        <v>0</v>
      </c>
      <c r="Y102" s="424">
        <f>'Расчет базового уровня'!Z102</f>
        <v>0</v>
      </c>
      <c r="Z102" s="424">
        <f>$D$102/12</f>
        <v>0</v>
      </c>
      <c r="AA102" s="424">
        <f>'Расчет базового уровня'!AB102</f>
        <v>0</v>
      </c>
      <c r="AB102" s="450">
        <f>$D$102/12</f>
        <v>0</v>
      </c>
      <c r="AC102" s="424">
        <f>'Расчет базового уровня'!AD102</f>
        <v>0</v>
      </c>
      <c r="AD102" s="424">
        <f>$D$102/12</f>
        <v>0</v>
      </c>
      <c r="AE102" s="424">
        <f>'Расчет базового уровня'!AF102</f>
        <v>0</v>
      </c>
      <c r="AF102" s="451">
        <f>$D$102/12</f>
        <v>0</v>
      </c>
      <c r="AG102" s="74"/>
      <c r="AH102" s="74"/>
      <c r="AI102" s="74"/>
      <c r="AJ102" s="74"/>
      <c r="AK102" s="74"/>
      <c r="AL102" s="74"/>
      <c r="AM102" s="74"/>
      <c r="AN102" s="74"/>
      <c r="AO102" s="74"/>
      <c r="AP102" s="74"/>
      <c r="AQ102" s="74"/>
      <c r="AR102" s="74"/>
    </row>
    <row r="103" spans="1:51" x14ac:dyDescent="0.25">
      <c r="A103" s="452" t="s">
        <v>874</v>
      </c>
      <c r="B103" s="416" t="s">
        <v>1181</v>
      </c>
      <c r="C103" s="428"/>
      <c r="D103" s="453">
        <f>IF(C102=0,0,D102/C102-1)</f>
        <v>0</v>
      </c>
      <c r="E103" s="74"/>
      <c r="F103" s="74"/>
      <c r="G103" s="452" t="s">
        <v>1340</v>
      </c>
      <c r="H103" s="416" t="s">
        <v>1181</v>
      </c>
      <c r="I103" s="428"/>
      <c r="J103" s="425">
        <f>IF(I102=0,0,J102/I102-1)</f>
        <v>0</v>
      </c>
      <c r="K103" s="428"/>
      <c r="L103" s="425">
        <f>IF(K102=0,0,L102/K102-1)</f>
        <v>0</v>
      </c>
      <c r="M103" s="428"/>
      <c r="N103" s="425">
        <f>IF(M102=0,0,N102/M102-1)</f>
        <v>0</v>
      </c>
      <c r="O103" s="428"/>
      <c r="P103" s="425">
        <f>IF(O102=0,0,P102/O102-1)</f>
        <v>0</v>
      </c>
      <c r="Q103" s="428"/>
      <c r="R103" s="425">
        <f>IF(Q102=0,0,R102/Q102-1)</f>
        <v>0</v>
      </c>
      <c r="S103" s="428"/>
      <c r="T103" s="425">
        <f>IF(S102=0,0,T102/S102-1)</f>
        <v>0</v>
      </c>
      <c r="U103" s="428"/>
      <c r="V103" s="425">
        <f>IF(U102=0,0,V102/U102-1)</f>
        <v>0</v>
      </c>
      <c r="W103" s="428"/>
      <c r="X103" s="425">
        <f>IF(W102=0,0,X102/W102-1)</f>
        <v>0</v>
      </c>
      <c r="Y103" s="428"/>
      <c r="Z103" s="425">
        <f>IF(Y102=0,0,Z102/Y102-1)</f>
        <v>0</v>
      </c>
      <c r="AA103" s="428"/>
      <c r="AB103" s="425">
        <f>IF(AA102=0,0,AB102/AA102-1)</f>
        <v>0</v>
      </c>
      <c r="AC103" s="428"/>
      <c r="AD103" s="425">
        <f>IF(AC102=0,0,AD102/AC102-1)</f>
        <v>0</v>
      </c>
      <c r="AE103" s="428"/>
      <c r="AF103" s="453">
        <f>IF(AE102=0,0,AF102/AE102-1)</f>
        <v>0</v>
      </c>
      <c r="AG103" s="74"/>
      <c r="AH103" s="74"/>
      <c r="AI103" s="74"/>
      <c r="AJ103" s="74"/>
      <c r="AK103" s="74"/>
      <c r="AL103" s="74"/>
      <c r="AM103" s="74"/>
      <c r="AN103" s="74"/>
      <c r="AO103" s="74"/>
      <c r="AP103" s="74"/>
      <c r="AQ103" s="74"/>
      <c r="AR103" s="74"/>
    </row>
    <row r="104" spans="1:51" x14ac:dyDescent="0.25">
      <c r="A104" s="454" t="s">
        <v>1233</v>
      </c>
      <c r="B104" s="416" t="s">
        <v>842</v>
      </c>
      <c r="C104" s="424">
        <f>'Расчет базового уровня'!D104</f>
        <v>0</v>
      </c>
      <c r="D104" s="447">
        <f>IF('Список мероприятий'!AB55=1,'Ввод исходных данных'!D140*IF('Ввод исходных данных'!D138/'Ввод исходных данных'!D17&gt;1,1460,'Ввод исходных данных'!D141)*0.8,IF('Список мероприятий'!AB56=1,'Список мероприятий'!D57*IF('Ввод исходных данных'!D138/'Ввод исходных данных'!D17&gt;1,1460,'Ввод исходных данных'!D141)*0.8*IF('Список мероприятий'!AB58=1,0.957,1),C104))</f>
        <v>0</v>
      </c>
      <c r="E104" s="317"/>
      <c r="F104" s="456"/>
      <c r="G104" s="454" t="s">
        <v>1233</v>
      </c>
      <c r="H104" s="416" t="s">
        <v>842</v>
      </c>
      <c r="I104" s="424">
        <f>'Расчет базового уровня'!J104</f>
        <v>0</v>
      </c>
      <c r="J104" s="424">
        <f>D104/12</f>
        <v>0</v>
      </c>
      <c r="K104" s="424">
        <f>'Расчет базового уровня'!L104</f>
        <v>0</v>
      </c>
      <c r="L104" s="424">
        <f>J104</f>
        <v>0</v>
      </c>
      <c r="M104" s="424">
        <f>'Расчет базового уровня'!N104</f>
        <v>0</v>
      </c>
      <c r="N104" s="428">
        <f>L104</f>
        <v>0</v>
      </c>
      <c r="O104" s="424">
        <f>'Расчет базового уровня'!P104</f>
        <v>0</v>
      </c>
      <c r="P104" s="428">
        <f>N104</f>
        <v>0</v>
      </c>
      <c r="Q104" s="424">
        <f>'Расчет базового уровня'!R104</f>
        <v>0</v>
      </c>
      <c r="R104" s="428">
        <f>P104</f>
        <v>0</v>
      </c>
      <c r="S104" s="424">
        <f>'Расчет базового уровня'!T104</f>
        <v>0</v>
      </c>
      <c r="T104" s="428">
        <f>R104</f>
        <v>0</v>
      </c>
      <c r="U104" s="424">
        <f>'Расчет базового уровня'!V104</f>
        <v>0</v>
      </c>
      <c r="V104" s="457">
        <f>T104</f>
        <v>0</v>
      </c>
      <c r="W104" s="424">
        <f>'Расчет базового уровня'!X104</f>
        <v>0</v>
      </c>
      <c r="X104" s="428">
        <f>V104</f>
        <v>0</v>
      </c>
      <c r="Y104" s="424">
        <f>'Расчет базового уровня'!Z104</f>
        <v>0</v>
      </c>
      <c r="Z104" s="428">
        <f>X104</f>
        <v>0</v>
      </c>
      <c r="AA104" s="424">
        <f>'Расчет базового уровня'!AB104</f>
        <v>0</v>
      </c>
      <c r="AB104" s="457">
        <f>Z104</f>
        <v>0</v>
      </c>
      <c r="AC104" s="424">
        <f>'Расчет базового уровня'!AD104</f>
        <v>0</v>
      </c>
      <c r="AD104" s="428">
        <f>AB104</f>
        <v>0</v>
      </c>
      <c r="AE104" s="424">
        <f>'Расчет базового уровня'!AF104</f>
        <v>0</v>
      </c>
      <c r="AF104" s="458">
        <f>AD104</f>
        <v>0</v>
      </c>
      <c r="AG104" s="74"/>
      <c r="AH104" s="74"/>
      <c r="AI104" s="74"/>
      <c r="AJ104" s="74"/>
      <c r="AK104" s="74"/>
      <c r="AL104" s="74"/>
      <c r="AM104" s="74"/>
      <c r="AN104" s="74"/>
      <c r="AO104" s="74"/>
      <c r="AP104" s="74"/>
      <c r="AQ104" s="74"/>
      <c r="AR104" s="74"/>
    </row>
    <row r="105" spans="1:51" x14ac:dyDescent="0.25">
      <c r="A105" s="452" t="s">
        <v>874</v>
      </c>
      <c r="B105" s="416" t="s">
        <v>1181</v>
      </c>
      <c r="C105" s="428"/>
      <c r="D105" s="453">
        <f>IF(C104=0,0,D104/C104-1)</f>
        <v>0</v>
      </c>
      <c r="E105" s="317"/>
      <c r="F105" s="74"/>
      <c r="G105" s="452" t="s">
        <v>1340</v>
      </c>
      <c r="H105" s="416" t="s">
        <v>1181</v>
      </c>
      <c r="I105" s="428"/>
      <c r="J105" s="425">
        <f>IF(I104=0,0,J104/I104-1)</f>
        <v>0</v>
      </c>
      <c r="K105" s="428"/>
      <c r="L105" s="425">
        <f>IF(K104=0,0,L104/K104-1)</f>
        <v>0</v>
      </c>
      <c r="M105" s="428"/>
      <c r="N105" s="425">
        <f>IF(M104=0,0,N104/M104-1)</f>
        <v>0</v>
      </c>
      <c r="O105" s="428"/>
      <c r="P105" s="425">
        <f>IF(O104=0,0,P104/O104-1)</f>
        <v>0</v>
      </c>
      <c r="Q105" s="428"/>
      <c r="R105" s="425">
        <f>IF(Q104=0,0,R104/Q104-1)</f>
        <v>0</v>
      </c>
      <c r="S105" s="428"/>
      <c r="T105" s="425">
        <f>IF(S104=0,0,T104/S104-1)</f>
        <v>0</v>
      </c>
      <c r="U105" s="428"/>
      <c r="V105" s="425">
        <f>IF(U104=0,0,V104/U104-1)</f>
        <v>0</v>
      </c>
      <c r="W105" s="428"/>
      <c r="X105" s="425">
        <f>IF(W104=0,0,X104/W104-1)</f>
        <v>0</v>
      </c>
      <c r="Y105" s="428"/>
      <c r="Z105" s="425">
        <f>IF(Y104=0,0,Z104/Y104-1)</f>
        <v>0</v>
      </c>
      <c r="AA105" s="428"/>
      <c r="AB105" s="425">
        <f>IF(AA104=0,0,AB104/AA104-1)</f>
        <v>0</v>
      </c>
      <c r="AC105" s="428"/>
      <c r="AD105" s="425">
        <f>IF(AC104=0,0,AD104/AC104-1)</f>
        <v>0</v>
      </c>
      <c r="AE105" s="428"/>
      <c r="AF105" s="453">
        <f>IF(AE104=0,0,AF104/AE104-1)</f>
        <v>0</v>
      </c>
      <c r="AG105" s="74"/>
      <c r="AH105" s="74"/>
      <c r="AI105" s="74"/>
      <c r="AJ105" s="74"/>
      <c r="AK105" s="74"/>
      <c r="AL105" s="74"/>
      <c r="AM105" s="74"/>
      <c r="AN105" s="74"/>
      <c r="AO105" s="74"/>
      <c r="AP105" s="74"/>
      <c r="AQ105" s="74"/>
      <c r="AR105" s="74"/>
    </row>
    <row r="106" spans="1:51" x14ac:dyDescent="0.25">
      <c r="A106" s="454" t="s">
        <v>1235</v>
      </c>
      <c r="B106" s="416" t="s">
        <v>842</v>
      </c>
      <c r="C106" s="424">
        <f>'Расчет базового уровня'!D106</f>
        <v>0</v>
      </c>
      <c r="D106" s="447" t="e">
        <f>D108+D109+D110</f>
        <v>#N/A</v>
      </c>
      <c r="E106" s="317"/>
      <c r="F106" s="317"/>
      <c r="G106" s="454" t="s">
        <v>1234</v>
      </c>
      <c r="H106" s="416" t="s">
        <v>842</v>
      </c>
      <c r="I106" s="424">
        <f>'Расчет базового уровня'!J106</f>
        <v>0</v>
      </c>
      <c r="J106" s="447" t="e">
        <f>J108+J109+J110</f>
        <v>#N/A</v>
      </c>
      <c r="K106" s="424">
        <f>'Расчет базового уровня'!L106</f>
        <v>0</v>
      </c>
      <c r="L106" s="447" t="e">
        <f>L108+L109+L110</f>
        <v>#N/A</v>
      </c>
      <c r="M106" s="424">
        <f>'Расчет базового уровня'!N106</f>
        <v>0</v>
      </c>
      <c r="N106" s="447" t="e">
        <f>N108+N109+N110</f>
        <v>#N/A</v>
      </c>
      <c r="O106" s="424">
        <f>'Расчет базового уровня'!P106</f>
        <v>0</v>
      </c>
      <c r="P106" s="447" t="e">
        <f>P108+P109+P110</f>
        <v>#N/A</v>
      </c>
      <c r="Q106" s="424">
        <f>'Расчет базового уровня'!R106</f>
        <v>0</v>
      </c>
      <c r="R106" s="447" t="e">
        <f>R108+R109+R110</f>
        <v>#N/A</v>
      </c>
      <c r="S106" s="424">
        <f>'Расчет базового уровня'!T106</f>
        <v>0</v>
      </c>
      <c r="T106" s="447" t="e">
        <f>T108+T109+T110</f>
        <v>#N/A</v>
      </c>
      <c r="U106" s="424">
        <f>'Расчет базового уровня'!V106</f>
        <v>0</v>
      </c>
      <c r="V106" s="447" t="e">
        <f>V108+V109+V110</f>
        <v>#N/A</v>
      </c>
      <c r="W106" s="424">
        <f>'Расчет базового уровня'!X106</f>
        <v>0</v>
      </c>
      <c r="X106" s="447" t="e">
        <f>X108+X109+X110</f>
        <v>#N/A</v>
      </c>
      <c r="Y106" s="424">
        <f>'Расчет базового уровня'!Z106</f>
        <v>0</v>
      </c>
      <c r="Z106" s="447" t="e">
        <f>Z108+Z109+Z110</f>
        <v>#N/A</v>
      </c>
      <c r="AA106" s="424">
        <f>'Расчет базового уровня'!AB106</f>
        <v>0</v>
      </c>
      <c r="AB106" s="447" t="e">
        <f>AB108+AB109+AB110</f>
        <v>#N/A</v>
      </c>
      <c r="AC106" s="424">
        <f>'Расчет базового уровня'!AD106</f>
        <v>0</v>
      </c>
      <c r="AD106" s="447" t="e">
        <f>AD108+AD109+AD110</f>
        <v>#N/A</v>
      </c>
      <c r="AE106" s="424">
        <f>'Расчет базового уровня'!AF106</f>
        <v>0</v>
      </c>
      <c r="AF106" s="447" t="e">
        <f>AF108+AF109+AF110</f>
        <v>#N/A</v>
      </c>
      <c r="AG106" s="74"/>
      <c r="AH106" s="74"/>
      <c r="AI106" s="74"/>
      <c r="AJ106" s="74"/>
      <c r="AK106" s="74"/>
      <c r="AL106" s="74"/>
      <c r="AM106" s="74"/>
      <c r="AN106" s="74"/>
      <c r="AO106" s="74"/>
      <c r="AP106" s="74"/>
      <c r="AQ106" s="74"/>
      <c r="AR106" s="74"/>
    </row>
    <row r="107" spans="1:51" ht="23.25" customHeight="1" x14ac:dyDescent="0.25">
      <c r="A107" s="452" t="s">
        <v>874</v>
      </c>
      <c r="B107" s="416" t="s">
        <v>1181</v>
      </c>
      <c r="C107" s="428"/>
      <c r="D107" s="453">
        <f>IF(C106=0,0,D106/C106-1)</f>
        <v>0</v>
      </c>
      <c r="E107" s="74"/>
      <c r="F107" s="74"/>
      <c r="G107" s="452" t="s">
        <v>1340</v>
      </c>
      <c r="H107" s="416" t="s">
        <v>1181</v>
      </c>
      <c r="I107" s="428"/>
      <c r="J107" s="425">
        <f>IF(I106=0,0,J106/I106-1)</f>
        <v>0</v>
      </c>
      <c r="K107" s="428"/>
      <c r="L107" s="425">
        <f>IF(K106=0,0,L106/K106-1)</f>
        <v>0</v>
      </c>
      <c r="M107" s="428"/>
      <c r="N107" s="425">
        <f>IF(M106=0,0,N106/M106-1)</f>
        <v>0</v>
      </c>
      <c r="O107" s="428"/>
      <c r="P107" s="425">
        <f>IF(O106=0,0,P106/O106-1)</f>
        <v>0</v>
      </c>
      <c r="Q107" s="428"/>
      <c r="R107" s="425">
        <f>IF(Q106=0,0,R106/Q106-1)</f>
        <v>0</v>
      </c>
      <c r="S107" s="428"/>
      <c r="T107" s="425">
        <f>IF(S106=0,0,T106/S106-1)</f>
        <v>0</v>
      </c>
      <c r="U107" s="428"/>
      <c r="V107" s="425">
        <f>IF(U106=0,0,V106/U106-1)</f>
        <v>0</v>
      </c>
      <c r="W107" s="428"/>
      <c r="X107" s="425">
        <f>IF(W106=0,0,X106/W106-1)</f>
        <v>0</v>
      </c>
      <c r="Y107" s="428"/>
      <c r="Z107" s="425">
        <f>IF(Y106=0,0,Z106/Y106-1)</f>
        <v>0</v>
      </c>
      <c r="AA107" s="428"/>
      <c r="AB107" s="425">
        <f>IF(AA106=0,0,AB106/AA106-1)</f>
        <v>0</v>
      </c>
      <c r="AC107" s="428"/>
      <c r="AD107" s="425">
        <f>IF(AC106=0,0,AD106/AC106-1)</f>
        <v>0</v>
      </c>
      <c r="AE107" s="428"/>
      <c r="AF107" s="453">
        <f>IF(AE106=0,0,AF106/AE106-1)</f>
        <v>0</v>
      </c>
      <c r="AG107" s="74"/>
      <c r="AH107" s="74"/>
      <c r="AI107" s="74"/>
      <c r="AJ107" s="74"/>
      <c r="AK107" s="74"/>
      <c r="AL107" s="74"/>
      <c r="AM107" s="74"/>
      <c r="AN107" s="74"/>
      <c r="AO107" s="74"/>
      <c r="AP107" s="74"/>
      <c r="AQ107" s="74"/>
      <c r="AR107" s="74"/>
    </row>
    <row r="108" spans="1:51" ht="12.75" customHeight="1" x14ac:dyDescent="0.25">
      <c r="A108" s="452" t="s">
        <v>998</v>
      </c>
      <c r="B108" s="416" t="s">
        <v>842</v>
      </c>
      <c r="C108" s="424">
        <f>'Расчет базового уровня'!D108</f>
        <v>0</v>
      </c>
      <c r="D108" s="459" t="e">
        <f>'Система электроснабжения'!C51</f>
        <v>#N/A</v>
      </c>
      <c r="E108" s="419"/>
      <c r="F108" s="74"/>
      <c r="G108" s="452" t="s">
        <v>998</v>
      </c>
      <c r="H108" s="416" t="s">
        <v>842</v>
      </c>
      <c r="I108" s="428"/>
      <c r="J108" s="459" t="e">
        <f>'Система электроснабжения'!$E$51</f>
        <v>#N/A</v>
      </c>
      <c r="K108" s="428"/>
      <c r="L108" s="459" t="e">
        <f>'Система электроснабжения'!$F$51</f>
        <v>#N/A</v>
      </c>
      <c r="M108" s="428"/>
      <c r="N108" s="459" t="e">
        <f>'Система электроснабжения'!$G$50</f>
        <v>#N/A</v>
      </c>
      <c r="O108" s="428"/>
      <c r="P108" s="459" t="e">
        <f>'Система электроснабжения'!$H$50</f>
        <v>#N/A</v>
      </c>
      <c r="Q108" s="428"/>
      <c r="R108" s="459" t="e">
        <f>'Система электроснабжения'!$I$50</f>
        <v>#N/A</v>
      </c>
      <c r="S108" s="428"/>
      <c r="T108" s="459" t="e">
        <f>'Система электроснабжения'!$J$50</f>
        <v>#N/A</v>
      </c>
      <c r="U108" s="428"/>
      <c r="V108" s="459" t="e">
        <f>'Система электроснабжения'!$K$50</f>
        <v>#N/A</v>
      </c>
      <c r="W108" s="428"/>
      <c r="X108" s="459" t="e">
        <f>'Система электроснабжения'!$L$50</f>
        <v>#N/A</v>
      </c>
      <c r="Y108" s="428"/>
      <c r="Z108" s="459" t="e">
        <f>'Система электроснабжения'!$M$50</f>
        <v>#N/A</v>
      </c>
      <c r="AA108" s="428"/>
      <c r="AB108" s="459" t="e">
        <f>'Система электроснабжения'!$N$50</f>
        <v>#N/A</v>
      </c>
      <c r="AC108" s="428"/>
      <c r="AD108" s="459" t="e">
        <f>'Система электроснабжения'!$O$50</f>
        <v>#N/A</v>
      </c>
      <c r="AE108" s="428"/>
      <c r="AF108" s="459" t="e">
        <f>'Система электроснабжения'!$P$50</f>
        <v>#N/A</v>
      </c>
      <c r="AG108" s="74"/>
      <c r="AH108" s="74"/>
      <c r="AI108" s="74"/>
      <c r="AJ108" s="74"/>
      <c r="AK108" s="74"/>
      <c r="AL108" s="74"/>
      <c r="AM108" s="74"/>
      <c r="AN108" s="74"/>
      <c r="AO108" s="74"/>
      <c r="AP108" s="74"/>
      <c r="AQ108" s="74"/>
      <c r="AR108" s="74"/>
    </row>
    <row r="109" spans="1:51" ht="12.75" customHeight="1" x14ac:dyDescent="0.25">
      <c r="A109" s="452" t="s">
        <v>541</v>
      </c>
      <c r="B109" s="416" t="s">
        <v>842</v>
      </c>
      <c r="C109" s="424">
        <f>'Расчет базового уровня'!D109</f>
        <v>0</v>
      </c>
      <c r="D109" s="459">
        <f>IF(OR('Список мероприятий'!$AB$44=1,'Список мероприятий'!$AB$49=1,'Список мероприятий'!$D$33=списки!$N$46,'Список мероприятий'!$AB$39=1),'Система электроснабжения'!$C$66,'Расчет базового уровня'!D109*IF('Список мероприятий'!AB52=1,0.957,1))</f>
        <v>0</v>
      </c>
      <c r="E109" s="74"/>
      <c r="F109" s="74"/>
      <c r="G109" s="452" t="s">
        <v>541</v>
      </c>
      <c r="H109" s="416" t="s">
        <v>842</v>
      </c>
      <c r="I109" s="428"/>
      <c r="J109" s="459">
        <f>IF(OR('Список мероприятий'!$AB$44=1,'Список мероприятий'!$AB$49=1,'Список мероприятий'!$D$33=списки!$N$46,'Список мероприятий'!$AB$39=1),'Система электроснабжения'!$E$66,'Расчет базового уровня'!I109*IF('Список мероприятий'!AB52=1,0.957,1))</f>
        <v>0</v>
      </c>
      <c r="K109" s="428"/>
      <c r="L109" s="459">
        <f>IF(OR('Список мероприятий'!$AB$44=1,'Список мероприятий'!$AB$49=1,'Список мероприятий'!$D$33=списки!$N$46,'Список мероприятий'!$AB$39=1),'Система электроснабжения'!$F$66,'Расчет базового уровня'!K109*IF('Список мероприятий'!AB52=1,0.957,1))</f>
        <v>0</v>
      </c>
      <c r="M109" s="428"/>
      <c r="N109" s="459">
        <f>IF(OR('Список мероприятий'!$AB$44=1,'Список мероприятий'!$AB$49=1,'Список мероприятий'!$D$33=списки!$N$46,'Список мероприятий'!$AB$39=1),'Система электроснабжения'!$G$65,'Расчет базового уровня'!M109*IF('Список мероприятий'!AB52=1,0.957,1))</f>
        <v>0</v>
      </c>
      <c r="O109" s="428"/>
      <c r="P109" s="459">
        <f>IF(OR('Список мероприятий'!$AB$44=1,'Список мероприятий'!$AB$49=1,'Список мероприятий'!$D$33=списки!$N$46,'Список мероприятий'!$AB$39=1),'Система электроснабжения'!$H$65,'Расчет базового уровня'!O109*IF('Список мероприятий'!AB52=1,0.957,1))</f>
        <v>0</v>
      </c>
      <c r="Q109" s="428"/>
      <c r="R109" s="459">
        <f>IF(OR('Список мероприятий'!$AB$44=1,'Список мероприятий'!$AB$49=1,'Список мероприятий'!$D$33=списки!$N$46,'Список мероприятий'!$AB$39=1),'Система электроснабжения'!$I$65,'Расчет базового уровня'!Q109*IF('Список мероприятий'!AB52=1,0.957,1))</f>
        <v>0</v>
      </c>
      <c r="S109" s="428"/>
      <c r="T109" s="459">
        <f>IF(OR('Список мероприятий'!$AB$44=1,'Список мероприятий'!$AB$49=1,'Список мероприятий'!$D$33=списки!$N$46,'Список мероприятий'!$AB$39=1),'Система электроснабжения'!$J$65,'Расчет базового уровня'!S109*IF('Список мероприятий'!AB52=1,0.957,1))</f>
        <v>0</v>
      </c>
      <c r="U109" s="428"/>
      <c r="V109" s="459">
        <f>IF(OR('Список мероприятий'!$AB$44=1,'Список мероприятий'!$AB$49=1,'Список мероприятий'!$D$33=списки!$N$46,'Список мероприятий'!$AB$39=1),'Система электроснабжения'!$K$65,'Расчет базового уровня'!U109*IF('Список мероприятий'!AB52=1,0.957,1))</f>
        <v>0</v>
      </c>
      <c r="W109" s="428"/>
      <c r="X109" s="459">
        <f>IF(OR('Список мероприятий'!$AB$44=1,'Список мероприятий'!$AB$49=1,'Список мероприятий'!$D$33=списки!$N$46,'Список мероприятий'!$AB$39=1),'Система электроснабжения'!$L$65,'Расчет базового уровня'!W109*IF('Список мероприятий'!AB52=1,0.957,1))</f>
        <v>0</v>
      </c>
      <c r="Y109" s="428"/>
      <c r="Z109" s="459">
        <f>IF(OR('Список мероприятий'!$AB$44=1,'Список мероприятий'!$AB$49=1,'Список мероприятий'!$D$33=списки!$N$46,'Список мероприятий'!$AB$39=1),'Система электроснабжения'!$M$65,'Расчет базового уровня'!Y109*IF('Список мероприятий'!AB52=1,0.957,1))</f>
        <v>0</v>
      </c>
      <c r="AA109" s="428"/>
      <c r="AB109" s="459">
        <f>IF(OR('Список мероприятий'!$AB$44=1,'Список мероприятий'!$AB$49=1,'Список мероприятий'!$D$33=списки!$N$46,'Список мероприятий'!$AB$39=1),'Система электроснабжения'!$N$65,'Расчет базового уровня'!AA109*IF('Список мероприятий'!AB52=1,0.957,1))</f>
        <v>0</v>
      </c>
      <c r="AC109" s="428"/>
      <c r="AD109" s="459">
        <f>IF(OR('Список мероприятий'!$AB$44=1,'Список мероприятий'!$AB$49=1,'Список мероприятий'!$D$33=списки!$N$46,'Список мероприятий'!$AB$39=1),'Система электроснабжения'!$O$65,'Расчет базового уровня'!AC109*IF('Список мероприятий'!AB52=1,0.957,1))</f>
        <v>0</v>
      </c>
      <c r="AE109" s="428"/>
      <c r="AF109" s="459">
        <f>IF(OR('Список мероприятий'!$AB$44=1,'Список мероприятий'!$AB$49=1,'Список мероприятий'!$D$33=списки!$N$46,'Список мероприятий'!$AB$39=1),'Система электроснабжения'!$P$65,'Расчет базового уровня'!AE109*IF('Список мероприятий'!AB52=1,0.957,1))</f>
        <v>0</v>
      </c>
      <c r="AG109" s="74"/>
      <c r="AH109" s="74"/>
      <c r="AI109" s="74"/>
      <c r="AJ109" s="74"/>
      <c r="AK109" s="74"/>
      <c r="AL109" s="74"/>
      <c r="AM109" s="74"/>
      <c r="AN109" s="74"/>
      <c r="AO109" s="74"/>
      <c r="AP109" s="74"/>
      <c r="AQ109" s="74"/>
      <c r="AR109" s="74"/>
    </row>
    <row r="110" spans="1:51" ht="12.75" customHeight="1" x14ac:dyDescent="0.25">
      <c r="A110" s="452" t="s">
        <v>1351</v>
      </c>
      <c r="B110" s="416" t="s">
        <v>842</v>
      </c>
      <c r="C110" s="424">
        <f>'Расчет базового уровня'!D110</f>
        <v>0</v>
      </c>
      <c r="D110" s="459">
        <f>IF(OR('Список мероприятий'!$AB$45=1,'Список мероприятий'!$AB$50=1),0.9*'Расчет базового уровня'!D110,'Расчет базового уровня'!D110)*IF('Список мероприятий'!AB52=1,0.957,1)</f>
        <v>0</v>
      </c>
      <c r="E110" s="74"/>
      <c r="F110" s="74"/>
      <c r="G110" s="452" t="s">
        <v>1351</v>
      </c>
      <c r="H110" s="416" t="s">
        <v>842</v>
      </c>
      <c r="I110" s="428"/>
      <c r="J110" s="459">
        <f>$D$110/12</f>
        <v>0</v>
      </c>
      <c r="K110" s="428"/>
      <c r="L110" s="459">
        <f>$D$110/12</f>
        <v>0</v>
      </c>
      <c r="M110" s="428"/>
      <c r="N110" s="459">
        <f>$D$110/12</f>
        <v>0</v>
      </c>
      <c r="O110" s="428"/>
      <c r="P110" s="459">
        <f>$D$110/12</f>
        <v>0</v>
      </c>
      <c r="Q110" s="428"/>
      <c r="R110" s="459">
        <f>$D$110/12</f>
        <v>0</v>
      </c>
      <c r="S110" s="428"/>
      <c r="T110" s="459">
        <f>$D$110/12</f>
        <v>0</v>
      </c>
      <c r="U110" s="428"/>
      <c r="V110" s="459">
        <f>$D$110/12</f>
        <v>0</v>
      </c>
      <c r="W110" s="428"/>
      <c r="X110" s="459">
        <f>$D$110/12</f>
        <v>0</v>
      </c>
      <c r="Y110" s="428"/>
      <c r="Z110" s="459">
        <f>$D$110/12</f>
        <v>0</v>
      </c>
      <c r="AA110" s="428"/>
      <c r="AB110" s="459">
        <f>$D$110/12</f>
        <v>0</v>
      </c>
      <c r="AC110" s="428"/>
      <c r="AD110" s="459">
        <f>$D$110/12</f>
        <v>0</v>
      </c>
      <c r="AE110" s="428"/>
      <c r="AF110" s="459">
        <f>$D$110/12</f>
        <v>0</v>
      </c>
      <c r="AG110" s="74"/>
      <c r="AH110" s="74"/>
      <c r="AI110" s="74"/>
      <c r="AJ110" s="74"/>
      <c r="AK110" s="74"/>
      <c r="AL110" s="74"/>
      <c r="AM110" s="74"/>
      <c r="AN110" s="74"/>
      <c r="AO110" s="74"/>
      <c r="AP110" s="74"/>
      <c r="AQ110" s="74"/>
      <c r="AR110" s="74"/>
    </row>
    <row r="111" spans="1:51" ht="25.5" customHeight="1" x14ac:dyDescent="0.25">
      <c r="A111" s="454" t="s">
        <v>1227</v>
      </c>
      <c r="B111" s="416" t="s">
        <v>842</v>
      </c>
      <c r="C111" s="424">
        <f>'Расчет базового уровня'!D111</f>
        <v>0</v>
      </c>
      <c r="D111" s="447">
        <f>'Ввод исходных данных'!$D$159*'Ввод исходных данных'!$D$160</f>
        <v>0</v>
      </c>
      <c r="E111" s="74"/>
      <c r="F111" s="74"/>
      <c r="G111" s="454" t="s">
        <v>1227</v>
      </c>
      <c r="H111" s="416" t="s">
        <v>842</v>
      </c>
      <c r="I111" s="424">
        <f>'Расчет базового уровня'!J111</f>
        <v>0</v>
      </c>
      <c r="J111" s="428">
        <f>$D$111/12</f>
        <v>0</v>
      </c>
      <c r="K111" s="424">
        <f>'Расчет базового уровня'!L111</f>
        <v>0</v>
      </c>
      <c r="L111" s="428">
        <f>$D$111/12</f>
        <v>0</v>
      </c>
      <c r="M111" s="424">
        <f>'Расчет базового уровня'!N111</f>
        <v>0</v>
      </c>
      <c r="N111" s="428">
        <f>$D$111/12</f>
        <v>0</v>
      </c>
      <c r="O111" s="424">
        <f>'Расчет базового уровня'!P111</f>
        <v>0</v>
      </c>
      <c r="P111" s="428">
        <f>$D$111/12</f>
        <v>0</v>
      </c>
      <c r="Q111" s="424">
        <f>'Расчет базового уровня'!R111</f>
        <v>0</v>
      </c>
      <c r="R111" s="428">
        <f>$D$111/12</f>
        <v>0</v>
      </c>
      <c r="S111" s="424">
        <f>'Расчет базового уровня'!T111</f>
        <v>0</v>
      </c>
      <c r="T111" s="428">
        <f>$D$111/12</f>
        <v>0</v>
      </c>
      <c r="U111" s="424">
        <f>'Расчет базового уровня'!V111</f>
        <v>0</v>
      </c>
      <c r="V111" s="428">
        <f>$D$111/12</f>
        <v>0</v>
      </c>
      <c r="W111" s="424">
        <f>'Расчет базового уровня'!X111</f>
        <v>0</v>
      </c>
      <c r="X111" s="428">
        <f>$D$111/12</f>
        <v>0</v>
      </c>
      <c r="Y111" s="424">
        <f>'Расчет базового уровня'!Z111</f>
        <v>0</v>
      </c>
      <c r="Z111" s="428">
        <f>$D$111/12</f>
        <v>0</v>
      </c>
      <c r="AA111" s="424">
        <f>'Расчет базового уровня'!AB111</f>
        <v>0</v>
      </c>
      <c r="AB111" s="428">
        <f>$D$111/12</f>
        <v>0</v>
      </c>
      <c r="AC111" s="424">
        <f>'Расчет базового уровня'!AD111</f>
        <v>0</v>
      </c>
      <c r="AD111" s="428">
        <f>$D$111/12</f>
        <v>0</v>
      </c>
      <c r="AE111" s="424">
        <f>'Расчет базового уровня'!AF111</f>
        <v>0</v>
      </c>
      <c r="AF111" s="460">
        <f>$D$111/12</f>
        <v>0</v>
      </c>
      <c r="AG111" s="74"/>
      <c r="AH111" s="74"/>
      <c r="AI111" s="74"/>
      <c r="AJ111" s="74"/>
      <c r="AK111" s="74"/>
      <c r="AL111" s="74"/>
      <c r="AM111" s="74"/>
      <c r="AN111" s="74"/>
      <c r="AO111" s="74"/>
      <c r="AP111" s="74"/>
      <c r="AQ111" s="74"/>
      <c r="AR111" s="74"/>
      <c r="AS111" s="74"/>
      <c r="AT111" s="74"/>
      <c r="AU111" s="74"/>
      <c r="AV111" s="74"/>
      <c r="AW111" s="74"/>
      <c r="AX111" s="74"/>
      <c r="AY111" s="74"/>
    </row>
    <row r="112" spans="1:51" ht="18.75" customHeight="1" x14ac:dyDescent="0.25">
      <c r="A112" s="452" t="s">
        <v>874</v>
      </c>
      <c r="B112" s="416" t="s">
        <v>1181</v>
      </c>
      <c r="C112" s="428"/>
      <c r="D112" s="453">
        <f>IF(C111=0,0,D111/C111-1)</f>
        <v>0</v>
      </c>
      <c r="E112" s="74"/>
      <c r="F112" s="74"/>
      <c r="G112" s="452" t="s">
        <v>1340</v>
      </c>
      <c r="H112" s="416" t="s">
        <v>1181</v>
      </c>
      <c r="I112" s="428"/>
      <c r="J112" s="425">
        <f>IF(I111=0,0,J111/I111-1)</f>
        <v>0</v>
      </c>
      <c r="K112" s="428"/>
      <c r="L112" s="425">
        <f>IF(K111=0,0,L111/K111-1)</f>
        <v>0</v>
      </c>
      <c r="M112" s="428"/>
      <c r="N112" s="425">
        <f>IF(M111=0,0,N111/M111-1)</f>
        <v>0</v>
      </c>
      <c r="O112" s="428"/>
      <c r="P112" s="425">
        <f>IF(O111=0,0,P111/O111-1)</f>
        <v>0</v>
      </c>
      <c r="Q112" s="428"/>
      <c r="R112" s="425">
        <f>IF(Q111=0,0,R111/Q111-1)</f>
        <v>0</v>
      </c>
      <c r="S112" s="428"/>
      <c r="T112" s="425">
        <f>IF(S111=0,0,T111/S111-1)</f>
        <v>0</v>
      </c>
      <c r="U112" s="428"/>
      <c r="V112" s="425">
        <f>IF(U111=0,0,V111/U111-1)</f>
        <v>0</v>
      </c>
      <c r="W112" s="428"/>
      <c r="X112" s="425">
        <f>IF(W111=0,0,X111/W111-1)</f>
        <v>0</v>
      </c>
      <c r="Y112" s="428"/>
      <c r="Z112" s="425">
        <f>IF(Y111=0,0,Z111/Y111-1)</f>
        <v>0</v>
      </c>
      <c r="AA112" s="428"/>
      <c r="AB112" s="425">
        <f>IF(AA111=0,0,AB111/AA111-1)</f>
        <v>0</v>
      </c>
      <c r="AC112" s="428"/>
      <c r="AD112" s="425">
        <f>IF(AC111=0,0,AD111/AC111-1)</f>
        <v>0</v>
      </c>
      <c r="AE112" s="428"/>
      <c r="AF112" s="453">
        <f>IF(AE111=0,0,AF111/AE111-1)</f>
        <v>0</v>
      </c>
      <c r="AG112" s="74"/>
      <c r="AH112" s="74"/>
      <c r="AI112" s="74"/>
      <c r="AJ112" s="74"/>
      <c r="AK112" s="74"/>
      <c r="AL112" s="74"/>
      <c r="AM112" s="74"/>
      <c r="AN112" s="74"/>
      <c r="AO112" s="74"/>
      <c r="AP112" s="74"/>
      <c r="AQ112" s="74"/>
      <c r="AR112" s="74"/>
      <c r="AS112" s="74"/>
      <c r="AT112" s="74"/>
      <c r="AU112" s="74"/>
      <c r="AV112" s="74"/>
      <c r="AW112" s="74"/>
      <c r="AX112" s="74"/>
      <c r="AY112" s="74"/>
    </row>
    <row r="113" spans="1:59" ht="39.6" customHeight="1" x14ac:dyDescent="0.25">
      <c r="A113" s="461" t="s">
        <v>1228</v>
      </c>
      <c r="B113" s="416" t="s">
        <v>842</v>
      </c>
      <c r="C113" s="428"/>
      <c r="D113" s="451"/>
      <c r="E113" s="74"/>
      <c r="F113" s="74"/>
      <c r="G113" s="461" t="s">
        <v>1229</v>
      </c>
      <c r="H113" s="416" t="s">
        <v>842</v>
      </c>
      <c r="I113" s="428"/>
      <c r="J113" s="428"/>
      <c r="K113" s="428"/>
      <c r="L113" s="428"/>
      <c r="M113" s="428"/>
      <c r="N113" s="428"/>
      <c r="O113" s="428"/>
      <c r="P113" s="457"/>
      <c r="Q113" s="428"/>
      <c r="R113" s="428"/>
      <c r="S113" s="428"/>
      <c r="T113" s="428"/>
      <c r="U113" s="428"/>
      <c r="V113" s="457"/>
      <c r="W113" s="428"/>
      <c r="X113" s="457"/>
      <c r="Y113" s="428"/>
      <c r="Z113" s="428"/>
      <c r="AA113" s="428"/>
      <c r="AB113" s="457"/>
      <c r="AC113" s="428"/>
      <c r="AD113" s="457"/>
      <c r="AE113" s="428"/>
      <c r="AF113" s="458"/>
      <c r="AG113" s="74"/>
      <c r="AH113" s="74"/>
      <c r="AI113" s="74"/>
      <c r="AJ113" s="74"/>
      <c r="AK113" s="74"/>
      <c r="AL113" s="74"/>
      <c r="AM113" s="74"/>
      <c r="AN113" s="74"/>
      <c r="AO113" s="74"/>
      <c r="AP113" s="74"/>
      <c r="AQ113" s="74"/>
      <c r="AR113" s="74"/>
      <c r="AS113" s="74"/>
      <c r="AT113" s="74"/>
      <c r="AU113" s="74"/>
      <c r="AV113" s="74"/>
      <c r="AW113" s="74"/>
      <c r="AX113" s="74"/>
      <c r="AY113" s="74"/>
    </row>
    <row r="114" spans="1:59" ht="15.75" thickBot="1" x14ac:dyDescent="0.3">
      <c r="A114" s="452" t="s">
        <v>874</v>
      </c>
      <c r="B114" s="416" t="s">
        <v>1181</v>
      </c>
      <c r="C114" s="428"/>
      <c r="D114" s="451"/>
      <c r="E114" s="74"/>
      <c r="F114" s="74"/>
      <c r="G114" s="452" t="s">
        <v>874</v>
      </c>
      <c r="H114" s="416" t="s">
        <v>1181</v>
      </c>
      <c r="I114" s="428"/>
      <c r="J114" s="428"/>
      <c r="K114" s="428"/>
      <c r="L114" s="428"/>
      <c r="M114" s="428"/>
      <c r="N114" s="428"/>
      <c r="O114" s="428"/>
      <c r="P114" s="428"/>
      <c r="Q114" s="428"/>
      <c r="R114" s="428"/>
      <c r="S114" s="428"/>
      <c r="T114" s="428"/>
      <c r="U114" s="428"/>
      <c r="V114" s="428"/>
      <c r="W114" s="428"/>
      <c r="X114" s="428"/>
      <c r="Y114" s="428"/>
      <c r="Z114" s="428"/>
      <c r="AA114" s="428"/>
      <c r="AB114" s="457"/>
      <c r="AC114" s="428"/>
      <c r="AD114" s="428"/>
      <c r="AE114" s="428"/>
      <c r="AF114" s="460"/>
      <c r="AG114" s="74"/>
      <c r="AH114" s="74"/>
      <c r="AI114" s="74"/>
      <c r="AJ114" s="74"/>
      <c r="AK114" s="74"/>
      <c r="AL114" s="74"/>
      <c r="AM114" s="74"/>
      <c r="AN114" s="74"/>
      <c r="AO114" s="74"/>
      <c r="AP114" s="74"/>
      <c r="AQ114" s="74"/>
      <c r="AR114" s="74"/>
      <c r="AS114" s="74"/>
      <c r="AT114" s="74"/>
      <c r="AU114" s="74"/>
      <c r="AV114" s="74"/>
      <c r="AW114" s="74"/>
      <c r="AX114" s="74"/>
      <c r="AY114" s="74"/>
    </row>
    <row r="115" spans="1:59" ht="24.75" thickBot="1" x14ac:dyDescent="0.3">
      <c r="A115" s="462" t="s">
        <v>1230</v>
      </c>
      <c r="B115" s="463" t="s">
        <v>1190</v>
      </c>
      <c r="C115" s="464" t="e">
        <f>'Расчет базового уровня'!D115</f>
        <v>#DIV/0!</v>
      </c>
      <c r="D115" s="465" t="e">
        <f>D100/('Ввод исходных данных'!$G$45+'Ввод исходных данных'!$D$23)</f>
        <v>#N/A</v>
      </c>
      <c r="E115" s="74"/>
      <c r="F115" s="74"/>
      <c r="G115" s="466"/>
      <c r="H115" s="467"/>
      <c r="I115" s="464">
        <f>'Расчет базового уровня'!J115</f>
        <v>0</v>
      </c>
      <c r="J115" s="467"/>
      <c r="K115" s="464">
        <f>'Расчет базового уровня'!M115</f>
        <v>0</v>
      </c>
      <c r="L115" s="467"/>
      <c r="M115" s="464">
        <f>'Расчет базового уровня'!P115</f>
        <v>0</v>
      </c>
      <c r="N115" s="467"/>
      <c r="O115" s="464">
        <f>'Расчет базового уровня'!S115</f>
        <v>0</v>
      </c>
      <c r="P115" s="467"/>
      <c r="Q115" s="464">
        <f>'Расчет базового уровня'!V115</f>
        <v>0</v>
      </c>
      <c r="R115" s="467"/>
      <c r="S115" s="464">
        <f>'Расчет базового уровня'!Y115</f>
        <v>0</v>
      </c>
      <c r="T115" s="467"/>
      <c r="U115" s="464">
        <f>'Расчет базового уровня'!AB115</f>
        <v>0</v>
      </c>
      <c r="V115" s="467"/>
      <c r="W115" s="464">
        <f>'Расчет базового уровня'!AE115</f>
        <v>0</v>
      </c>
      <c r="X115" s="467"/>
      <c r="Y115" s="464">
        <f>'Расчет базового уровня'!AH115</f>
        <v>0</v>
      </c>
      <c r="Z115" s="467"/>
      <c r="AA115" s="464">
        <f>'Расчет базового уровня'!AK115</f>
        <v>0</v>
      </c>
      <c r="AB115" s="467"/>
      <c r="AC115" s="464">
        <f>'Расчет базового уровня'!AN115</f>
        <v>0</v>
      </c>
      <c r="AD115" s="467"/>
      <c r="AE115" s="464">
        <f>'Расчет базового уровня'!AQ115</f>
        <v>0</v>
      </c>
      <c r="AF115" s="468"/>
      <c r="AG115" s="74"/>
      <c r="AH115" s="74"/>
      <c r="AI115" s="74"/>
      <c r="AJ115" s="74"/>
      <c r="AK115" s="74"/>
      <c r="AL115" s="74"/>
      <c r="AM115" s="74"/>
      <c r="AN115" s="74"/>
      <c r="AO115" s="74"/>
      <c r="AP115" s="74"/>
      <c r="AQ115" s="74"/>
      <c r="AR115" s="74"/>
      <c r="AS115" s="74"/>
      <c r="AT115" s="74"/>
      <c r="AU115" s="74"/>
      <c r="AV115" s="74"/>
      <c r="AW115" s="74"/>
      <c r="AX115" s="74"/>
      <c r="AY115" s="74"/>
    </row>
    <row r="116" spans="1:59" ht="42" customHeight="1" x14ac:dyDescent="0.25">
      <c r="A116" s="74"/>
      <c r="B116" s="74"/>
      <c r="C116" s="74"/>
      <c r="D116" s="74"/>
      <c r="E116" s="74"/>
      <c r="F116" s="74"/>
      <c r="G116" s="74"/>
      <c r="H116" s="74"/>
      <c r="I116" s="74"/>
      <c r="J116" s="74"/>
      <c r="K116" s="74"/>
      <c r="L116" s="74"/>
      <c r="M116" s="74"/>
      <c r="N116" s="74"/>
      <c r="O116" s="74"/>
      <c r="P116" s="74"/>
      <c r="Q116" s="74"/>
      <c r="R116" s="74"/>
      <c r="S116" s="74"/>
      <c r="T116" s="74"/>
      <c r="U116" s="74"/>
      <c r="V116" s="74"/>
      <c r="W116" s="74"/>
      <c r="X116" s="74"/>
      <c r="Y116" s="74"/>
      <c r="Z116" s="74"/>
      <c r="AA116" s="74"/>
      <c r="AB116" s="74"/>
      <c r="AC116" s="74"/>
      <c r="AD116" s="74"/>
      <c r="AE116" s="74"/>
      <c r="AF116" s="74"/>
      <c r="AG116" s="74"/>
      <c r="AH116" s="74"/>
      <c r="AI116" s="74"/>
      <c r="AJ116" s="74"/>
      <c r="AK116" s="74"/>
      <c r="AL116" s="74"/>
      <c r="AM116" s="74"/>
      <c r="AN116" s="74"/>
      <c r="AO116" s="74"/>
      <c r="AP116" s="74"/>
      <c r="AQ116" s="74"/>
      <c r="AR116" s="74"/>
      <c r="AS116" s="74"/>
      <c r="AT116" s="74"/>
      <c r="AU116" s="74"/>
      <c r="AV116" s="74"/>
      <c r="AW116" s="74"/>
      <c r="AX116" s="74"/>
    </row>
    <row r="117" spans="1:59" ht="31.5" customHeight="1" x14ac:dyDescent="0.25">
      <c r="A117" s="74"/>
      <c r="B117" s="74"/>
      <c r="C117" s="74"/>
      <c r="D117" s="74"/>
      <c r="E117" s="74"/>
      <c r="F117" s="74"/>
      <c r="G117" s="74"/>
      <c r="H117" s="74"/>
      <c r="I117" s="74"/>
      <c r="J117" s="74"/>
      <c r="K117" s="74"/>
      <c r="L117" s="74"/>
      <c r="M117" s="74"/>
      <c r="N117" s="74"/>
      <c r="O117" s="74"/>
      <c r="P117" s="74"/>
      <c r="Q117" s="74"/>
      <c r="R117" s="74"/>
      <c r="S117" s="74"/>
      <c r="T117" s="74"/>
      <c r="U117" s="74"/>
      <c r="V117" s="74"/>
      <c r="W117" s="74"/>
      <c r="X117" s="74"/>
      <c r="Y117" s="74"/>
      <c r="Z117" s="74"/>
      <c r="AA117" s="74"/>
      <c r="AB117" s="74"/>
      <c r="AC117" s="74"/>
      <c r="AD117" s="74"/>
      <c r="AE117" s="74"/>
      <c r="AF117" s="74"/>
      <c r="AG117" s="74"/>
      <c r="AH117" s="74"/>
      <c r="AI117" s="74"/>
      <c r="AJ117" s="74"/>
      <c r="AK117" s="74"/>
      <c r="AL117" s="74"/>
      <c r="AM117" s="74"/>
      <c r="AN117" s="74"/>
      <c r="AO117" s="74"/>
      <c r="AP117" s="74"/>
      <c r="AQ117" s="74"/>
      <c r="AR117" s="74"/>
      <c r="AS117" s="74"/>
      <c r="AT117" s="74"/>
      <c r="AU117" s="74"/>
      <c r="AV117" s="74"/>
      <c r="AW117" s="74"/>
      <c r="AX117" s="74"/>
      <c r="AY117" s="74"/>
      <c r="AZ117" s="74"/>
      <c r="BA117" s="74"/>
    </row>
    <row r="118" spans="1:59" x14ac:dyDescent="0.25">
      <c r="A118" s="74"/>
      <c r="B118" s="74"/>
      <c r="C118" s="74"/>
      <c r="D118" s="74"/>
      <c r="E118" s="74"/>
      <c r="F118" s="74"/>
      <c r="G118" s="74"/>
      <c r="H118" s="74"/>
      <c r="I118" s="74"/>
      <c r="J118" s="74"/>
      <c r="K118" s="74"/>
      <c r="L118" s="74"/>
      <c r="M118" s="74"/>
      <c r="N118" s="74"/>
      <c r="O118" s="74"/>
      <c r="P118" s="74"/>
      <c r="Q118" s="74"/>
      <c r="R118" s="74"/>
      <c r="S118" s="74"/>
      <c r="T118" s="74"/>
      <c r="U118" s="74"/>
      <c r="V118" s="74"/>
      <c r="W118" s="74"/>
      <c r="X118" s="74"/>
      <c r="Y118" s="74"/>
      <c r="Z118" s="74"/>
      <c r="AA118" s="74"/>
      <c r="AB118" s="74"/>
      <c r="AC118" s="74"/>
      <c r="AD118" s="74"/>
      <c r="AE118" s="74"/>
      <c r="AF118" s="74"/>
      <c r="AG118" s="74"/>
      <c r="AH118" s="74"/>
      <c r="AI118" s="74"/>
      <c r="AJ118" s="74"/>
      <c r="AK118" s="74"/>
      <c r="AL118" s="74"/>
      <c r="AM118" s="74"/>
      <c r="AN118" s="74"/>
      <c r="AO118" s="74"/>
      <c r="AP118" s="74"/>
      <c r="AQ118" s="74"/>
      <c r="AR118" s="74"/>
      <c r="AS118" s="74"/>
      <c r="AT118" s="74"/>
      <c r="AU118" s="74"/>
      <c r="AV118" s="74"/>
      <c r="AW118" s="74"/>
      <c r="AX118" s="74"/>
      <c r="AY118" s="74"/>
      <c r="AZ118" s="74"/>
      <c r="BA118" s="74"/>
      <c r="BB118" s="74"/>
    </row>
    <row r="119" spans="1:59" x14ac:dyDescent="0.25">
      <c r="A119" s="74"/>
      <c r="B119" s="74"/>
      <c r="C119" s="74"/>
      <c r="D119" s="74"/>
      <c r="E119" s="74"/>
      <c r="F119" s="74"/>
      <c r="G119" s="74"/>
      <c r="H119" s="74"/>
      <c r="I119" s="74"/>
      <c r="J119" s="74"/>
      <c r="K119" s="74"/>
      <c r="L119" s="74"/>
      <c r="M119" s="74"/>
      <c r="N119" s="74"/>
      <c r="O119" s="74"/>
      <c r="P119" s="74"/>
      <c r="Q119" s="74"/>
      <c r="R119" s="74"/>
      <c r="S119" s="74"/>
      <c r="T119" s="74"/>
      <c r="U119" s="74"/>
      <c r="V119" s="74"/>
      <c r="W119" s="74"/>
      <c r="X119" s="74"/>
      <c r="Y119" s="74"/>
      <c r="Z119" s="74"/>
      <c r="AA119" s="74"/>
      <c r="AB119" s="74"/>
      <c r="AC119" s="74"/>
      <c r="AD119" s="74"/>
      <c r="AE119" s="74"/>
      <c r="AF119" s="74"/>
      <c r="AG119" s="74"/>
      <c r="AH119" s="74"/>
      <c r="AI119" s="74"/>
      <c r="AJ119" s="74"/>
      <c r="AK119" s="74"/>
      <c r="AL119" s="74"/>
      <c r="AM119" s="74"/>
      <c r="AN119" s="74"/>
      <c r="AO119" s="74"/>
      <c r="AP119" s="74"/>
      <c r="AQ119" s="74"/>
      <c r="AR119" s="74"/>
      <c r="AS119" s="74"/>
      <c r="AT119" s="74"/>
      <c r="AU119" s="74"/>
      <c r="AV119" s="74"/>
      <c r="AW119" s="74"/>
      <c r="AX119" s="74"/>
      <c r="AY119" s="74"/>
      <c r="AZ119" s="74"/>
      <c r="BA119" s="74"/>
      <c r="BB119" s="74"/>
      <c r="BC119" s="74"/>
      <c r="BD119" s="74"/>
    </row>
    <row r="120" spans="1:59" x14ac:dyDescent="0.25">
      <c r="A120" s="74"/>
      <c r="B120" s="74"/>
      <c r="C120" s="74"/>
      <c r="D120" s="74"/>
      <c r="E120" s="74"/>
      <c r="F120" s="74"/>
      <c r="G120" s="74"/>
      <c r="H120" s="74"/>
      <c r="I120" s="74"/>
      <c r="J120" s="74"/>
      <c r="K120" s="74"/>
      <c r="L120" s="74"/>
      <c r="M120" s="74"/>
      <c r="N120" s="74"/>
      <c r="O120" s="74"/>
      <c r="P120" s="74"/>
      <c r="Q120" s="74"/>
      <c r="R120" s="74"/>
      <c r="S120" s="74"/>
      <c r="T120" s="74"/>
      <c r="U120" s="74"/>
      <c r="V120" s="74"/>
      <c r="W120" s="74"/>
      <c r="X120" s="74"/>
      <c r="Y120" s="74"/>
      <c r="Z120" s="74"/>
      <c r="AA120" s="74"/>
      <c r="AB120" s="74"/>
      <c r="AC120" s="74"/>
      <c r="AD120" s="74"/>
      <c r="AE120" s="74"/>
      <c r="AF120" s="74"/>
      <c r="AG120" s="74"/>
      <c r="AH120" s="74"/>
      <c r="AI120" s="74"/>
      <c r="AJ120" s="74"/>
      <c r="AK120" s="74"/>
      <c r="AL120" s="74"/>
      <c r="AM120" s="74"/>
      <c r="AN120" s="74"/>
      <c r="AO120" s="74"/>
      <c r="AP120" s="74"/>
      <c r="AQ120" s="74"/>
      <c r="AR120" s="74"/>
      <c r="AS120" s="74"/>
      <c r="AT120" s="74"/>
      <c r="AU120" s="74"/>
      <c r="AV120" s="74"/>
      <c r="AW120" s="74"/>
      <c r="AX120" s="74"/>
      <c r="AY120" s="74"/>
      <c r="AZ120" s="74"/>
      <c r="BA120" s="74"/>
      <c r="BB120" s="74"/>
      <c r="BC120" s="74"/>
      <c r="BD120" s="74"/>
    </row>
    <row r="121" spans="1:59" x14ac:dyDescent="0.25">
      <c r="A121" s="74"/>
      <c r="B121" s="74"/>
      <c r="C121" s="74"/>
      <c r="D121" s="74"/>
      <c r="E121" s="74"/>
      <c r="F121" s="74"/>
      <c r="G121" s="74"/>
      <c r="H121" s="74"/>
      <c r="I121" s="74"/>
      <c r="J121" s="74"/>
      <c r="K121" s="74"/>
      <c r="L121" s="74"/>
      <c r="M121" s="74"/>
      <c r="N121" s="74"/>
      <c r="O121" s="74"/>
      <c r="P121" s="74"/>
      <c r="Q121" s="74"/>
      <c r="R121" s="74"/>
      <c r="S121" s="74"/>
      <c r="T121" s="74"/>
      <c r="U121" s="74"/>
      <c r="V121" s="74"/>
      <c r="W121" s="74"/>
      <c r="X121" s="74"/>
      <c r="Y121" s="74"/>
      <c r="Z121" s="74"/>
      <c r="AA121" s="74"/>
      <c r="AB121" s="74"/>
      <c r="AC121" s="74"/>
      <c r="AD121" s="74"/>
      <c r="AE121" s="74"/>
      <c r="AF121" s="74"/>
      <c r="AG121" s="74"/>
      <c r="AH121" s="74"/>
      <c r="AI121" s="74"/>
      <c r="AJ121" s="74"/>
      <c r="AK121" s="74"/>
      <c r="AL121" s="74"/>
      <c r="AM121" s="74"/>
      <c r="AN121" s="74"/>
      <c r="AO121" s="74"/>
      <c r="AP121" s="74"/>
      <c r="AQ121" s="74"/>
      <c r="AR121" s="74"/>
      <c r="AS121" s="74"/>
      <c r="AT121" s="74"/>
      <c r="AU121" s="74"/>
      <c r="AV121" s="74"/>
      <c r="AW121" s="74"/>
      <c r="AX121" s="74"/>
      <c r="AY121" s="74"/>
      <c r="AZ121" s="74"/>
      <c r="BA121" s="74"/>
      <c r="BB121" s="74"/>
      <c r="BC121" s="74"/>
      <c r="BD121" s="74"/>
    </row>
    <row r="122" spans="1:59" x14ac:dyDescent="0.25">
      <c r="A122" s="74"/>
      <c r="B122" s="74"/>
      <c r="C122" s="74"/>
      <c r="D122" s="74"/>
      <c r="E122" s="74"/>
      <c r="F122" s="74"/>
      <c r="G122" s="74"/>
      <c r="H122" s="74"/>
      <c r="I122" s="74"/>
      <c r="J122" s="74"/>
      <c r="K122" s="74"/>
      <c r="L122" s="74"/>
      <c r="M122" s="74"/>
      <c r="N122" s="74"/>
      <c r="O122" s="74"/>
      <c r="P122" s="74"/>
      <c r="Q122" s="74"/>
      <c r="R122" s="74"/>
      <c r="S122" s="74"/>
      <c r="T122" s="74"/>
      <c r="U122" s="74"/>
      <c r="V122" s="74"/>
      <c r="W122" s="74"/>
      <c r="X122" s="74"/>
      <c r="Y122" s="74"/>
      <c r="Z122" s="74"/>
      <c r="AA122" s="74"/>
      <c r="AB122" s="74"/>
      <c r="AC122" s="74"/>
      <c r="AD122" s="74"/>
      <c r="AE122" s="74"/>
      <c r="AF122" s="74"/>
      <c r="AG122" s="74"/>
      <c r="AH122" s="74"/>
      <c r="AI122" s="74"/>
      <c r="AJ122" s="74"/>
      <c r="AK122" s="74"/>
      <c r="AL122" s="74"/>
      <c r="AM122" s="74"/>
      <c r="AN122" s="74"/>
      <c r="AO122" s="74"/>
      <c r="AP122" s="74"/>
      <c r="AQ122" s="74"/>
      <c r="AR122" s="74"/>
      <c r="AS122" s="74"/>
      <c r="AT122" s="74"/>
      <c r="AU122" s="74"/>
      <c r="AV122" s="74"/>
      <c r="AW122" s="74"/>
      <c r="AX122" s="74"/>
      <c r="AY122" s="74"/>
      <c r="AZ122" s="74"/>
      <c r="BA122" s="74"/>
      <c r="BB122" s="74"/>
      <c r="BC122" s="74"/>
    </row>
    <row r="123" spans="1:59" x14ac:dyDescent="0.25">
      <c r="A123" s="74"/>
      <c r="B123" s="74"/>
      <c r="C123" s="74"/>
      <c r="D123" s="74"/>
      <c r="E123" s="74"/>
      <c r="F123" s="74"/>
      <c r="G123" s="74"/>
      <c r="H123" s="74"/>
      <c r="I123" s="74"/>
      <c r="J123" s="74"/>
      <c r="K123" s="74"/>
      <c r="L123" s="74"/>
      <c r="M123" s="74"/>
      <c r="N123" s="74"/>
      <c r="O123" s="74"/>
      <c r="P123" s="74"/>
      <c r="Q123" s="74"/>
      <c r="R123" s="74"/>
      <c r="S123" s="74"/>
      <c r="T123" s="74"/>
      <c r="U123" s="74"/>
      <c r="V123" s="74"/>
      <c r="W123" s="74"/>
      <c r="X123" s="74"/>
      <c r="Y123" s="74"/>
      <c r="Z123" s="74"/>
      <c r="AA123" s="74"/>
      <c r="AB123" s="74"/>
      <c r="AC123" s="74"/>
      <c r="AD123" s="74"/>
      <c r="AE123" s="74"/>
      <c r="AF123" s="74"/>
      <c r="AG123" s="74"/>
      <c r="AH123" s="74"/>
      <c r="AI123" s="74"/>
      <c r="AJ123" s="74"/>
      <c r="AK123" s="74"/>
      <c r="AL123" s="74"/>
      <c r="AM123" s="74"/>
      <c r="AN123" s="74"/>
      <c r="AO123" s="74"/>
      <c r="AP123" s="74"/>
      <c r="AQ123" s="74"/>
      <c r="AR123" s="74"/>
      <c r="AS123" s="74"/>
      <c r="AT123" s="74"/>
      <c r="AU123" s="74"/>
      <c r="AV123" s="74"/>
      <c r="AW123" s="74"/>
      <c r="AX123" s="74"/>
      <c r="AY123" s="74"/>
      <c r="AZ123" s="74"/>
      <c r="BA123" s="74"/>
      <c r="BB123" s="74"/>
      <c r="BC123" s="74"/>
    </row>
    <row r="124" spans="1:59" x14ac:dyDescent="0.25">
      <c r="A124" s="74"/>
      <c r="B124" s="74"/>
      <c r="C124" s="74"/>
      <c r="D124" s="74"/>
      <c r="E124" s="74"/>
      <c r="F124" s="74"/>
      <c r="G124" s="74"/>
      <c r="H124" s="74"/>
      <c r="I124" s="74"/>
      <c r="J124" s="74"/>
      <c r="K124" s="74"/>
      <c r="L124" s="74"/>
      <c r="M124" s="74"/>
      <c r="N124" s="74"/>
      <c r="O124" s="74"/>
      <c r="P124" s="74"/>
      <c r="Q124" s="74"/>
      <c r="R124" s="74"/>
      <c r="S124" s="74"/>
      <c r="T124" s="74"/>
      <c r="U124" s="74"/>
      <c r="V124" s="74"/>
      <c r="W124" s="74"/>
      <c r="X124" s="74"/>
      <c r="Y124" s="74"/>
      <c r="Z124" s="74"/>
      <c r="AA124" s="74"/>
      <c r="AB124" s="74"/>
      <c r="AC124" s="74"/>
      <c r="AD124" s="74"/>
      <c r="AE124" s="74"/>
      <c r="AF124" s="74"/>
      <c r="AG124" s="74"/>
      <c r="AH124" s="74"/>
      <c r="AI124" s="74"/>
      <c r="AJ124" s="74"/>
      <c r="AK124" s="74"/>
      <c r="AL124" s="74"/>
      <c r="AM124" s="74"/>
      <c r="AN124" s="74"/>
      <c r="AO124" s="74"/>
      <c r="AP124" s="74"/>
      <c r="AQ124" s="74"/>
      <c r="AR124" s="74"/>
      <c r="AS124" s="74"/>
      <c r="AT124" s="74"/>
      <c r="AU124" s="74"/>
      <c r="AV124" s="74"/>
      <c r="AW124" s="74"/>
      <c r="AX124" s="74"/>
      <c r="AY124" s="74"/>
      <c r="AZ124" s="74"/>
      <c r="BA124" s="74"/>
      <c r="BB124" s="74"/>
      <c r="BC124" s="74"/>
    </row>
    <row r="125" spans="1:59" x14ac:dyDescent="0.25">
      <c r="A125" s="74"/>
      <c r="B125" s="74"/>
      <c r="C125" s="74"/>
      <c r="D125" s="74"/>
      <c r="E125" s="74"/>
      <c r="F125" s="74"/>
      <c r="G125" s="74"/>
      <c r="H125" s="74"/>
      <c r="I125" s="74"/>
      <c r="J125" s="74"/>
      <c r="K125" s="74"/>
      <c r="L125" s="74"/>
      <c r="M125" s="74"/>
      <c r="N125" s="74"/>
      <c r="O125" s="74"/>
      <c r="P125" s="74"/>
      <c r="Q125" s="74"/>
      <c r="R125" s="74"/>
      <c r="S125" s="74"/>
      <c r="T125" s="74"/>
      <c r="U125" s="74"/>
      <c r="V125" s="74"/>
      <c r="W125" s="74"/>
      <c r="X125" s="74"/>
      <c r="Y125" s="74"/>
      <c r="Z125" s="74"/>
      <c r="AA125" s="74"/>
      <c r="AB125" s="74"/>
      <c r="AC125" s="74"/>
      <c r="AD125" s="74"/>
      <c r="AE125" s="74"/>
      <c r="AF125" s="74"/>
      <c r="AG125" s="74"/>
      <c r="AH125" s="74"/>
      <c r="AI125" s="74"/>
      <c r="AJ125" s="74"/>
      <c r="AK125" s="74"/>
      <c r="AL125" s="74"/>
      <c r="AM125" s="74"/>
      <c r="AN125" s="74"/>
      <c r="AO125" s="74"/>
      <c r="AP125" s="74"/>
      <c r="AQ125" s="74"/>
      <c r="AR125" s="74"/>
      <c r="AS125" s="74"/>
      <c r="AT125" s="74"/>
      <c r="AU125" s="74"/>
      <c r="AV125" s="74"/>
      <c r="AW125" s="74"/>
      <c r="AX125" s="74"/>
      <c r="AY125" s="74"/>
      <c r="AZ125" s="74"/>
      <c r="BA125" s="74"/>
      <c r="BB125" s="74"/>
      <c r="BC125" s="74"/>
    </row>
    <row r="126" spans="1:59" x14ac:dyDescent="0.25">
      <c r="A126" s="74"/>
      <c r="B126" s="74"/>
      <c r="C126" s="74"/>
      <c r="D126" s="74"/>
      <c r="E126" s="74"/>
      <c r="F126" s="74"/>
      <c r="G126" s="74"/>
      <c r="H126" s="74"/>
      <c r="I126" s="74"/>
      <c r="J126" s="74"/>
      <c r="K126" s="74"/>
      <c r="L126" s="74"/>
      <c r="M126" s="74"/>
      <c r="N126" s="74"/>
      <c r="O126" s="74"/>
      <c r="P126" s="74"/>
      <c r="Q126" s="74"/>
      <c r="R126" s="74"/>
      <c r="S126" s="74"/>
      <c r="T126" s="74"/>
      <c r="U126" s="74"/>
      <c r="V126" s="74"/>
      <c r="W126" s="74"/>
      <c r="X126" s="74"/>
      <c r="Y126" s="74"/>
      <c r="Z126" s="74"/>
      <c r="AA126" s="74"/>
      <c r="AB126" s="74"/>
      <c r="AC126" s="74"/>
      <c r="AD126" s="74"/>
      <c r="AE126" s="74"/>
      <c r="AF126" s="74"/>
      <c r="AG126" s="74"/>
      <c r="AH126" s="74"/>
      <c r="AI126" s="74"/>
      <c r="AJ126" s="74"/>
      <c r="AK126" s="74"/>
      <c r="AL126" s="74"/>
      <c r="AM126" s="74"/>
      <c r="AN126" s="74"/>
      <c r="AO126" s="74"/>
      <c r="AP126" s="74"/>
      <c r="AQ126" s="74"/>
      <c r="AR126" s="74"/>
      <c r="AS126" s="74"/>
      <c r="AT126" s="74"/>
      <c r="AU126" s="74"/>
      <c r="AV126" s="74"/>
      <c r="AW126" s="74"/>
      <c r="AX126" s="74"/>
      <c r="AY126" s="74"/>
      <c r="AZ126" s="74"/>
      <c r="BA126" s="74"/>
      <c r="BB126" s="74"/>
      <c r="BC126" s="74"/>
    </row>
    <row r="127" spans="1:59" x14ac:dyDescent="0.25">
      <c r="A127" s="74"/>
      <c r="B127" s="74"/>
      <c r="C127" s="74"/>
      <c r="D127" s="74"/>
      <c r="E127" s="74"/>
      <c r="F127" s="74"/>
      <c r="G127" s="74"/>
      <c r="H127" s="74"/>
      <c r="I127" s="74"/>
      <c r="J127" s="74"/>
      <c r="K127" s="74"/>
      <c r="L127" s="74"/>
      <c r="M127" s="74"/>
      <c r="N127" s="74"/>
      <c r="O127" s="74"/>
      <c r="P127" s="74"/>
      <c r="Q127" s="74"/>
      <c r="R127" s="74"/>
      <c r="S127" s="74"/>
      <c r="T127" s="74"/>
      <c r="U127" s="74"/>
      <c r="V127" s="74"/>
      <c r="W127" s="74"/>
      <c r="X127" s="74"/>
      <c r="Y127" s="74"/>
      <c r="Z127" s="74"/>
      <c r="AA127" s="74"/>
      <c r="AB127" s="74"/>
      <c r="AC127" s="74"/>
      <c r="AD127" s="74"/>
      <c r="AE127" s="74"/>
      <c r="AF127" s="74"/>
      <c r="AG127" s="74"/>
      <c r="AH127" s="74"/>
      <c r="AI127" s="74"/>
      <c r="AJ127" s="74"/>
      <c r="AK127" s="74"/>
      <c r="AL127" s="74"/>
      <c r="AM127" s="74"/>
      <c r="AN127" s="74"/>
      <c r="AO127" s="74"/>
      <c r="AP127" s="74"/>
      <c r="AQ127" s="74"/>
      <c r="AR127" s="74"/>
      <c r="AS127" s="74"/>
      <c r="AT127" s="74"/>
      <c r="AU127" s="74"/>
      <c r="AV127" s="74"/>
      <c r="AW127" s="74"/>
      <c r="AX127" s="74"/>
      <c r="AY127" s="74"/>
      <c r="AZ127" s="74"/>
      <c r="BA127" s="74"/>
      <c r="BB127" s="74"/>
      <c r="BC127" s="74"/>
    </row>
    <row r="128" spans="1:59" x14ac:dyDescent="0.25">
      <c r="A128" s="74"/>
      <c r="B128" s="74"/>
      <c r="C128" s="74"/>
      <c r="D128" s="74"/>
      <c r="E128" s="74"/>
      <c r="F128" s="74"/>
      <c r="G128" s="74"/>
      <c r="H128" s="74"/>
      <c r="I128" s="74"/>
      <c r="J128" s="74"/>
      <c r="K128" s="74"/>
      <c r="L128" s="74"/>
      <c r="M128" s="74"/>
      <c r="N128" s="74"/>
      <c r="O128" s="74"/>
      <c r="P128" s="74"/>
      <c r="Q128" s="74"/>
      <c r="R128" s="74"/>
      <c r="S128" s="74"/>
      <c r="T128" s="74"/>
      <c r="U128" s="74"/>
      <c r="V128" s="74"/>
      <c r="W128" s="74"/>
      <c r="X128" s="74"/>
      <c r="Y128" s="74"/>
      <c r="Z128" s="74"/>
      <c r="AA128" s="74"/>
      <c r="AB128" s="74"/>
      <c r="AC128" s="74"/>
      <c r="AD128" s="74"/>
      <c r="AE128" s="74"/>
      <c r="AF128" s="74"/>
      <c r="AG128" s="74"/>
      <c r="AH128" s="74"/>
      <c r="AI128" s="74"/>
      <c r="AJ128" s="74"/>
      <c r="AK128" s="74"/>
      <c r="AL128" s="74"/>
      <c r="AM128" s="74"/>
      <c r="AN128" s="74"/>
      <c r="AO128" s="74"/>
      <c r="AP128" s="74"/>
      <c r="AQ128" s="74"/>
      <c r="AR128" s="74"/>
      <c r="AS128" s="74"/>
      <c r="AT128" s="74"/>
      <c r="AU128" s="74"/>
      <c r="AV128" s="74"/>
      <c r="AW128" s="74"/>
      <c r="AX128" s="74"/>
      <c r="AY128" s="74"/>
      <c r="AZ128" s="74"/>
      <c r="BA128" s="74"/>
      <c r="BB128" s="74"/>
      <c r="BC128" s="74"/>
      <c r="BD128" s="74"/>
      <c r="BE128" s="74"/>
      <c r="BF128" s="74"/>
      <c r="BG128" s="74"/>
    </row>
    <row r="129" spans="1:55" x14ac:dyDescent="0.25">
      <c r="A129" s="74"/>
      <c r="B129" s="74"/>
      <c r="C129" s="74"/>
      <c r="D129" s="469" t="s">
        <v>740</v>
      </c>
      <c r="E129" s="74"/>
      <c r="F129" s="74"/>
      <c r="G129" s="469" t="s">
        <v>535</v>
      </c>
      <c r="H129" s="469" t="s">
        <v>536</v>
      </c>
      <c r="I129" s="469" t="s">
        <v>537</v>
      </c>
      <c r="J129" s="469" t="s">
        <v>538</v>
      </c>
      <c r="K129" s="469" t="s">
        <v>724</v>
      </c>
      <c r="L129" s="469" t="s">
        <v>725</v>
      </c>
      <c r="M129" s="469" t="s">
        <v>720</v>
      </c>
      <c r="N129" s="469" t="s">
        <v>721</v>
      </c>
      <c r="O129" s="469" t="s">
        <v>722</v>
      </c>
      <c r="P129" s="469" t="s">
        <v>727</v>
      </c>
      <c r="Q129" s="469" t="s">
        <v>533</v>
      </c>
      <c r="R129" s="469" t="s">
        <v>534</v>
      </c>
      <c r="S129" s="470"/>
      <c r="T129" s="74"/>
      <c r="U129" s="74"/>
      <c r="V129" s="74"/>
      <c r="W129" s="74"/>
      <c r="X129" s="74"/>
      <c r="Y129" s="74"/>
      <c r="Z129" s="74"/>
      <c r="AA129" s="74"/>
      <c r="AB129" s="74"/>
      <c r="AC129" s="74"/>
      <c r="AD129" s="74"/>
      <c r="AE129" s="74"/>
      <c r="AF129" s="74"/>
      <c r="AG129" s="74"/>
      <c r="AH129" s="74"/>
      <c r="AI129" s="74"/>
      <c r="AJ129" s="74"/>
      <c r="AK129" s="74"/>
      <c r="AL129" s="74"/>
      <c r="AM129" s="74"/>
      <c r="AN129" s="74"/>
      <c r="AO129" s="74"/>
      <c r="AP129" s="74"/>
      <c r="AQ129" s="74"/>
      <c r="AR129" s="74"/>
      <c r="AS129" s="74"/>
      <c r="AT129" s="74"/>
      <c r="AU129" s="74"/>
      <c r="AV129" s="74"/>
      <c r="AW129" s="74"/>
      <c r="AX129" s="74"/>
      <c r="AY129" s="74"/>
      <c r="AZ129" s="74"/>
      <c r="BA129" s="74"/>
      <c r="BB129" s="74"/>
      <c r="BC129" s="74"/>
    </row>
    <row r="130" spans="1:55" x14ac:dyDescent="0.25">
      <c r="A130" s="74"/>
      <c r="B130" s="74"/>
      <c r="C130" s="74"/>
      <c r="D130" s="74"/>
      <c r="E130" s="74"/>
      <c r="F130" s="74"/>
      <c r="G130" s="471">
        <f>R130+4</f>
        <v>32</v>
      </c>
      <c r="H130" s="471">
        <f>G130+4</f>
        <v>36</v>
      </c>
      <c r="I130" s="471">
        <f>H130+4</f>
        <v>40</v>
      </c>
      <c r="J130" s="471">
        <f>I130+4</f>
        <v>44</v>
      </c>
      <c r="K130" s="471">
        <f>J130+4</f>
        <v>48</v>
      </c>
      <c r="L130" s="471">
        <f>K130+4</f>
        <v>52</v>
      </c>
      <c r="M130" s="471">
        <v>8</v>
      </c>
      <c r="N130" s="471">
        <f>M130+4</f>
        <v>12</v>
      </c>
      <c r="O130" s="471">
        <f>N130+4</f>
        <v>16</v>
      </c>
      <c r="P130" s="471">
        <f>O130+4</f>
        <v>20</v>
      </c>
      <c r="Q130" s="471">
        <f>P130+4</f>
        <v>24</v>
      </c>
      <c r="R130" s="471">
        <f>Q130+4</f>
        <v>28</v>
      </c>
      <c r="S130" s="472"/>
      <c r="T130" s="74"/>
      <c r="U130" s="74"/>
      <c r="V130" s="74"/>
      <c r="W130" s="74"/>
      <c r="X130" s="74"/>
      <c r="Y130" s="74"/>
      <c r="Z130" s="74"/>
      <c r="AA130" s="74"/>
      <c r="AB130" s="74"/>
      <c r="AC130" s="74"/>
      <c r="AD130" s="74"/>
      <c r="AE130" s="74"/>
      <c r="AF130" s="74"/>
      <c r="AG130" s="74"/>
      <c r="AH130" s="74"/>
      <c r="AI130" s="74"/>
      <c r="AJ130" s="74"/>
      <c r="AK130" s="74"/>
      <c r="AL130" s="74"/>
      <c r="AM130" s="74"/>
      <c r="AN130" s="74"/>
      <c r="AO130" s="74"/>
      <c r="AP130" s="74"/>
      <c r="AQ130" s="74"/>
      <c r="AR130" s="74"/>
      <c r="AS130" s="74"/>
      <c r="AT130" s="74"/>
      <c r="AU130" s="74"/>
      <c r="AV130" s="74"/>
      <c r="AW130" s="74"/>
      <c r="AX130" s="74"/>
      <c r="AY130" s="74"/>
      <c r="AZ130" s="74"/>
      <c r="BA130" s="74"/>
      <c r="BB130" s="74"/>
      <c r="BC130" s="74"/>
    </row>
    <row r="131" spans="1:55" x14ac:dyDescent="0.25">
      <c r="A131" s="473" t="s">
        <v>1637</v>
      </c>
      <c r="B131" s="473"/>
      <c r="C131" s="473">
        <f>IF('Список мероприятий'!AB9=1,IFERROR(VLOOKUP(CONCATENATE('Список мероприятий'!D10,'Список мероприятий'!D11),'Библиотека технологий'!$C$3:$D$27,2,0),0),0)</f>
        <v>0</v>
      </c>
      <c r="D131" s="74"/>
      <c r="E131" s="74"/>
      <c r="F131" s="74"/>
      <c r="G131" s="74"/>
      <c r="H131" s="74"/>
      <c r="I131" s="74"/>
      <c r="J131" s="74"/>
      <c r="K131" s="74"/>
      <c r="L131" s="74"/>
      <c r="M131" s="74"/>
      <c r="N131" s="74"/>
      <c r="O131" s="74"/>
      <c r="P131" s="74"/>
      <c r="Q131" s="74"/>
      <c r="R131" s="74"/>
      <c r="S131" s="74"/>
      <c r="T131" s="74"/>
      <c r="U131" s="74"/>
      <c r="V131" s="74"/>
      <c r="W131" s="74"/>
      <c r="X131" s="74"/>
      <c r="Y131" s="74"/>
      <c r="Z131" s="74"/>
      <c r="AA131" s="74"/>
      <c r="AB131" s="74"/>
    </row>
    <row r="132" spans="1:55" x14ac:dyDescent="0.25">
      <c r="A132" s="469"/>
      <c r="B132" s="474" t="s">
        <v>443</v>
      </c>
      <c r="C132" s="474" t="s">
        <v>741</v>
      </c>
      <c r="D132" s="474" t="s">
        <v>517</v>
      </c>
      <c r="E132" s="475" t="s">
        <v>528</v>
      </c>
      <c r="F132" s="474"/>
      <c r="G132" s="476" t="s">
        <v>902</v>
      </c>
      <c r="H132" s="476" t="s">
        <v>902</v>
      </c>
      <c r="I132" s="476" t="s">
        <v>902</v>
      </c>
      <c r="J132" s="476" t="s">
        <v>902</v>
      </c>
      <c r="K132" s="476" t="s">
        <v>902</v>
      </c>
      <c r="L132" s="476" t="s">
        <v>902</v>
      </c>
      <c r="M132" s="476" t="s">
        <v>902</v>
      </c>
      <c r="N132" s="476" t="s">
        <v>902</v>
      </c>
      <c r="O132" s="476" t="s">
        <v>902</v>
      </c>
      <c r="P132" s="476" t="s">
        <v>902</v>
      </c>
      <c r="Q132" s="476" t="s">
        <v>902</v>
      </c>
      <c r="R132" s="476" t="s">
        <v>902</v>
      </c>
      <c r="S132" s="477"/>
      <c r="T132" s="74"/>
      <c r="U132" s="74"/>
      <c r="V132" s="74"/>
      <c r="W132" s="74"/>
      <c r="X132" s="74"/>
      <c r="Y132" s="74"/>
      <c r="Z132" s="74"/>
      <c r="AA132" s="74"/>
      <c r="AB132" s="74"/>
    </row>
    <row r="133" spans="1:55" x14ac:dyDescent="0.25">
      <c r="A133" s="469"/>
      <c r="B133" s="474" t="s">
        <v>492</v>
      </c>
      <c r="C133" s="474" t="s">
        <v>516</v>
      </c>
      <c r="D133" s="474"/>
      <c r="E133" s="474" t="s">
        <v>530</v>
      </c>
      <c r="F133" s="478" t="s">
        <v>1600</v>
      </c>
      <c r="G133" s="474" t="s">
        <v>496</v>
      </c>
      <c r="H133" s="474" t="s">
        <v>496</v>
      </c>
      <c r="I133" s="474" t="s">
        <v>496</v>
      </c>
      <c r="J133" s="474" t="s">
        <v>496</v>
      </c>
      <c r="K133" s="474" t="s">
        <v>496</v>
      </c>
      <c r="L133" s="474" t="s">
        <v>496</v>
      </c>
      <c r="M133" s="474" t="s">
        <v>496</v>
      </c>
      <c r="N133" s="474" t="s">
        <v>496</v>
      </c>
      <c r="O133" s="474" t="s">
        <v>496</v>
      </c>
      <c r="P133" s="474" t="s">
        <v>496</v>
      </c>
      <c r="Q133" s="474" t="s">
        <v>496</v>
      </c>
      <c r="R133" s="474" t="s">
        <v>496</v>
      </c>
      <c r="S133" s="479"/>
      <c r="T133" s="74"/>
      <c r="U133" s="74"/>
      <c r="V133" s="74"/>
      <c r="W133" s="74"/>
      <c r="X133" s="74"/>
      <c r="Y133" s="74"/>
      <c r="Z133" s="74"/>
      <c r="AA133" s="74"/>
      <c r="AB133" s="74"/>
    </row>
    <row r="134" spans="1:55" x14ac:dyDescent="0.25">
      <c r="A134" s="480" t="s">
        <v>514</v>
      </c>
      <c r="B134" s="481">
        <f>'Расчет базового уровня'!B134</f>
        <v>0</v>
      </c>
      <c r="C134" s="482" t="e">
        <f>'Расчет базового уровня'!C134/IF('Список мероприятий'!AB12=1,0.7/0.9,1)+(C131*'Расчет базового уровня'!C134)/(C131*(1-'Список мероприятий'!F9/'Расчет после реализации'!B134)+'Расчет базового уровня'!C134*'Список мероприятий'!F9/'Расчет после реализации'!B134)</f>
        <v>#N/A</v>
      </c>
      <c r="D134" s="481">
        <v>1</v>
      </c>
      <c r="E134" s="483" t="e">
        <f>IF(C134=0,0,B134/C134*D134)*(1-D163)</f>
        <v>#N/A</v>
      </c>
      <c r="F134" s="484" t="e">
        <f>E134*(20-$D$145)</f>
        <v>#N/A</v>
      </c>
      <c r="G134" s="483" t="e">
        <f t="shared" ref="G134:R134" si="0">$E$134*0.024*G$147</f>
        <v>#N/A</v>
      </c>
      <c r="H134" s="483" t="e">
        <f t="shared" si="0"/>
        <v>#N/A</v>
      </c>
      <c r="I134" s="483" t="e">
        <f t="shared" si="0"/>
        <v>#N/A</v>
      </c>
      <c r="J134" s="483" t="e">
        <f t="shared" si="0"/>
        <v>#N/A</v>
      </c>
      <c r="K134" s="483" t="e">
        <f t="shared" si="0"/>
        <v>#N/A</v>
      </c>
      <c r="L134" s="483" t="e">
        <f t="shared" si="0"/>
        <v>#N/A</v>
      </c>
      <c r="M134" s="483" t="e">
        <f t="shared" si="0"/>
        <v>#N/A</v>
      </c>
      <c r="N134" s="483" t="e">
        <f t="shared" si="0"/>
        <v>#N/A</v>
      </c>
      <c r="O134" s="483" t="e">
        <f t="shared" si="0"/>
        <v>#N/A</v>
      </c>
      <c r="P134" s="483" t="e">
        <f t="shared" si="0"/>
        <v>#N/A</v>
      </c>
      <c r="Q134" s="483" t="e">
        <f t="shared" si="0"/>
        <v>#N/A</v>
      </c>
      <c r="R134" s="483" t="e">
        <f t="shared" si="0"/>
        <v>#N/A</v>
      </c>
      <c r="S134" s="485"/>
      <c r="T134" s="74"/>
      <c r="U134" s="74"/>
      <c r="V134" s="74"/>
      <c r="W134" s="74"/>
      <c r="X134" s="74"/>
      <c r="Y134" s="74"/>
      <c r="Z134" s="74"/>
      <c r="AA134" s="74"/>
      <c r="AB134" s="74"/>
    </row>
    <row r="135" spans="1:55" x14ac:dyDescent="0.25">
      <c r="A135" s="480" t="s">
        <v>611</v>
      </c>
      <c r="B135" s="481">
        <f>'Расчет базового уровня'!B135</f>
        <v>0</v>
      </c>
      <c r="C135" s="481" t="e">
        <f>'Расчет базового уровня'!C135</f>
        <v>#N/A</v>
      </c>
      <c r="D135" s="481">
        <v>1</v>
      </c>
      <c r="E135" s="483" t="e">
        <f t="shared" ref="E135:E141" si="1">IF(C135=0,0,B135/C135*D135)</f>
        <v>#N/A</v>
      </c>
      <c r="F135" s="484" t="e">
        <f t="shared" ref="F135:F143" si="2">E135*(20-$D$145)</f>
        <v>#N/A</v>
      </c>
      <c r="G135" s="483" t="e">
        <f t="shared" ref="G135:R135" si="3">$E$135*0.024*G$147</f>
        <v>#N/A</v>
      </c>
      <c r="H135" s="483" t="e">
        <f t="shared" si="3"/>
        <v>#N/A</v>
      </c>
      <c r="I135" s="483" t="e">
        <f t="shared" si="3"/>
        <v>#N/A</v>
      </c>
      <c r="J135" s="483" t="e">
        <f t="shared" si="3"/>
        <v>#N/A</v>
      </c>
      <c r="K135" s="483" t="e">
        <f t="shared" si="3"/>
        <v>#N/A</v>
      </c>
      <c r="L135" s="483" t="e">
        <f t="shared" si="3"/>
        <v>#N/A</v>
      </c>
      <c r="M135" s="483" t="e">
        <f t="shared" si="3"/>
        <v>#N/A</v>
      </c>
      <c r="N135" s="483" t="e">
        <f t="shared" si="3"/>
        <v>#N/A</v>
      </c>
      <c r="O135" s="483" t="e">
        <f t="shared" si="3"/>
        <v>#N/A</v>
      </c>
      <c r="P135" s="483" t="e">
        <f t="shared" si="3"/>
        <v>#N/A</v>
      </c>
      <c r="Q135" s="483" t="e">
        <f t="shared" si="3"/>
        <v>#N/A</v>
      </c>
      <c r="R135" s="483" t="e">
        <f t="shared" si="3"/>
        <v>#N/A</v>
      </c>
      <c r="S135" s="485"/>
      <c r="T135" s="74"/>
      <c r="U135" s="74"/>
      <c r="V135" s="74"/>
      <c r="W135" s="74"/>
      <c r="X135" s="74"/>
      <c r="Y135" s="74"/>
      <c r="Z135" s="74"/>
      <c r="AA135" s="74"/>
      <c r="AB135" s="74"/>
    </row>
    <row r="136" spans="1:55" x14ac:dyDescent="0.25">
      <c r="A136" s="480" t="s">
        <v>612</v>
      </c>
      <c r="B136" s="481">
        <f>'Расчет базового уровня'!B136</f>
        <v>0</v>
      </c>
      <c r="C136" s="481" t="e">
        <f>IF('Список мероприятий'!AB14=1,VLOOKUP('Список мероприятий'!D15,'Библиотека технологий'!A40:B47,2,0),'Расчет базового уровня'!C136)</f>
        <v>#DIV/0!</v>
      </c>
      <c r="D136" s="481">
        <v>1</v>
      </c>
      <c r="E136" s="483" t="e">
        <f t="shared" si="1"/>
        <v>#DIV/0!</v>
      </c>
      <c r="F136" s="484" t="e">
        <f t="shared" si="2"/>
        <v>#DIV/0!</v>
      </c>
      <c r="G136" s="483" t="e">
        <f t="shared" ref="G136:R136" si="4">$E$136*0.024*G$147</f>
        <v>#DIV/0!</v>
      </c>
      <c r="H136" s="483" t="e">
        <f t="shared" si="4"/>
        <v>#DIV/0!</v>
      </c>
      <c r="I136" s="483" t="e">
        <f t="shared" si="4"/>
        <v>#DIV/0!</v>
      </c>
      <c r="J136" s="483" t="e">
        <f t="shared" si="4"/>
        <v>#DIV/0!</v>
      </c>
      <c r="K136" s="483" t="e">
        <f t="shared" si="4"/>
        <v>#DIV/0!</v>
      </c>
      <c r="L136" s="483" t="e">
        <f t="shared" si="4"/>
        <v>#DIV/0!</v>
      </c>
      <c r="M136" s="483" t="e">
        <f t="shared" si="4"/>
        <v>#DIV/0!</v>
      </c>
      <c r="N136" s="483" t="e">
        <f t="shared" si="4"/>
        <v>#DIV/0!</v>
      </c>
      <c r="O136" s="483" t="e">
        <f t="shared" si="4"/>
        <v>#DIV/0!</v>
      </c>
      <c r="P136" s="483" t="e">
        <f t="shared" si="4"/>
        <v>#DIV/0!</v>
      </c>
      <c r="Q136" s="483" t="e">
        <f t="shared" si="4"/>
        <v>#DIV/0!</v>
      </c>
      <c r="R136" s="483" t="e">
        <f t="shared" si="4"/>
        <v>#DIV/0!</v>
      </c>
      <c r="S136" s="485"/>
      <c r="T136" s="74"/>
      <c r="U136" s="74"/>
      <c r="V136" s="74"/>
      <c r="W136" s="74"/>
      <c r="X136" s="74"/>
      <c r="Y136" s="74"/>
      <c r="Z136" s="74"/>
      <c r="AA136" s="74"/>
      <c r="AB136" s="74"/>
    </row>
    <row r="137" spans="1:55" x14ac:dyDescent="0.25">
      <c r="A137" s="480" t="s">
        <v>1588</v>
      </c>
      <c r="B137" s="483">
        <f>'Расчет базового уровня'!B137</f>
        <v>0</v>
      </c>
      <c r="C137" s="486">
        <f>'Расчет базового уровня'!C137</f>
        <v>0.4</v>
      </c>
      <c r="D137" s="483">
        <f>'Расчет базового уровня'!D137</f>
        <v>1</v>
      </c>
      <c r="E137" s="483">
        <f>'Расчет базового уровня'!E137</f>
        <v>0</v>
      </c>
      <c r="F137" s="484" t="e">
        <f t="shared" si="2"/>
        <v>#N/A</v>
      </c>
      <c r="G137" s="483" t="e">
        <f>'Расчет базового уровня'!G137</f>
        <v>#N/A</v>
      </c>
      <c r="H137" s="483" t="e">
        <f>'Расчет базового уровня'!H137</f>
        <v>#N/A</v>
      </c>
      <c r="I137" s="483" t="e">
        <f>'Расчет базового уровня'!I137</f>
        <v>#N/A</v>
      </c>
      <c r="J137" s="483" t="e">
        <f>'Расчет базового уровня'!J137</f>
        <v>#N/A</v>
      </c>
      <c r="K137" s="483" t="e">
        <f>'Расчет базового уровня'!K137</f>
        <v>#N/A</v>
      </c>
      <c r="L137" s="483" t="e">
        <f>'Расчет базового уровня'!L137</f>
        <v>#N/A</v>
      </c>
      <c r="M137" s="483" t="e">
        <f>'Расчет базового уровня'!M137</f>
        <v>#N/A</v>
      </c>
      <c r="N137" s="483" t="e">
        <f>'Расчет базового уровня'!N137</f>
        <v>#N/A</v>
      </c>
      <c r="O137" s="483" t="e">
        <f>'Расчет базового уровня'!O137</f>
        <v>#N/A</v>
      </c>
      <c r="P137" s="483" t="e">
        <f>'Расчет базового уровня'!P137</f>
        <v>#N/A</v>
      </c>
      <c r="Q137" s="483" t="e">
        <f>'Расчет базового уровня'!Q137</f>
        <v>#N/A</v>
      </c>
      <c r="R137" s="483" t="e">
        <f>'Расчет базового уровня'!R137</f>
        <v>#N/A</v>
      </c>
      <c r="S137" s="485"/>
      <c r="T137" s="74"/>
      <c r="U137" s="74"/>
      <c r="V137" s="74"/>
      <c r="W137" s="74"/>
      <c r="X137" s="74"/>
      <c r="Y137" s="74"/>
      <c r="Z137" s="74"/>
      <c r="AA137" s="74"/>
      <c r="AB137" s="74"/>
    </row>
    <row r="138" spans="1:55" x14ac:dyDescent="0.25">
      <c r="A138" s="480" t="s">
        <v>1329</v>
      </c>
      <c r="B138" s="481">
        <f>'Расчет базового уровня'!B138</f>
        <v>0</v>
      </c>
      <c r="C138" s="487">
        <f>IF('Список мероприятий'!AB20=0,'Расчет базового уровня'!C138,'Расчет базового уровня'!C138+VLOOKUP(CONCATENATE('Список мероприятий'!D21,'Список мероприятий'!D22),'Библиотека технологий'!$C$3:$E$32,2,0))</f>
        <v>1.32</v>
      </c>
      <c r="D138" s="481">
        <v>1</v>
      </c>
      <c r="E138" s="483">
        <f t="shared" si="1"/>
        <v>0</v>
      </c>
      <c r="F138" s="484" t="e">
        <f t="shared" si="2"/>
        <v>#N/A</v>
      </c>
      <c r="G138" s="483">
        <f t="shared" ref="G138:R138" si="5">$E$138*0.024*G$147</f>
        <v>0</v>
      </c>
      <c r="H138" s="483">
        <f t="shared" si="5"/>
        <v>0</v>
      </c>
      <c r="I138" s="483">
        <f t="shared" si="5"/>
        <v>0</v>
      </c>
      <c r="J138" s="483">
        <f t="shared" si="5"/>
        <v>0</v>
      </c>
      <c r="K138" s="483">
        <f t="shared" si="5"/>
        <v>0</v>
      </c>
      <c r="L138" s="483">
        <f t="shared" si="5"/>
        <v>0</v>
      </c>
      <c r="M138" s="483">
        <f t="shared" si="5"/>
        <v>0</v>
      </c>
      <c r="N138" s="483">
        <f t="shared" si="5"/>
        <v>0</v>
      </c>
      <c r="O138" s="483">
        <f t="shared" si="5"/>
        <v>0</v>
      </c>
      <c r="P138" s="483">
        <f t="shared" si="5"/>
        <v>0</v>
      </c>
      <c r="Q138" s="483">
        <f t="shared" si="5"/>
        <v>0</v>
      </c>
      <c r="R138" s="483">
        <f t="shared" si="5"/>
        <v>0</v>
      </c>
      <c r="S138" s="485"/>
      <c r="T138" s="74"/>
      <c r="U138" s="74"/>
      <c r="V138" s="74"/>
      <c r="W138" s="74"/>
      <c r="X138" s="74"/>
      <c r="Y138" s="74"/>
      <c r="Z138" s="74"/>
      <c r="AA138" s="74"/>
      <c r="AB138" s="74"/>
    </row>
    <row r="139" spans="1:55" x14ac:dyDescent="0.25">
      <c r="A139" s="480" t="s">
        <v>1330</v>
      </c>
      <c r="B139" s="481">
        <f>IF('Список мероприятий'!AB24=0,'Расчет базового уровня'!B139,'Расчет базового уровня'!B140+'Расчет базового уровня'!B139)</f>
        <v>0</v>
      </c>
      <c r="C139" s="487" t="e">
        <f>IF('Список мероприятий'!AB27=0,'Расчет базового уровня'!C139,'Расчет базового уровня'!C139+VLOOKUP(CONCATENATE('Список мероприятий'!D28,'Список мероприятий'!D29),'Библиотека технологий'!$C$3:$E$35,2,0))</f>
        <v>#N/A</v>
      </c>
      <c r="D139" s="486">
        <f>IF(AND(списки!D31+списки!D32=1,'Список мероприятий'!AB24=0),0.9,IF(списки!D31+списки!D32=0,1,(('Ввод исходных данных'!$D$83-'Расчет после реализации'!D159)/('Ввод исходных данных'!$D$83-'Расчет после реализации'!$D$145))))</f>
        <v>1</v>
      </c>
      <c r="E139" s="483" t="e">
        <f>IF(C139=0,0,B139/C139*D139)</f>
        <v>#N/A</v>
      </c>
      <c r="F139" s="484" t="e">
        <f t="shared" si="2"/>
        <v>#N/A</v>
      </c>
      <c r="G139" s="483" t="e">
        <f t="shared" ref="G139:R140" si="6">$E$139*0.024*G$147</f>
        <v>#N/A</v>
      </c>
      <c r="H139" s="483" t="e">
        <f t="shared" si="6"/>
        <v>#N/A</v>
      </c>
      <c r="I139" s="483" t="e">
        <f t="shared" si="6"/>
        <v>#N/A</v>
      </c>
      <c r="J139" s="483" t="e">
        <f t="shared" si="6"/>
        <v>#N/A</v>
      </c>
      <c r="K139" s="483" t="e">
        <f t="shared" si="6"/>
        <v>#N/A</v>
      </c>
      <c r="L139" s="483" t="e">
        <f t="shared" si="6"/>
        <v>#N/A</v>
      </c>
      <c r="M139" s="483" t="e">
        <f t="shared" si="6"/>
        <v>#N/A</v>
      </c>
      <c r="N139" s="483" t="e">
        <f t="shared" si="6"/>
        <v>#N/A</v>
      </c>
      <c r="O139" s="483" t="e">
        <f t="shared" si="6"/>
        <v>#N/A</v>
      </c>
      <c r="P139" s="483" t="e">
        <f t="shared" si="6"/>
        <v>#N/A</v>
      </c>
      <c r="Q139" s="483" t="e">
        <f t="shared" si="6"/>
        <v>#N/A</v>
      </c>
      <c r="R139" s="483" t="e">
        <f t="shared" si="6"/>
        <v>#N/A</v>
      </c>
      <c r="S139" s="485"/>
      <c r="T139" s="74"/>
      <c r="U139" s="74"/>
      <c r="V139" s="74"/>
      <c r="W139" s="74"/>
      <c r="X139" s="74"/>
      <c r="Y139" s="74"/>
      <c r="Z139" s="74"/>
      <c r="AA139" s="74"/>
      <c r="AB139" s="74"/>
    </row>
    <row r="140" spans="1:55" x14ac:dyDescent="0.25">
      <c r="A140" s="480" t="s">
        <v>1331</v>
      </c>
      <c r="B140" s="481">
        <f>'Расчет базового уровня'!B140+'Расчет базового уровня'!B139-'Расчет после реализации'!B139</f>
        <v>0</v>
      </c>
      <c r="C140" s="487" t="e">
        <f>IF('Список мероприятий'!AB27=0,'Расчет базового уровня'!C140,'Расчет базового уровня'!C140+VLOOKUP(CONCATENATE('Список мероприятий'!D28,'Список мероприятий'!D29),'Библиотека технологий'!$C$3:$E$35,2,0))</f>
        <v>#N/A</v>
      </c>
      <c r="D140" s="486">
        <f>IF(AND(списки!D31+списки!D32=1,'Список мероприятий'!AB25=0),0.9,IF(списки!D31+списки!D32=0,1,(('Ввод исходных данных'!$D$83-'Расчет после реализации'!D160)/('Ввод исходных данных'!$D$83-'Расчет после реализации'!$D$145))))</f>
        <v>1</v>
      </c>
      <c r="E140" s="483" t="e">
        <f>IF(C140=0,0,B140/C140*D140)</f>
        <v>#N/A</v>
      </c>
      <c r="F140" s="484" t="e">
        <f t="shared" si="2"/>
        <v>#N/A</v>
      </c>
      <c r="G140" s="483" t="e">
        <f t="shared" si="6"/>
        <v>#N/A</v>
      </c>
      <c r="H140" s="483" t="e">
        <f t="shared" si="6"/>
        <v>#N/A</v>
      </c>
      <c r="I140" s="483" t="e">
        <f t="shared" si="6"/>
        <v>#N/A</v>
      </c>
      <c r="J140" s="483" t="e">
        <f t="shared" si="6"/>
        <v>#N/A</v>
      </c>
      <c r="K140" s="483" t="e">
        <f t="shared" si="6"/>
        <v>#N/A</v>
      </c>
      <c r="L140" s="483" t="e">
        <f t="shared" si="6"/>
        <v>#N/A</v>
      </c>
      <c r="M140" s="483" t="e">
        <f t="shared" si="6"/>
        <v>#N/A</v>
      </c>
      <c r="N140" s="483" t="e">
        <f t="shared" si="6"/>
        <v>#N/A</v>
      </c>
      <c r="O140" s="483" t="e">
        <f t="shared" si="6"/>
        <v>#N/A</v>
      </c>
      <c r="P140" s="483" t="e">
        <f t="shared" si="6"/>
        <v>#N/A</v>
      </c>
      <c r="Q140" s="483" t="e">
        <f t="shared" si="6"/>
        <v>#N/A</v>
      </c>
      <c r="R140" s="483" t="e">
        <f t="shared" si="6"/>
        <v>#N/A</v>
      </c>
      <c r="S140" s="485"/>
      <c r="T140" s="74"/>
      <c r="U140" s="74"/>
      <c r="V140" s="74"/>
      <c r="W140" s="74"/>
      <c r="X140" s="74"/>
      <c r="Y140" s="74"/>
      <c r="Z140" s="74"/>
      <c r="AA140" s="74"/>
      <c r="AB140" s="74"/>
    </row>
    <row r="141" spans="1:55" x14ac:dyDescent="0.25">
      <c r="A141" s="480" t="s">
        <v>1332</v>
      </c>
      <c r="B141" s="481">
        <f>'Расчет базового уровня'!B141</f>
        <v>0</v>
      </c>
      <c r="C141" s="487" t="e">
        <f>IF('Список мероприятий'!AB62=0,'Расчет базового уровня'!C141,'Расчет базового уровня'!C141+VLOOKUP(CONCATENATE('Список мероприятий'!D63,'Список мероприятий'!D64),'Библиотека технологий'!$C$3:$E$35,2,0))</f>
        <v>#N/A</v>
      </c>
      <c r="D141" s="481">
        <v>1</v>
      </c>
      <c r="E141" s="483" t="e">
        <f t="shared" si="1"/>
        <v>#N/A</v>
      </c>
      <c r="F141" s="484" t="e">
        <f t="shared" si="2"/>
        <v>#N/A</v>
      </c>
      <c r="G141" s="483" t="e">
        <f t="shared" ref="G141:R141" si="7">$E$141*0.024*G$147</f>
        <v>#N/A</v>
      </c>
      <c r="H141" s="483" t="e">
        <f t="shared" si="7"/>
        <v>#N/A</v>
      </c>
      <c r="I141" s="483" t="e">
        <f t="shared" si="7"/>
        <v>#N/A</v>
      </c>
      <c r="J141" s="483" t="e">
        <f t="shared" si="7"/>
        <v>#N/A</v>
      </c>
      <c r="K141" s="483" t="e">
        <f t="shared" si="7"/>
        <v>#N/A</v>
      </c>
      <c r="L141" s="483" t="e">
        <f t="shared" si="7"/>
        <v>#N/A</v>
      </c>
      <c r="M141" s="483" t="e">
        <f t="shared" si="7"/>
        <v>#N/A</v>
      </c>
      <c r="N141" s="483" t="e">
        <f t="shared" si="7"/>
        <v>#N/A</v>
      </c>
      <c r="O141" s="483" t="e">
        <f t="shared" si="7"/>
        <v>#N/A</v>
      </c>
      <c r="P141" s="483" t="e">
        <f t="shared" si="7"/>
        <v>#N/A</v>
      </c>
      <c r="Q141" s="483" t="e">
        <f t="shared" si="7"/>
        <v>#N/A</v>
      </c>
      <c r="R141" s="483" t="e">
        <f t="shared" si="7"/>
        <v>#N/A</v>
      </c>
      <c r="S141" s="485"/>
      <c r="T141" s="74"/>
      <c r="U141" s="74"/>
      <c r="V141" s="74"/>
      <c r="W141" s="74"/>
      <c r="X141" s="74"/>
      <c r="Y141" s="74"/>
      <c r="Z141" s="74"/>
      <c r="AA141" s="74"/>
      <c r="AB141" s="74"/>
    </row>
    <row r="142" spans="1:55" x14ac:dyDescent="0.25">
      <c r="A142" s="480" t="s">
        <v>1328</v>
      </c>
      <c r="B142" s="481">
        <f>'Расчет базового уровня'!B142</f>
        <v>0</v>
      </c>
      <c r="C142" s="487" t="e">
        <f>IF('Список мероприятий'!AB69=0,'Расчет базового уровня'!C142,'Расчет базового уровня'!C142+VLOOKUP(CONCATENATE('Список мероприятий'!D68,'Список мероприятий'!D69),'Библиотека технологий'!$C$3:$E$35,2,0))</f>
        <v>#N/A</v>
      </c>
      <c r="D142" s="486" t="e">
        <f>('Ввод исходных данных'!D83-'Расчет базового уровня'!$D$160)/('Ввод исходных данных'!D83-'Расчет базового уровня'!$D$145)</f>
        <v>#N/A</v>
      </c>
      <c r="E142" s="483" t="e">
        <f>IF(C142=0,0,B142/C142*D142)</f>
        <v>#N/A</v>
      </c>
      <c r="F142" s="484" t="e">
        <f t="shared" si="2"/>
        <v>#N/A</v>
      </c>
      <c r="G142" s="483" t="e">
        <f t="shared" ref="G142:R142" si="8">$E$142*0.024*G$147</f>
        <v>#N/A</v>
      </c>
      <c r="H142" s="483" t="e">
        <f t="shared" si="8"/>
        <v>#N/A</v>
      </c>
      <c r="I142" s="483" t="e">
        <f t="shared" si="8"/>
        <v>#N/A</v>
      </c>
      <c r="J142" s="483" t="e">
        <f t="shared" si="8"/>
        <v>#N/A</v>
      </c>
      <c r="K142" s="483" t="e">
        <f t="shared" si="8"/>
        <v>#N/A</v>
      </c>
      <c r="L142" s="483" t="e">
        <f t="shared" si="8"/>
        <v>#N/A</v>
      </c>
      <c r="M142" s="483" t="e">
        <f t="shared" si="8"/>
        <v>#N/A</v>
      </c>
      <c r="N142" s="483" t="e">
        <f t="shared" si="8"/>
        <v>#N/A</v>
      </c>
      <c r="O142" s="483" t="e">
        <f t="shared" si="8"/>
        <v>#N/A</v>
      </c>
      <c r="P142" s="483" t="e">
        <f t="shared" si="8"/>
        <v>#N/A</v>
      </c>
      <c r="Q142" s="483" t="e">
        <f t="shared" si="8"/>
        <v>#N/A</v>
      </c>
      <c r="R142" s="483" t="e">
        <f t="shared" si="8"/>
        <v>#N/A</v>
      </c>
      <c r="S142" s="485"/>
      <c r="T142" s="74"/>
      <c r="U142" s="74"/>
      <c r="V142" s="74"/>
      <c r="W142" s="74"/>
      <c r="X142" s="74"/>
      <c r="Y142" s="74"/>
      <c r="Z142" s="74"/>
      <c r="AA142" s="74"/>
      <c r="AB142" s="74"/>
    </row>
    <row r="143" spans="1:55" x14ac:dyDescent="0.25">
      <c r="A143" s="480" t="s">
        <v>1231</v>
      </c>
      <c r="B143" s="481">
        <f>'Расчет базового уровня'!B143</f>
        <v>0</v>
      </c>
      <c r="C143" s="481">
        <f>IF('Список мероприятий'!AB73=1,0.95,'Расчет базового уровня'!C143)</f>
        <v>0.5</v>
      </c>
      <c r="D143" s="486">
        <v>1</v>
      </c>
      <c r="E143" s="483">
        <f>IF(C143=0,0,B143/C143*D143)</f>
        <v>0</v>
      </c>
      <c r="F143" s="484" t="e">
        <f t="shared" si="2"/>
        <v>#N/A</v>
      </c>
      <c r="G143" s="483">
        <f>$E$143*0.024*G$147</f>
        <v>0</v>
      </c>
      <c r="H143" s="483">
        <f t="shared" ref="H143:R143" si="9">$E$143*0.024*H$147</f>
        <v>0</v>
      </c>
      <c r="I143" s="483">
        <f t="shared" si="9"/>
        <v>0</v>
      </c>
      <c r="J143" s="483">
        <f t="shared" si="9"/>
        <v>0</v>
      </c>
      <c r="K143" s="483">
        <f t="shared" si="9"/>
        <v>0</v>
      </c>
      <c r="L143" s="483">
        <f t="shared" si="9"/>
        <v>0</v>
      </c>
      <c r="M143" s="483">
        <f t="shared" si="9"/>
        <v>0</v>
      </c>
      <c r="N143" s="483">
        <f t="shared" si="9"/>
        <v>0</v>
      </c>
      <c r="O143" s="483">
        <f t="shared" si="9"/>
        <v>0</v>
      </c>
      <c r="P143" s="483">
        <f t="shared" si="9"/>
        <v>0</v>
      </c>
      <c r="Q143" s="483">
        <f t="shared" si="9"/>
        <v>0</v>
      </c>
      <c r="R143" s="483">
        <f t="shared" si="9"/>
        <v>0</v>
      </c>
      <c r="S143" s="485"/>
      <c r="T143" s="74"/>
      <c r="U143" s="74"/>
      <c r="V143" s="74"/>
      <c r="W143" s="74"/>
      <c r="X143" s="74"/>
      <c r="Y143" s="74"/>
      <c r="Z143" s="74"/>
      <c r="AA143" s="74"/>
      <c r="AB143" s="74"/>
    </row>
    <row r="144" spans="1:55" x14ac:dyDescent="0.25">
      <c r="A144" s="480" t="s">
        <v>515</v>
      </c>
      <c r="B144" s="481">
        <f>SUM(B134:B142)</f>
        <v>0</v>
      </c>
      <c r="C144" s="481"/>
      <c r="D144" s="481"/>
      <c r="E144" s="483" t="e">
        <f>SUM(E134:E143)</f>
        <v>#N/A</v>
      </c>
      <c r="F144" s="484" t="e">
        <f>E144*(20-$D$145)/1000</f>
        <v>#N/A</v>
      </c>
      <c r="G144" s="483" t="e">
        <f>SUM(G134:G143)</f>
        <v>#N/A</v>
      </c>
      <c r="H144" s="483" t="e">
        <f t="shared" ref="H144:R144" si="10">SUM(H134:H143)</f>
        <v>#N/A</v>
      </c>
      <c r="I144" s="483" t="e">
        <f t="shared" si="10"/>
        <v>#N/A</v>
      </c>
      <c r="J144" s="483" t="e">
        <f t="shared" si="10"/>
        <v>#N/A</v>
      </c>
      <c r="K144" s="483" t="e">
        <f t="shared" si="10"/>
        <v>#N/A</v>
      </c>
      <c r="L144" s="483" t="e">
        <f t="shared" si="10"/>
        <v>#N/A</v>
      </c>
      <c r="M144" s="483" t="e">
        <f t="shared" si="10"/>
        <v>#N/A</v>
      </c>
      <c r="N144" s="483" t="e">
        <f t="shared" si="10"/>
        <v>#N/A</v>
      </c>
      <c r="O144" s="483" t="e">
        <f t="shared" si="10"/>
        <v>#N/A</v>
      </c>
      <c r="P144" s="483" t="e">
        <f t="shared" si="10"/>
        <v>#N/A</v>
      </c>
      <c r="Q144" s="483" t="e">
        <f t="shared" si="10"/>
        <v>#N/A</v>
      </c>
      <c r="R144" s="483" t="e">
        <f t="shared" si="10"/>
        <v>#N/A</v>
      </c>
      <c r="S144" s="485"/>
      <c r="T144" s="74"/>
      <c r="U144" s="74"/>
      <c r="V144" s="74"/>
      <c r="W144" s="74"/>
      <c r="X144" s="74"/>
      <c r="Y144" s="74"/>
      <c r="Z144" s="74"/>
      <c r="AA144" s="74"/>
      <c r="AB144" s="74"/>
    </row>
    <row r="145" spans="1:28" x14ac:dyDescent="0.25">
      <c r="A145" s="74"/>
      <c r="B145" s="488" t="s">
        <v>742</v>
      </c>
      <c r="C145" s="489" t="s">
        <v>747</v>
      </c>
      <c r="D145" s="481" t="e">
        <f>VLOOKUP(CONCATENATE('Ввод исходных данных'!$D$10,'Ввод исходных данных'!$D$11),Климатология!$D$9:$BF$548,4,0)</f>
        <v>#N/A</v>
      </c>
      <c r="E145" s="74"/>
      <c r="F145" s="74"/>
      <c r="G145" s="74"/>
      <c r="H145" s="74"/>
      <c r="I145" s="74"/>
      <c r="J145" s="74"/>
      <c r="K145" s="74"/>
      <c r="L145" s="74"/>
      <c r="M145" s="74"/>
      <c r="N145" s="74"/>
      <c r="O145" s="74"/>
      <c r="P145" s="74"/>
      <c r="Q145" s="74"/>
      <c r="R145" s="74"/>
      <c r="S145" s="74"/>
      <c r="T145" s="74"/>
      <c r="U145" s="74"/>
      <c r="V145" s="74"/>
      <c r="W145" s="74"/>
      <c r="X145" s="74"/>
      <c r="Y145" s="74"/>
      <c r="Z145" s="74"/>
      <c r="AA145" s="74"/>
      <c r="AB145" s="74"/>
    </row>
    <row r="146" spans="1:28" x14ac:dyDescent="0.25">
      <c r="A146" s="74"/>
      <c r="B146" s="488" t="s">
        <v>1405</v>
      </c>
      <c r="C146" s="489" t="s">
        <v>748</v>
      </c>
      <c r="D146" s="481">
        <f>'Ввод исходных данных'!D246</f>
        <v>0</v>
      </c>
      <c r="E146" s="74"/>
      <c r="F146" s="74"/>
      <c r="G146" s="490">
        <f>'Ввод исходных данных'!$I$252</f>
        <v>31</v>
      </c>
      <c r="H146" s="490">
        <f>'Ввод исходных данных'!$I$253</f>
        <v>0</v>
      </c>
      <c r="I146" s="490">
        <f>'Ввод исходных данных'!$I$254</f>
        <v>0</v>
      </c>
      <c r="J146" s="490">
        <f>'Ввод исходных данных'!$I$255</f>
        <v>0</v>
      </c>
      <c r="K146" s="490">
        <f>'Ввод исходных данных'!$I$256</f>
        <v>0</v>
      </c>
      <c r="L146" s="490">
        <f>'Ввод исходных данных'!$I$257</f>
        <v>0</v>
      </c>
      <c r="M146" s="490">
        <f>'Ввод исходных данных'!$I$258</f>
        <v>0</v>
      </c>
      <c r="N146" s="490">
        <f>'Ввод исходных данных'!$I$259</f>
        <v>31</v>
      </c>
      <c r="O146" s="490">
        <f>'Ввод исходных данных'!$I$260</f>
        <v>30</v>
      </c>
      <c r="P146" s="490">
        <f>'Ввод исходных данных'!$I$261</f>
        <v>31</v>
      </c>
      <c r="Q146" s="490">
        <f>'Ввод исходных данных'!$I$262</f>
        <v>30</v>
      </c>
      <c r="R146" s="490">
        <f>'Ввод исходных данных'!$I$263</f>
        <v>31</v>
      </c>
      <c r="S146" s="74"/>
      <c r="T146" s="74"/>
      <c r="U146" s="74"/>
      <c r="V146" s="74"/>
      <c r="W146" s="74"/>
      <c r="X146" s="74"/>
      <c r="Y146" s="74"/>
      <c r="Z146" s="74"/>
      <c r="AA146" s="74"/>
      <c r="AB146" s="74"/>
    </row>
    <row r="147" spans="1:28" x14ac:dyDescent="0.25">
      <c r="A147" s="74"/>
      <c r="B147" s="488" t="s">
        <v>462</v>
      </c>
      <c r="C147" s="489" t="s">
        <v>749</v>
      </c>
      <c r="D147" s="481" t="e">
        <f>'Ввод исходных данных'!G264</f>
        <v>#VALUE!</v>
      </c>
      <c r="E147" s="74"/>
      <c r="F147" s="74"/>
      <c r="G147" s="490">
        <f>'Ввод исходных данных'!$G$252</f>
        <v>620</v>
      </c>
      <c r="H147" s="490">
        <f>'Ввод исходных данных'!$G$253</f>
        <v>0</v>
      </c>
      <c r="I147" s="490">
        <f>'Ввод исходных данных'!$G$254</f>
        <v>0</v>
      </c>
      <c r="J147" s="490">
        <f>'Ввод исходных данных'!$G$255</f>
        <v>0</v>
      </c>
      <c r="K147" s="490">
        <f>'Ввод исходных данных'!$G$256</f>
        <v>0</v>
      </c>
      <c r="L147" s="490">
        <f>'Ввод исходных данных'!$G$257</f>
        <v>0</v>
      </c>
      <c r="M147" s="490">
        <f>'Ввод исходных данных'!$G$258</f>
        <v>0</v>
      </c>
      <c r="N147" s="490">
        <f>'Ввод исходных данных'!$G$259</f>
        <v>620</v>
      </c>
      <c r="O147" s="490">
        <f>'Ввод исходных данных'!$G$260</f>
        <v>600</v>
      </c>
      <c r="P147" s="490">
        <f>'Ввод исходных данных'!$G$261</f>
        <v>620</v>
      </c>
      <c r="Q147" s="490">
        <f>'Ввод исходных данных'!$G$262</f>
        <v>600</v>
      </c>
      <c r="R147" s="490">
        <f>'Ввод исходных данных'!$G$263</f>
        <v>620</v>
      </c>
      <c r="S147" s="74"/>
      <c r="T147" s="74"/>
      <c r="U147" s="74"/>
      <c r="V147" s="74"/>
      <c r="W147" s="74"/>
      <c r="X147" s="74"/>
      <c r="Y147" s="74"/>
      <c r="Z147" s="74"/>
      <c r="AA147" s="74"/>
      <c r="AB147" s="74"/>
    </row>
    <row r="148" spans="1:28" x14ac:dyDescent="0.25">
      <c r="A148" s="491" t="s">
        <v>497</v>
      </c>
      <c r="B148" s="492" t="s">
        <v>531</v>
      </c>
      <c r="C148" s="493" t="s">
        <v>498</v>
      </c>
      <c r="D148" s="494" t="e">
        <f>IF(D149&gt;45,10,IF(D149&lt;=20,17,17-(D149-20)*7/25))</f>
        <v>#DIV/0!</v>
      </c>
      <c r="E148" s="74"/>
      <c r="F148" s="495">
        <f>17*D150/1000</f>
        <v>0</v>
      </c>
      <c r="G148" s="74"/>
      <c r="H148" s="74"/>
      <c r="I148" s="74"/>
      <c r="J148" s="74"/>
      <c r="K148" s="74"/>
      <c r="L148" s="74"/>
      <c r="M148" s="74"/>
      <c r="N148" s="74"/>
      <c r="O148" s="74"/>
      <c r="P148" s="74"/>
      <c r="Q148" s="74"/>
      <c r="R148" s="74"/>
      <c r="S148" s="74"/>
      <c r="T148" s="74"/>
      <c r="U148" s="74"/>
      <c r="V148" s="74"/>
      <c r="W148" s="74"/>
      <c r="X148" s="74"/>
      <c r="Y148" s="74"/>
      <c r="Z148" s="74"/>
      <c r="AA148" s="74"/>
      <c r="AB148" s="74"/>
    </row>
    <row r="149" spans="1:28" x14ac:dyDescent="0.25">
      <c r="A149" s="491" t="s">
        <v>499</v>
      </c>
      <c r="B149" s="492" t="s">
        <v>500</v>
      </c>
      <c r="C149" s="493" t="s">
        <v>501</v>
      </c>
      <c r="D149" s="496" t="e">
        <f>'Ввод исходных данных'!G45/'Ввод исходных данных'!$D$22</f>
        <v>#DIV/0!</v>
      </c>
      <c r="E149" s="74"/>
      <c r="F149" s="74"/>
      <c r="G149" s="74"/>
      <c r="H149" s="74"/>
      <c r="I149" s="74"/>
      <c r="J149" s="74"/>
      <c r="K149" s="74"/>
      <c r="L149" s="74"/>
      <c r="M149" s="74"/>
      <c r="N149" s="74"/>
      <c r="O149" s="74"/>
      <c r="P149" s="74"/>
      <c r="Q149" s="74"/>
      <c r="R149" s="74"/>
      <c r="S149" s="74"/>
      <c r="T149" s="74"/>
      <c r="U149" s="74"/>
      <c r="V149" s="74"/>
      <c r="W149" s="74"/>
      <c r="X149" s="74"/>
      <c r="Y149" s="74"/>
      <c r="Z149" s="74"/>
      <c r="AA149" s="74"/>
      <c r="AB149" s="74"/>
    </row>
    <row r="150" spans="1:28" x14ac:dyDescent="0.25">
      <c r="A150" s="476" t="s">
        <v>1403</v>
      </c>
      <c r="B150" s="492" t="s">
        <v>1404</v>
      </c>
      <c r="C150" s="497" t="s">
        <v>492</v>
      </c>
      <c r="D150" s="496">
        <f>'Расчет базового уровня'!D150</f>
        <v>0</v>
      </c>
      <c r="E150" s="74"/>
      <c r="F150" s="74"/>
      <c r="G150" s="74"/>
      <c r="H150" s="74"/>
      <c r="I150" s="74"/>
      <c r="J150" s="74"/>
      <c r="K150" s="74"/>
      <c r="L150" s="74"/>
      <c r="M150" s="74"/>
      <c r="N150" s="74"/>
      <c r="O150" s="74"/>
      <c r="P150" s="74"/>
      <c r="Q150" s="74"/>
      <c r="R150" s="74"/>
      <c r="S150" s="74"/>
      <c r="T150" s="74"/>
      <c r="U150" s="74"/>
      <c r="V150" s="74"/>
      <c r="W150" s="74"/>
      <c r="X150" s="74"/>
      <c r="Y150" s="74"/>
      <c r="Z150" s="74"/>
      <c r="AA150" s="74"/>
      <c r="AB150" s="74"/>
    </row>
    <row r="151" spans="1:28" x14ac:dyDescent="0.25">
      <c r="A151" s="498" t="s">
        <v>512</v>
      </c>
      <c r="B151" s="499" t="s">
        <v>522</v>
      </c>
      <c r="C151" s="497" t="s">
        <v>526</v>
      </c>
      <c r="D151" s="500">
        <v>30</v>
      </c>
      <c r="E151" s="74"/>
      <c r="F151" s="495" t="e">
        <f>(D151*D152*'Ввод исходных данных'!$D$22*0.28+D189*0.28)*1.006*0.001*(20+25)+E161*(20+25)</f>
        <v>#N/A</v>
      </c>
      <c r="G151" s="74"/>
      <c r="H151" s="74"/>
      <c r="I151" s="74"/>
      <c r="J151" s="74"/>
      <c r="K151" s="74"/>
      <c r="L151" s="74"/>
      <c r="M151" s="74"/>
      <c r="N151" s="74"/>
      <c r="O151" s="74"/>
      <c r="P151" s="74"/>
      <c r="Q151" s="74"/>
      <c r="R151" s="74"/>
      <c r="S151" s="74"/>
      <c r="T151" s="74"/>
      <c r="U151" s="74"/>
      <c r="V151" s="74"/>
      <c r="W151" s="74"/>
      <c r="X151" s="74"/>
      <c r="Y151" s="74"/>
      <c r="Z151" s="74"/>
      <c r="AA151" s="74"/>
      <c r="AB151" s="74"/>
    </row>
    <row r="152" spans="1:28" x14ac:dyDescent="0.25">
      <c r="A152" s="491" t="s">
        <v>506</v>
      </c>
      <c r="B152" s="492" t="s">
        <v>507</v>
      </c>
      <c r="C152" s="493" t="s">
        <v>505</v>
      </c>
      <c r="D152" s="494">
        <f>353/(273+20)</f>
        <v>1.204778156996587</v>
      </c>
      <c r="E152" s="74"/>
      <c r="F152" s="74"/>
      <c r="G152" s="74"/>
      <c r="H152" s="74"/>
      <c r="I152" s="74"/>
      <c r="J152" s="74"/>
      <c r="K152" s="74"/>
      <c r="L152" s="74"/>
      <c r="M152" s="74"/>
      <c r="N152" s="74"/>
      <c r="O152" s="74"/>
      <c r="P152" s="74"/>
      <c r="Q152" s="74"/>
      <c r="R152" s="74"/>
      <c r="S152" s="74"/>
      <c r="T152" s="74"/>
      <c r="U152" s="74"/>
      <c r="V152" s="74"/>
      <c r="W152" s="74"/>
      <c r="X152" s="74"/>
      <c r="Y152" s="74"/>
      <c r="Z152" s="74"/>
      <c r="AA152" s="74"/>
      <c r="AB152" s="74"/>
    </row>
    <row r="153" spans="1:28" x14ac:dyDescent="0.25">
      <c r="A153" s="498" t="s">
        <v>745</v>
      </c>
      <c r="B153" s="499" t="s">
        <v>525</v>
      </c>
      <c r="C153" s="489" t="s">
        <v>746</v>
      </c>
      <c r="D153" s="501">
        <v>1.05</v>
      </c>
      <c r="E153" s="74"/>
      <c r="F153" s="74"/>
      <c r="G153" s="74"/>
      <c r="H153" s="74"/>
      <c r="I153" s="74"/>
      <c r="J153" s="74"/>
      <c r="K153" s="74"/>
      <c r="L153" s="74"/>
      <c r="M153" s="74"/>
      <c r="N153" s="74"/>
      <c r="O153" s="74"/>
      <c r="P153" s="74"/>
      <c r="Q153" s="74"/>
      <c r="R153" s="74"/>
      <c r="S153" s="74"/>
      <c r="T153" s="74"/>
      <c r="U153" s="74"/>
      <c r="V153" s="74"/>
      <c r="W153" s="74"/>
      <c r="X153" s="74"/>
      <c r="Y153" s="74"/>
      <c r="Z153" s="74"/>
      <c r="AA153" s="74"/>
      <c r="AB153" s="74"/>
    </row>
    <row r="154" spans="1:28" x14ac:dyDescent="0.25">
      <c r="A154" s="498" t="s">
        <v>523</v>
      </c>
      <c r="B154" s="499" t="s">
        <v>524</v>
      </c>
      <c r="C154" s="489" t="s">
        <v>746</v>
      </c>
      <c r="D154" s="501">
        <v>0.9</v>
      </c>
      <c r="E154" s="74"/>
      <c r="F154" s="74"/>
      <c r="G154" s="74"/>
      <c r="H154" s="74"/>
      <c r="I154" s="74"/>
      <c r="J154" s="74"/>
      <c r="K154" s="74"/>
      <c r="L154" s="74"/>
      <c r="M154" s="74"/>
      <c r="N154" s="74"/>
      <c r="O154" s="74"/>
      <c r="P154" s="74"/>
      <c r="Q154" s="74"/>
      <c r="R154" s="74"/>
      <c r="S154" s="74"/>
      <c r="T154" s="74"/>
      <c r="U154" s="74"/>
      <c r="V154" s="74"/>
      <c r="W154" s="74"/>
      <c r="X154" s="74"/>
      <c r="Y154" s="74"/>
      <c r="Z154" s="74"/>
      <c r="AA154" s="74"/>
      <c r="AB154" s="74"/>
    </row>
    <row r="155" spans="1:28" x14ac:dyDescent="0.25">
      <c r="A155" s="491" t="s">
        <v>502</v>
      </c>
      <c r="B155" s="492" t="s">
        <v>503</v>
      </c>
      <c r="C155" s="493" t="s">
        <v>504</v>
      </c>
      <c r="D155" s="494">
        <v>1</v>
      </c>
      <c r="E155" s="74"/>
      <c r="F155" s="74"/>
      <c r="G155" s="74"/>
      <c r="H155" s="74"/>
      <c r="I155" s="74"/>
      <c r="J155" s="74"/>
      <c r="K155" s="74"/>
      <c r="L155" s="74"/>
      <c r="M155" s="74"/>
      <c r="N155" s="74"/>
      <c r="O155" s="74"/>
      <c r="P155" s="74"/>
      <c r="Q155" s="74"/>
      <c r="R155" s="74"/>
      <c r="S155" s="74"/>
      <c r="T155" s="74"/>
      <c r="U155" s="74"/>
      <c r="V155" s="74"/>
      <c r="W155" s="74"/>
      <c r="X155" s="74"/>
      <c r="Y155" s="74"/>
      <c r="Z155" s="74"/>
      <c r="AA155" s="74"/>
      <c r="AB155" s="74"/>
    </row>
    <row r="156" spans="1:28" x14ac:dyDescent="0.25">
      <c r="A156" s="491" t="s">
        <v>508</v>
      </c>
      <c r="B156" s="492" t="s">
        <v>509</v>
      </c>
      <c r="C156" s="497" t="s">
        <v>746</v>
      </c>
      <c r="D156" s="502">
        <f>'Расчет базового уровня'!D156</f>
        <v>0.5</v>
      </c>
      <c r="E156" s="74"/>
      <c r="F156" s="74"/>
      <c r="G156" s="74"/>
      <c r="H156" s="74"/>
      <c r="I156" s="74"/>
      <c r="J156" s="74"/>
      <c r="K156" s="74"/>
      <c r="L156" s="74"/>
      <c r="M156" s="74"/>
      <c r="N156" s="74"/>
      <c r="O156" s="74"/>
      <c r="P156" s="74"/>
      <c r="Q156" s="74"/>
      <c r="R156" s="74"/>
      <c r="S156" s="74"/>
      <c r="T156" s="74"/>
      <c r="U156" s="74"/>
      <c r="V156" s="74"/>
      <c r="W156" s="74"/>
      <c r="X156" s="74"/>
    </row>
    <row r="157" spans="1:28" x14ac:dyDescent="0.25">
      <c r="A157" s="491" t="s">
        <v>510</v>
      </c>
      <c r="B157" s="492" t="s">
        <v>511</v>
      </c>
      <c r="C157" s="497" t="s">
        <v>746</v>
      </c>
      <c r="D157" s="494">
        <v>1</v>
      </c>
      <c r="E157" s="74"/>
      <c r="F157" s="74"/>
      <c r="G157" s="74"/>
      <c r="H157" s="74"/>
      <c r="I157" s="74"/>
      <c r="J157" s="74"/>
      <c r="K157" s="74"/>
      <c r="L157" s="74"/>
      <c r="M157" s="74"/>
      <c r="N157" s="74"/>
      <c r="O157" s="74"/>
      <c r="P157" s="74"/>
      <c r="Q157" s="74"/>
      <c r="R157" s="74"/>
      <c r="S157" s="74"/>
      <c r="T157" s="74"/>
      <c r="U157" s="74"/>
      <c r="V157" s="74"/>
      <c r="W157" s="74"/>
      <c r="X157" s="74"/>
    </row>
    <row r="158" spans="1:28" x14ac:dyDescent="0.25">
      <c r="A158" s="491" t="s">
        <v>527</v>
      </c>
      <c r="B158" s="492" t="s">
        <v>532</v>
      </c>
      <c r="C158" s="489" t="s">
        <v>746</v>
      </c>
      <c r="D158" s="503">
        <f>IF('Список мероприятий'!AB37=1,1.05,'Расчет базового уровня'!D158)</f>
        <v>1.0900000000000001</v>
      </c>
      <c r="E158" s="74"/>
      <c r="F158" s="74"/>
      <c r="G158" s="74"/>
      <c r="H158" s="74"/>
      <c r="I158" s="74"/>
      <c r="J158" s="74"/>
      <c r="K158" s="74"/>
      <c r="L158" s="74"/>
      <c r="M158" s="74"/>
      <c r="N158" s="74"/>
      <c r="O158" s="74"/>
      <c r="P158" s="74"/>
      <c r="Q158" s="74"/>
      <c r="R158" s="74"/>
      <c r="S158" s="74"/>
      <c r="T158" s="74"/>
      <c r="U158" s="74"/>
      <c r="V158" s="74"/>
      <c r="W158" s="74"/>
      <c r="X158" s="74"/>
    </row>
    <row r="159" spans="1:28" x14ac:dyDescent="0.25">
      <c r="A159" s="469" t="s">
        <v>743</v>
      </c>
      <c r="B159" s="504" t="s">
        <v>903</v>
      </c>
      <c r="C159" s="489" t="s">
        <v>747</v>
      </c>
      <c r="D159" s="95">
        <f>IF('Список мероприятий'!AB24=1,15,'Ввод исходных данных'!D84)</f>
        <v>16</v>
      </c>
      <c r="E159" s="74"/>
      <c r="F159" s="74"/>
      <c r="G159" s="74"/>
      <c r="H159" s="74"/>
      <c r="I159" s="74"/>
      <c r="J159" s="74"/>
      <c r="K159" s="74"/>
      <c r="L159" s="74"/>
      <c r="M159" s="74"/>
      <c r="N159" s="74"/>
      <c r="O159" s="74"/>
      <c r="P159" s="74"/>
      <c r="Q159" s="74"/>
      <c r="R159" s="74"/>
      <c r="S159" s="74"/>
      <c r="T159" s="74"/>
      <c r="U159" s="74"/>
      <c r="V159" s="74"/>
      <c r="W159" s="74"/>
      <c r="X159" s="74"/>
    </row>
    <row r="160" spans="1:28" x14ac:dyDescent="0.25">
      <c r="A160" s="469" t="s">
        <v>744</v>
      </c>
      <c r="B160" s="504" t="s">
        <v>904</v>
      </c>
      <c r="C160" s="489" t="s">
        <v>747</v>
      </c>
      <c r="D160" s="500">
        <f>'Ввод исходных данных'!$D$85</f>
        <v>2</v>
      </c>
      <c r="E160" s="74"/>
      <c r="F160" s="74"/>
      <c r="G160" s="74"/>
      <c r="H160" s="74"/>
      <c r="I160" s="74"/>
      <c r="J160" s="74"/>
      <c r="K160" s="74"/>
      <c r="L160" s="74"/>
      <c r="M160" s="74"/>
      <c r="N160" s="74"/>
      <c r="O160" s="74"/>
      <c r="P160" s="74"/>
      <c r="Q160" s="74"/>
      <c r="R160" s="74"/>
      <c r="S160" s="74"/>
      <c r="T160" s="74"/>
      <c r="U160" s="74"/>
      <c r="V160" s="74"/>
      <c r="W160" s="74"/>
      <c r="X160" s="74"/>
    </row>
    <row r="161" spans="1:31" ht="17.25" customHeight="1" x14ac:dyDescent="0.25">
      <c r="A161" s="469" t="s">
        <v>1590</v>
      </c>
      <c r="B161" s="504"/>
      <c r="C161" s="489" t="s">
        <v>496</v>
      </c>
      <c r="D161" s="500" t="e">
        <f>0.28*(4*'Ввод исходных данных'!$D$23*'Расчет базового уровня'!$D$152*0.5+'Расчет базового уровня'!$D$162*'Расчет базового уровня'!$D$154*0.5)*'Расчет базового уровня'!$D$155*0.024*D147</f>
        <v>#VALUE!</v>
      </c>
      <c r="E161" s="74">
        <f>IF('Ввод исходных данных'!$D$23=0,0,0.28*(4*'Ввод исходных данных'!$D$23*'Расчет базового уровня'!$D$152*0.5+'Расчет базового уровня'!$D$162*'Расчет базового уровня'!$D$154*0.5)*'Расчет базового уровня'!$D$155*0.001)</f>
        <v>0</v>
      </c>
      <c r="F161" s="74"/>
      <c r="G161" s="500">
        <f>0.28*(4*'Ввод исходных данных'!$D$23*'Расчет базового уровня'!$D$152*0.5+'Расчет базового уровня'!$D$162*'Расчет базового уровня'!$D$154*0.5)*'Расчет базового уровня'!$D$155*0.024*G147</f>
        <v>0</v>
      </c>
      <c r="H161" s="500">
        <f>0.28*(4*'Ввод исходных данных'!$D$23*'Расчет базового уровня'!$D$152*0.5+'Расчет базового уровня'!$D$162*'Расчет базового уровня'!$D$154*0.5)*'Расчет базового уровня'!$D$155*0.024*H147</f>
        <v>0</v>
      </c>
      <c r="I161" s="500">
        <f>0.28*(4*'Ввод исходных данных'!$D$23*'Расчет базового уровня'!$D$152*0.5+'Расчет базового уровня'!$D$162*'Расчет базового уровня'!$D$154*0.5)*'Расчет базового уровня'!$D$155*0.024*I147</f>
        <v>0</v>
      </c>
      <c r="J161" s="500">
        <f>0.28*(4*'Ввод исходных данных'!$D$23*'Расчет базового уровня'!$D$152*0.5+'Расчет базового уровня'!$D$162*'Расчет базового уровня'!$D$154*0.5)*'Расчет базового уровня'!$D$155*0.024*J147</f>
        <v>0</v>
      </c>
      <c r="K161" s="500">
        <f>0.28*(4*'Ввод исходных данных'!$D$23*'Расчет базового уровня'!$D$152*0.5+'Расчет базового уровня'!$D$162*'Расчет базового уровня'!$D$154*0.5)*'Расчет базового уровня'!$D$155*0.024*K147</f>
        <v>0</v>
      </c>
      <c r="L161" s="500">
        <f>0.28*(4*'Ввод исходных данных'!$D$23*'Расчет базового уровня'!$D$152*0.5+'Расчет базового уровня'!$D$162*'Расчет базового уровня'!$D$154*0.5)*'Расчет базового уровня'!$D$155*0.024*L147</f>
        <v>0</v>
      </c>
      <c r="M161" s="500">
        <f>0.28*(4*'Ввод исходных данных'!$D$23*'Расчет базового уровня'!$D$152*0.5+'Расчет базового уровня'!$D$162*'Расчет базового уровня'!$D$154*0.5)*'Расчет базового уровня'!$D$155*0.024*M147</f>
        <v>0</v>
      </c>
      <c r="N161" s="500">
        <f>0.28*(4*'Ввод исходных данных'!$D$23*'Расчет базового уровня'!$D$152*0.5+'Расчет базового уровня'!$D$162*'Расчет базового уровня'!$D$154*0.5)*'Расчет базового уровня'!$D$155*0.024*N147</f>
        <v>0</v>
      </c>
      <c r="O161" s="500">
        <f>0.28*(4*'Ввод исходных данных'!$D$23*'Расчет базового уровня'!$D$152*0.5+'Расчет базового уровня'!$D$162*'Расчет базового уровня'!$D$154*0.5)*'Расчет базового уровня'!$D$155*0.024*O147</f>
        <v>0</v>
      </c>
      <c r="P161" s="500">
        <f>0.28*(4*'Ввод исходных данных'!$D$23*'Расчет базового уровня'!$D$152*0.5+'Расчет базового уровня'!$D$162*'Расчет базового уровня'!$D$154*0.5)*'Расчет базового уровня'!$D$155*0.024*P147</f>
        <v>0</v>
      </c>
      <c r="Q161" s="500">
        <f>0.28*(4*'Ввод исходных данных'!$D$23*'Расчет базового уровня'!$D$152*0.5+'Расчет базового уровня'!$D$162*'Расчет базового уровня'!$D$154*0.5)*'Расчет базового уровня'!$D$155*0.024*Q147</f>
        <v>0</v>
      </c>
      <c r="R161" s="500">
        <f>0.28*(4*'Ввод исходных данных'!$D$23*'Расчет базового уровня'!$D$152*0.5+'Расчет базового уровня'!$D$162*'Расчет базового уровня'!$D$154*0.5)*'Расчет базового уровня'!$D$155*0.024*R147</f>
        <v>0</v>
      </c>
      <c r="S161" s="74"/>
      <c r="T161" s="74"/>
      <c r="U161" s="74"/>
      <c r="V161" s="74"/>
      <c r="W161" s="74"/>
      <c r="X161" s="74"/>
      <c r="Y161" s="74"/>
      <c r="Z161" s="74"/>
      <c r="AA161" s="74"/>
      <c r="AB161" s="74"/>
      <c r="AC161" s="74"/>
      <c r="AD161" s="74"/>
      <c r="AE161" s="74"/>
    </row>
    <row r="162" spans="1:31" x14ac:dyDescent="0.25">
      <c r="A162" s="469" t="s">
        <v>1591</v>
      </c>
      <c r="B162" s="504"/>
      <c r="C162" s="489" t="s">
        <v>1582</v>
      </c>
      <c r="D162" s="500">
        <f>IF('Ввод исходных данных'!D23=0,0,($B$137/(0.12*(1-'Ввод исходных данных'!$D$35/'Ввод исходных данных'!$G$59)+0.86*('Ввод исходных данных'!$D$35/'Ввод исходных данных'!$G$59)))*('Расчет базового уровня'!$D$182/10)^(1/2))</f>
        <v>0</v>
      </c>
      <c r="E162" s="74"/>
      <c r="F162" s="74"/>
      <c r="G162" s="74"/>
      <c r="H162" s="74"/>
      <c r="I162" s="74"/>
      <c r="J162" s="74"/>
      <c r="K162" s="74"/>
      <c r="L162" s="74"/>
      <c r="M162" s="74"/>
      <c r="N162" s="74"/>
      <c r="O162" s="74"/>
      <c r="P162" s="74"/>
      <c r="Q162" s="74"/>
      <c r="R162" s="74"/>
      <c r="S162" s="74"/>
      <c r="T162" s="74"/>
      <c r="U162" s="74"/>
      <c r="V162" s="74"/>
      <c r="W162" s="74"/>
      <c r="X162" s="74"/>
      <c r="Y162" s="74"/>
      <c r="Z162" s="74"/>
      <c r="AA162" s="74"/>
      <c r="AB162" s="74"/>
      <c r="AC162" s="74"/>
      <c r="AD162" s="74"/>
      <c r="AE162" s="74"/>
    </row>
    <row r="163" spans="1:31" x14ac:dyDescent="0.25">
      <c r="A163" s="469" t="s">
        <v>1319</v>
      </c>
      <c r="B163" s="504"/>
      <c r="C163" s="489" t="s">
        <v>1181</v>
      </c>
      <c r="D163" s="505">
        <v>0</v>
      </c>
      <c r="E163" s="74"/>
      <c r="F163" s="74"/>
      <c r="G163" s="74">
        <v>31</v>
      </c>
      <c r="H163" s="74">
        <v>28</v>
      </c>
      <c r="I163" s="74">
        <v>31</v>
      </c>
      <c r="J163" s="74">
        <v>30</v>
      </c>
      <c r="K163" s="74">
        <v>31</v>
      </c>
      <c r="L163" s="74">
        <v>30</v>
      </c>
      <c r="M163" s="74">
        <v>31</v>
      </c>
      <c r="N163" s="74">
        <v>31</v>
      </c>
      <c r="O163" s="74">
        <v>30</v>
      </c>
      <c r="P163" s="74">
        <v>31</v>
      </c>
      <c r="Q163" s="74">
        <v>30</v>
      </c>
      <c r="R163" s="74">
        <v>31</v>
      </c>
      <c r="S163" s="74"/>
      <c r="T163" s="74"/>
      <c r="U163" s="74"/>
      <c r="V163" s="74"/>
      <c r="W163" s="74"/>
      <c r="X163" s="74"/>
    </row>
    <row r="164" spans="1:31" ht="15.75" customHeight="1" x14ac:dyDescent="0.25">
      <c r="A164" s="469" t="s">
        <v>541</v>
      </c>
      <c r="B164" s="469"/>
      <c r="C164" s="469"/>
      <c r="D164" s="469"/>
      <c r="E164" s="74"/>
      <c r="F164" s="74"/>
      <c r="G164" s="74">
        <f>IF('Ввод исходных данных'!$D$111='Расчет после реализации'!G129,1,0)</f>
        <v>0</v>
      </c>
      <c r="H164" s="74">
        <f>IF('Ввод исходных данных'!$D$111='Расчет после реализации'!H129,1,0)</f>
        <v>0</v>
      </c>
      <c r="I164" s="74">
        <f>IF('Ввод исходных данных'!$D$111='Расчет после реализации'!I129,1,0)</f>
        <v>0</v>
      </c>
      <c r="J164" s="74">
        <f>IF('Ввод исходных данных'!$D$111='Расчет после реализации'!J129,1,0)</f>
        <v>0</v>
      </c>
      <c r="K164" s="74">
        <f>IF('Ввод исходных данных'!$D$111='Расчет после реализации'!K129,1,0)</f>
        <v>0</v>
      </c>
      <c r="L164" s="74">
        <f>IF('Ввод исходных данных'!$D$111='Расчет после реализации'!L129,1,0)</f>
        <v>0</v>
      </c>
      <c r="M164" s="74">
        <f>IF('Ввод исходных данных'!$D$111='Расчет после реализации'!M129,1,0)</f>
        <v>1</v>
      </c>
      <c r="N164" s="74">
        <f>IF('Ввод исходных данных'!$D$111='Расчет после реализации'!N129,1,0)</f>
        <v>0</v>
      </c>
      <c r="O164" s="74">
        <f>IF('Ввод исходных данных'!$D$111='Расчет после реализации'!O129,1,0)</f>
        <v>0</v>
      </c>
      <c r="P164" s="74">
        <f>IF('Ввод исходных данных'!$D$111='Расчет после реализации'!P129,1,0)</f>
        <v>0</v>
      </c>
      <c r="Q164" s="74">
        <f>IF('Ввод исходных данных'!$D$111='Расчет после реализации'!Q129,1,0)</f>
        <v>0</v>
      </c>
      <c r="R164" s="74">
        <f>IF('Ввод исходных данных'!$D$111='Расчет после реализации'!R129,1,0)</f>
        <v>0</v>
      </c>
      <c r="S164" s="74"/>
      <c r="T164" s="74"/>
      <c r="U164" s="74"/>
      <c r="V164" s="74"/>
      <c r="W164" s="74"/>
      <c r="X164" s="74"/>
    </row>
    <row r="165" spans="1:31" ht="15.75" customHeight="1" x14ac:dyDescent="0.25">
      <c r="A165" s="506" t="s">
        <v>905</v>
      </c>
      <c r="B165" s="507" t="s">
        <v>1474</v>
      </c>
      <c r="C165" s="489" t="s">
        <v>906</v>
      </c>
      <c r="D165" s="508">
        <f>D166*365/(D146+D167*(D168-D146))</f>
        <v>103.98860398860398</v>
      </c>
      <c r="E165" s="74"/>
      <c r="F165" s="74"/>
      <c r="G165" s="508" t="e">
        <f>'Расчет базового уровня'!G167</f>
        <v>#N/A</v>
      </c>
      <c r="H165" s="508" t="e">
        <f>'Расчет базового уровня'!H167</f>
        <v>#N/A</v>
      </c>
      <c r="I165" s="508" t="e">
        <f>'Расчет базового уровня'!I167</f>
        <v>#N/A</v>
      </c>
      <c r="J165" s="508" t="e">
        <f>'Расчет базового уровня'!J167</f>
        <v>#N/A</v>
      </c>
      <c r="K165" s="508" t="e">
        <f>'Расчет базового уровня'!K167</f>
        <v>#N/A</v>
      </c>
      <c r="L165" s="508" t="e">
        <f>'Расчет базового уровня'!L167</f>
        <v>#N/A</v>
      </c>
      <c r="M165" s="508" t="e">
        <f>'Расчет базового уровня'!M167</f>
        <v>#N/A</v>
      </c>
      <c r="N165" s="508" t="e">
        <f>'Расчет базового уровня'!N167</f>
        <v>#N/A</v>
      </c>
      <c r="O165" s="508" t="e">
        <f>'Расчет базового уровня'!O167</f>
        <v>#N/A</v>
      </c>
      <c r="P165" s="508" t="e">
        <f>'Расчет базового уровня'!P167</f>
        <v>#N/A</v>
      </c>
      <c r="Q165" s="508" t="e">
        <f>'Расчет базового уровня'!Q167</f>
        <v>#N/A</v>
      </c>
      <c r="R165" s="508" t="e">
        <f>'Расчет базового уровня'!R167</f>
        <v>#N/A</v>
      </c>
      <c r="S165" s="74"/>
      <c r="T165" s="74"/>
      <c r="U165" s="74"/>
      <c r="V165" s="74"/>
      <c r="W165" s="74"/>
      <c r="X165" s="74"/>
    </row>
    <row r="166" spans="1:31" ht="15.75" customHeight="1" x14ac:dyDescent="0.25">
      <c r="A166" s="506" t="s">
        <v>907</v>
      </c>
      <c r="B166" s="507" t="s">
        <v>542</v>
      </c>
      <c r="C166" s="489" t="s">
        <v>906</v>
      </c>
      <c r="D166" s="509">
        <f>'Расчет базового уровня'!D168</f>
        <v>90</v>
      </c>
      <c r="E166" s="74"/>
      <c r="F166" s="74"/>
      <c r="G166" s="508">
        <f>'Расчет базового уровня'!G168</f>
        <v>90</v>
      </c>
      <c r="H166" s="508">
        <f>'Расчет базового уровня'!H168</f>
        <v>90</v>
      </c>
      <c r="I166" s="508">
        <f>'Расчет базового уровня'!I168</f>
        <v>90</v>
      </c>
      <c r="J166" s="508">
        <f>'Расчет базового уровня'!J168</f>
        <v>90</v>
      </c>
      <c r="K166" s="508">
        <f>'Расчет базового уровня'!K168</f>
        <v>90</v>
      </c>
      <c r="L166" s="508">
        <f>'Расчет базового уровня'!L168</f>
        <v>90</v>
      </c>
      <c r="M166" s="508">
        <f>'Расчет базового уровня'!M168</f>
        <v>90</v>
      </c>
      <c r="N166" s="508">
        <f>'Расчет базового уровня'!N168</f>
        <v>90</v>
      </c>
      <c r="O166" s="508">
        <f>'Расчет базового уровня'!O168</f>
        <v>90</v>
      </c>
      <c r="P166" s="508">
        <f>'Расчет базового уровня'!P168</f>
        <v>90</v>
      </c>
      <c r="Q166" s="508">
        <f>'Расчет базового уровня'!Q168</f>
        <v>90</v>
      </c>
      <c r="R166" s="508">
        <f>'Расчет базового уровня'!R168</f>
        <v>90</v>
      </c>
      <c r="S166" s="74"/>
      <c r="T166" s="74"/>
      <c r="U166" s="74"/>
      <c r="V166" s="74"/>
      <c r="W166" s="74"/>
      <c r="X166" s="74"/>
    </row>
    <row r="167" spans="1:31" ht="15.75" customHeight="1" x14ac:dyDescent="0.25">
      <c r="A167" s="510" t="s">
        <v>544</v>
      </c>
      <c r="B167" s="507" t="s">
        <v>545</v>
      </c>
      <c r="C167" s="489" t="s">
        <v>746</v>
      </c>
      <c r="D167" s="511">
        <f>'Расчет базового уровня'!D169</f>
        <v>0.9</v>
      </c>
      <c r="E167" s="74"/>
      <c r="F167" s="74"/>
      <c r="G167" s="74"/>
      <c r="H167" s="74"/>
      <c r="I167" s="74"/>
      <c r="J167" s="74"/>
      <c r="K167" s="74"/>
      <c r="L167" s="74"/>
      <c r="M167" s="74"/>
      <c r="N167" s="74"/>
      <c r="O167" s="74"/>
      <c r="P167" s="74"/>
      <c r="Q167" s="74"/>
      <c r="R167" s="74"/>
      <c r="S167" s="74"/>
      <c r="T167" s="74"/>
      <c r="U167" s="74"/>
      <c r="V167" s="74"/>
      <c r="W167" s="74"/>
      <c r="X167" s="74"/>
    </row>
    <row r="168" spans="1:31" ht="15.75" customHeight="1" x14ac:dyDescent="0.25">
      <c r="A168" s="506"/>
      <c r="B168" s="507" t="s">
        <v>546</v>
      </c>
      <c r="C168" s="489" t="s">
        <v>543</v>
      </c>
      <c r="D168" s="511">
        <f>365-'Ввод исходных данных'!D110</f>
        <v>351</v>
      </c>
      <c r="E168" s="74"/>
      <c r="F168" s="74"/>
      <c r="G168" s="511">
        <f>G163-G164*'Ввод исходных данных'!$D$110</f>
        <v>31</v>
      </c>
      <c r="H168" s="511">
        <f>H163-H164*'Ввод исходных данных'!$D$110</f>
        <v>28</v>
      </c>
      <c r="I168" s="511">
        <f>I163-I164*'Ввод исходных данных'!$D$110</f>
        <v>31</v>
      </c>
      <c r="J168" s="511">
        <f>J163-J164*'Ввод исходных данных'!$D$110</f>
        <v>30</v>
      </c>
      <c r="K168" s="511">
        <f>K163-K164*'Ввод исходных данных'!$D$110</f>
        <v>31</v>
      </c>
      <c r="L168" s="511">
        <f>L163-L164*'Ввод исходных данных'!$D$110</f>
        <v>30</v>
      </c>
      <c r="M168" s="511">
        <f>M163-M164*'Ввод исходных данных'!$D$110</f>
        <v>17</v>
      </c>
      <c r="N168" s="511">
        <f>N163-N164*'Ввод исходных данных'!$D$110</f>
        <v>31</v>
      </c>
      <c r="O168" s="511">
        <f>O163-O164*'Ввод исходных данных'!$D$110</f>
        <v>30</v>
      </c>
      <c r="P168" s="511">
        <f>P163-P164*'Ввод исходных данных'!$D$110</f>
        <v>31</v>
      </c>
      <c r="Q168" s="511">
        <f>Q163-Q164*'Ввод исходных данных'!$D$110</f>
        <v>30</v>
      </c>
      <c r="R168" s="511">
        <f>R163-R164*'Ввод исходных данных'!$D$110</f>
        <v>31</v>
      </c>
      <c r="S168" s="74"/>
      <c r="T168" s="74"/>
      <c r="U168" s="74"/>
      <c r="V168" s="74"/>
      <c r="W168" s="74"/>
      <c r="X168" s="74"/>
    </row>
    <row r="169" spans="1:31" ht="15.75" customHeight="1" x14ac:dyDescent="0.25">
      <c r="A169" s="506" t="s">
        <v>908</v>
      </c>
      <c r="B169" s="507" t="s">
        <v>547</v>
      </c>
      <c r="C169" s="489" t="s">
        <v>559</v>
      </c>
      <c r="D169" s="512">
        <f>D165*'Ввод исходных данных'!$D$22/24/1000</f>
        <v>0</v>
      </c>
      <c r="E169" s="74"/>
      <c r="F169" s="74"/>
      <c r="G169" s="512" t="e">
        <f>G165*'Ввод исходных данных'!$D$22/24/1000</f>
        <v>#N/A</v>
      </c>
      <c r="H169" s="512" t="e">
        <f>H165*'Ввод исходных данных'!$D$22/24/1000</f>
        <v>#N/A</v>
      </c>
      <c r="I169" s="512" t="e">
        <f>I165*'Ввод исходных данных'!$D$22/24/1000</f>
        <v>#N/A</v>
      </c>
      <c r="J169" s="512" t="e">
        <f>J165*'Ввод исходных данных'!$D$22/24/1000</f>
        <v>#N/A</v>
      </c>
      <c r="K169" s="512" t="e">
        <f>K165*'Ввод исходных данных'!$D$22/24/1000</f>
        <v>#N/A</v>
      </c>
      <c r="L169" s="512" t="e">
        <f>L165*'Ввод исходных данных'!$D$22/24/1000</f>
        <v>#N/A</v>
      </c>
      <c r="M169" s="512" t="e">
        <f>M165*'Ввод исходных данных'!$D$22/24/1000</f>
        <v>#N/A</v>
      </c>
      <c r="N169" s="512" t="e">
        <f>N165*'Ввод исходных данных'!$D$22/24/1000</f>
        <v>#N/A</v>
      </c>
      <c r="O169" s="512" t="e">
        <f>O165*'Ввод исходных данных'!$D$22/24/1000</f>
        <v>#N/A</v>
      </c>
      <c r="P169" s="512" t="e">
        <f>P165*'Ввод исходных данных'!$D$22/24/1000</f>
        <v>#N/A</v>
      </c>
      <c r="Q169" s="512" t="e">
        <f>Q165*'Ввод исходных данных'!$D$22/24/1000</f>
        <v>#N/A</v>
      </c>
      <c r="R169" s="512" t="e">
        <f>R165*'Ввод исходных данных'!$D$22/24/1000</f>
        <v>#N/A</v>
      </c>
      <c r="S169" s="74"/>
      <c r="T169" s="74"/>
      <c r="U169" s="74"/>
      <c r="V169" s="74"/>
      <c r="W169" s="74"/>
      <c r="X169" s="74"/>
    </row>
    <row r="170" spans="1:31" ht="15.75" customHeight="1" x14ac:dyDescent="0.25">
      <c r="A170" s="506" t="s">
        <v>909</v>
      </c>
      <c r="B170" s="507" t="s">
        <v>548</v>
      </c>
      <c r="C170" s="489" t="s">
        <v>559</v>
      </c>
      <c r="D170" s="512" t="e">
        <f>D169*'Система электроснабжения'!$C$55</f>
        <v>#DIV/0!</v>
      </c>
      <c r="E170" s="74"/>
      <c r="F170" s="74"/>
      <c r="G170" s="512" t="e">
        <f>G169*'Система электроснабжения'!$C$55</f>
        <v>#N/A</v>
      </c>
      <c r="H170" s="512" t="e">
        <f>H169*'Система электроснабжения'!$C$55</f>
        <v>#N/A</v>
      </c>
      <c r="I170" s="512" t="e">
        <f>I169*'Система электроснабжения'!$C$55</f>
        <v>#N/A</v>
      </c>
      <c r="J170" s="512" t="e">
        <f>J169*'Система электроснабжения'!$C$55</f>
        <v>#N/A</v>
      </c>
      <c r="K170" s="512" t="e">
        <f>K169*'Система электроснабжения'!$C$55</f>
        <v>#N/A</v>
      </c>
      <c r="L170" s="512" t="e">
        <f>L169*'Система электроснабжения'!$C$55</f>
        <v>#N/A</v>
      </c>
      <c r="M170" s="512" t="e">
        <f>M169*'Система электроснабжения'!$C$55</f>
        <v>#N/A</v>
      </c>
      <c r="N170" s="512" t="e">
        <f>N169*'Система электроснабжения'!$C$55</f>
        <v>#N/A</v>
      </c>
      <c r="O170" s="512" t="e">
        <f>O169*'Система электроснабжения'!$C$55</f>
        <v>#N/A</v>
      </c>
      <c r="P170" s="512" t="e">
        <f>P169*'Система электроснабжения'!$C$55</f>
        <v>#N/A</v>
      </c>
      <c r="Q170" s="512" t="e">
        <f>Q169*'Система электроснабжения'!$C$55</f>
        <v>#N/A</v>
      </c>
      <c r="R170" s="512" t="e">
        <f>R169*'Система электроснабжения'!$C$55</f>
        <v>#N/A</v>
      </c>
      <c r="S170" s="74"/>
      <c r="T170" s="74"/>
      <c r="U170" s="74"/>
      <c r="V170" s="74"/>
      <c r="W170" s="74"/>
      <c r="X170" s="74"/>
    </row>
    <row r="171" spans="1:31" ht="15.75" customHeight="1" x14ac:dyDescent="0.25">
      <c r="A171" s="506" t="s">
        <v>910</v>
      </c>
      <c r="B171" s="507" t="s">
        <v>551</v>
      </c>
      <c r="C171" s="489" t="s">
        <v>513</v>
      </c>
      <c r="D171" s="513">
        <f xml:space="preserve"> (D165*(D172-D173)*(1+D174)*1*D175)/(3.6*24*D176)</f>
        <v>17.376567940804055</v>
      </c>
      <c r="E171" s="74"/>
      <c r="F171" s="74"/>
      <c r="G171" s="513" t="e">
        <f xml:space="preserve"> (G165*($D$172-$D$173)*(1+$D$174)*1*$D$175)/(3.6*24*$D$176)</f>
        <v>#N/A</v>
      </c>
      <c r="H171" s="513" t="e">
        <f t="shared" ref="H171:R171" si="11" xml:space="preserve"> (H165*($D$172-$D$173)*(1+$D$174)*1*$D$175)/(3.6*24*$D$176)</f>
        <v>#N/A</v>
      </c>
      <c r="I171" s="513" t="e">
        <f t="shared" si="11"/>
        <v>#N/A</v>
      </c>
      <c r="J171" s="513" t="e">
        <f t="shared" si="11"/>
        <v>#N/A</v>
      </c>
      <c r="K171" s="513" t="e">
        <f t="shared" si="11"/>
        <v>#N/A</v>
      </c>
      <c r="L171" s="513" t="e">
        <f t="shared" si="11"/>
        <v>#N/A</v>
      </c>
      <c r="M171" s="513" t="e">
        <f t="shared" si="11"/>
        <v>#N/A</v>
      </c>
      <c r="N171" s="513" t="e">
        <f t="shared" si="11"/>
        <v>#N/A</v>
      </c>
      <c r="O171" s="513" t="e">
        <f t="shared" si="11"/>
        <v>#N/A</v>
      </c>
      <c r="P171" s="513" t="e">
        <f t="shared" si="11"/>
        <v>#N/A</v>
      </c>
      <c r="Q171" s="513" t="e">
        <f t="shared" si="11"/>
        <v>#N/A</v>
      </c>
      <c r="R171" s="513" t="e">
        <f t="shared" si="11"/>
        <v>#N/A</v>
      </c>
      <c r="S171" s="74"/>
      <c r="T171" s="74"/>
      <c r="U171" s="74"/>
      <c r="V171" s="74"/>
      <c r="W171" s="74"/>
      <c r="X171" s="74"/>
    </row>
    <row r="172" spans="1:31" ht="15.75" customHeight="1" x14ac:dyDescent="0.25">
      <c r="A172" s="506" t="s">
        <v>552</v>
      </c>
      <c r="B172" s="507" t="s">
        <v>911</v>
      </c>
      <c r="C172" s="489" t="s">
        <v>747</v>
      </c>
      <c r="D172" s="511">
        <f>'Ввод исходных данных'!D107</f>
        <v>60</v>
      </c>
      <c r="E172" s="74"/>
      <c r="F172" s="74"/>
      <c r="G172" s="74"/>
      <c r="H172" s="74"/>
      <c r="I172" s="74"/>
      <c r="J172" s="74"/>
      <c r="K172" s="74"/>
      <c r="L172" s="74"/>
      <c r="M172" s="74"/>
      <c r="N172" s="74"/>
      <c r="O172" s="74"/>
      <c r="P172" s="74"/>
      <c r="Q172" s="74"/>
      <c r="R172" s="74"/>
      <c r="S172" s="74"/>
      <c r="T172" s="74"/>
      <c r="U172" s="74"/>
      <c r="V172" s="74"/>
      <c r="W172" s="74"/>
      <c r="X172" s="74"/>
    </row>
    <row r="173" spans="1:31" ht="15.75" customHeight="1" x14ac:dyDescent="0.35">
      <c r="A173" s="510" t="s">
        <v>560</v>
      </c>
      <c r="B173" s="507" t="s">
        <v>912</v>
      </c>
      <c r="C173" s="489" t="s">
        <v>747</v>
      </c>
      <c r="D173" s="511">
        <f>'Ввод исходных данных'!D108</f>
        <v>5</v>
      </c>
      <c r="E173" s="514">
        <f>(D146*D173+(365-D146-'Ввод исходных данных'!D110)*'Ввод исходных данных'!D109)/(365-'Ввод исходных данных'!D110)</f>
        <v>15</v>
      </c>
      <c r="F173" s="74"/>
      <c r="G173" s="74"/>
      <c r="H173" s="74"/>
      <c r="I173" s="74"/>
      <c r="J173" s="74"/>
      <c r="K173" s="74"/>
      <c r="L173" s="74"/>
      <c r="M173" s="74"/>
      <c r="N173" s="74"/>
      <c r="O173" s="74"/>
      <c r="P173" s="74"/>
      <c r="Q173" s="74"/>
      <c r="R173" s="74"/>
      <c r="S173" s="74"/>
      <c r="T173" s="74"/>
      <c r="U173" s="74"/>
      <c r="V173" s="74"/>
      <c r="W173" s="74"/>
      <c r="X173" s="74"/>
    </row>
    <row r="174" spans="1:31" ht="15.75" customHeight="1" x14ac:dyDescent="0.35">
      <c r="A174" s="510" t="s">
        <v>561</v>
      </c>
      <c r="B174" s="515" t="s">
        <v>553</v>
      </c>
      <c r="C174" s="489" t="s">
        <v>746</v>
      </c>
      <c r="D174" s="516">
        <f>'Расчет базового уровня'!D176-IF('Список мероприятий'!AB38=1,0.1,0)-IF(AND('Система ГВС'!C11=0,'Список мероприятий'!D33=списки!$N$46),0.05,0)</f>
        <v>0.25</v>
      </c>
      <c r="E174" s="74"/>
      <c r="F174" s="74"/>
      <c r="G174" s="74"/>
      <c r="H174" s="74"/>
      <c r="I174" s="74"/>
      <c r="J174" s="74"/>
      <c r="K174" s="74"/>
      <c r="L174" s="74"/>
      <c r="M174" s="74"/>
      <c r="N174" s="74"/>
      <c r="O174" s="74"/>
      <c r="P174" s="74"/>
      <c r="Q174" s="74"/>
      <c r="R174" s="74"/>
      <c r="S174" s="74"/>
      <c r="T174" s="74"/>
      <c r="U174" s="74"/>
      <c r="V174" s="74"/>
      <c r="W174" s="74"/>
      <c r="X174" s="74"/>
    </row>
    <row r="175" spans="1:31" ht="15.75" customHeight="1" x14ac:dyDescent="0.25">
      <c r="A175" s="510" t="s">
        <v>1236</v>
      </c>
      <c r="B175" s="515"/>
      <c r="C175" s="489" t="s">
        <v>1237</v>
      </c>
      <c r="D175" s="516">
        <v>4.2</v>
      </c>
      <c r="E175" s="74"/>
      <c r="F175" s="74"/>
      <c r="G175" s="74"/>
      <c r="H175" s="74"/>
      <c r="I175" s="74"/>
      <c r="J175" s="74"/>
      <c r="K175" s="74"/>
      <c r="L175" s="74"/>
      <c r="M175" s="74"/>
      <c r="N175" s="74"/>
      <c r="O175" s="74"/>
      <c r="P175" s="74"/>
      <c r="Q175" s="74"/>
      <c r="R175" s="74"/>
      <c r="S175" s="74"/>
      <c r="T175" s="74"/>
      <c r="U175" s="74"/>
      <c r="V175" s="74"/>
      <c r="W175" s="74"/>
      <c r="X175" s="74"/>
    </row>
    <row r="176" spans="1:31" ht="15.75" customHeight="1" x14ac:dyDescent="0.25">
      <c r="A176" s="510" t="s">
        <v>913</v>
      </c>
      <c r="B176" s="515" t="s">
        <v>1475</v>
      </c>
      <c r="C176" s="489" t="s">
        <v>562</v>
      </c>
      <c r="D176" s="511">
        <v>20</v>
      </c>
      <c r="E176" s="74"/>
      <c r="F176" s="74"/>
      <c r="G176" s="74"/>
      <c r="H176" s="74"/>
      <c r="I176" s="74"/>
      <c r="J176" s="74"/>
      <c r="K176" s="74"/>
      <c r="L176" s="74"/>
      <c r="M176" s="74"/>
      <c r="N176" s="74"/>
      <c r="O176" s="74"/>
      <c r="P176" s="74"/>
      <c r="Q176" s="74"/>
      <c r="R176" s="74"/>
      <c r="S176" s="74"/>
      <c r="T176" s="74"/>
      <c r="U176" s="74"/>
      <c r="V176" s="74"/>
      <c r="W176" s="74"/>
      <c r="X176" s="74"/>
    </row>
    <row r="177" spans="1:26" ht="15.75" customHeight="1" x14ac:dyDescent="0.25">
      <c r="A177" s="510" t="s">
        <v>914</v>
      </c>
      <c r="B177" s="515" t="s">
        <v>750</v>
      </c>
      <c r="C177" s="489" t="s">
        <v>562</v>
      </c>
      <c r="D177" s="508" t="e">
        <f>'Расчет базового уровня'!D179</f>
        <v>#DIV/0!</v>
      </c>
      <c r="E177" s="74"/>
      <c r="F177" s="74"/>
      <c r="G177" s="74"/>
      <c r="H177" s="74"/>
      <c r="I177" s="74"/>
      <c r="J177" s="74"/>
      <c r="K177" s="74"/>
      <c r="L177" s="74"/>
      <c r="M177" s="74"/>
      <c r="N177" s="74"/>
      <c r="O177" s="74"/>
      <c r="P177" s="74"/>
      <c r="Q177" s="74"/>
      <c r="R177" s="74"/>
      <c r="S177" s="74"/>
      <c r="T177" s="74"/>
      <c r="U177" s="74"/>
      <c r="V177" s="74"/>
      <c r="W177" s="74"/>
      <c r="X177" s="74"/>
    </row>
    <row r="178" spans="1:26" x14ac:dyDescent="0.25">
      <c r="A178" s="510" t="s">
        <v>1563</v>
      </c>
      <c r="B178" s="515"/>
      <c r="C178" s="489" t="s">
        <v>1184</v>
      </c>
      <c r="D178" s="508">
        <f>'Список мероприятий'!$AB$39*IF('Список мероприятий'!$D$41=0,(2*('Ввод исходных данных'!$G$47+'Ввод исходных данных'!$G$48)*IF('Система ГВС'!$F$19=0,IF(списки!$D$32=0,19.4,12.6),IF(списки!$D$32=0,23.7,16.9))+'Ввод исходных данных'!$G$49*IF('Система ГВС'!$F$19=0,12.9,17.7)),('Список мероприятий'!$D$41-'Ввод исходных данных'!$G$49)*IF('Система ГВС'!$F$19=0,IF(списки!$D$32=0,19.4,12.6),IF(списки!$D$32=0,23.7,16.9))+'Ввод исходных данных'!$G$49*IF('Система ГВС'!$F$19=0,12.9,17.7))*8424/1000000</f>
        <v>0</v>
      </c>
      <c r="E178" s="74"/>
      <c r="F178" s="317"/>
      <c r="G178" s="508">
        <f>'Список мероприятий'!$AB$39*IF('Список мероприятий'!$D$41=0,(2*('Ввод исходных данных'!$G$47+'Ввод исходных данных'!$G$48)*IF('Система ГВС'!$F$19=0,IF(списки!$D$32=0,19.4,12.6),IF(списки!$D$32=0,23.7,16.9))+'Ввод исходных данных'!$G$49*IF('Система ГВС'!$F$19=0,12.9,17.7)),('Список мероприятий'!$D$41-'Ввод исходных данных'!$G$49)*IF('Система ГВС'!$F$19=0,IF(списки!$D$32=0,19.4,12.6),IF(списки!$D$32=0,23.7,16.9))+'Ввод исходных данных'!$G$49*IF('Система ГВС'!$F$19=0,12.9,17.7))*G168*24/1000000</f>
        <v>0</v>
      </c>
      <c r="H178" s="508">
        <f>'Список мероприятий'!$AB$39*IF('Список мероприятий'!$D$41=0,(2*('Ввод исходных данных'!$G$47+'Ввод исходных данных'!$G$48)*IF('Система ГВС'!$F$19=0,IF(списки!$D$32=0,19.4,12.6),IF(списки!$D$32=0,23.7,16.9))+'Ввод исходных данных'!$G$49*IF('Система ГВС'!$F$19=0,12.9,17.7)),('Список мероприятий'!$D$41-'Ввод исходных данных'!$G$49)*IF('Система ГВС'!$F$19=0,IF(списки!$D$32=0,19.4,12.6),IF(списки!$D$32=0,23.7,16.9))+'Ввод исходных данных'!$G$49*IF('Система ГВС'!$F$19=0,12.9,17.7))*H168*24/1000000</f>
        <v>0</v>
      </c>
      <c r="I178" s="508">
        <f>'Список мероприятий'!$AB$39*IF('Список мероприятий'!$D$41=0,(2*('Ввод исходных данных'!$G$47+'Ввод исходных данных'!$G$48)*IF('Система ГВС'!$F$19=0,IF(списки!$D$32=0,19.4,12.6),IF(списки!$D$32=0,23.7,16.9))+'Ввод исходных данных'!$G$49*IF('Система ГВС'!$F$19=0,12.9,17.7)),('Список мероприятий'!$D$41-'Ввод исходных данных'!$G$49)*IF('Система ГВС'!$F$19=0,IF(списки!$D$32=0,19.4,12.6),IF(списки!$D$32=0,23.7,16.9))+'Ввод исходных данных'!$G$49*IF('Система ГВС'!$F$19=0,12.9,17.7))*I168*24/1000000</f>
        <v>0</v>
      </c>
      <c r="J178" s="508">
        <f>'Список мероприятий'!$AB$39*IF('Список мероприятий'!$D$41=0,(2*('Ввод исходных данных'!$G$47+'Ввод исходных данных'!$G$48)*IF('Система ГВС'!$F$19=0,IF(списки!$D$32=0,19.4,12.6),IF(списки!$D$32=0,23.7,16.9))+'Ввод исходных данных'!$G$49*IF('Система ГВС'!$F$19=0,12.9,17.7)),('Список мероприятий'!$D$41-'Ввод исходных данных'!$G$49)*IF('Система ГВС'!$F$19=0,IF(списки!$D$32=0,19.4,12.6),IF(списки!$D$32=0,23.7,16.9))+'Ввод исходных данных'!$G$49*IF('Система ГВС'!$F$19=0,12.9,17.7))*J168*24/1000000</f>
        <v>0</v>
      </c>
      <c r="K178" s="508">
        <f>'Список мероприятий'!$AB$39*IF('Список мероприятий'!$D$41=0,(2*('Ввод исходных данных'!$G$47+'Ввод исходных данных'!$G$48)*IF('Система ГВС'!$F$19=0,IF(списки!$D$32=0,19.4,12.6),IF(списки!$D$32=0,23.7,16.9))+'Ввод исходных данных'!$G$49*IF('Система ГВС'!$F$19=0,12.9,17.7)),('Список мероприятий'!$D$41-'Ввод исходных данных'!$G$49)*IF('Система ГВС'!$F$19=0,IF(списки!$D$32=0,19.4,12.6),IF(списки!$D$32=0,23.7,16.9))+'Ввод исходных данных'!$G$49*IF('Система ГВС'!$F$19=0,12.9,17.7))*K168*24/1000000</f>
        <v>0</v>
      </c>
      <c r="L178" s="508">
        <f>'Список мероприятий'!$AB$39*IF('Список мероприятий'!$D$41=0,(2*('Ввод исходных данных'!$G$47+'Ввод исходных данных'!$G$48)*IF('Система ГВС'!$F$19=0,IF(списки!$D$32=0,19.4,12.6),IF(списки!$D$32=0,23.7,16.9))+'Ввод исходных данных'!$G$49*IF('Система ГВС'!$F$19=0,12.9,17.7)),('Список мероприятий'!$D$41-'Ввод исходных данных'!$G$49)*IF('Система ГВС'!$F$19=0,IF(списки!$D$32=0,19.4,12.6),IF(списки!$D$32=0,23.7,16.9))+'Ввод исходных данных'!$G$49*IF('Система ГВС'!$F$19=0,12.9,17.7))*L168*24/1000000</f>
        <v>0</v>
      </c>
      <c r="M178" s="508">
        <f>'Список мероприятий'!$AB$39*IF('Список мероприятий'!$D$41=0,(2*('Ввод исходных данных'!$G$47+'Ввод исходных данных'!$G$48)*IF('Система ГВС'!$F$19=0,IF(списки!$D$32=0,19.4,12.6),IF(списки!$D$32=0,23.7,16.9))+'Ввод исходных данных'!$G$49*IF('Система ГВС'!$F$19=0,12.9,17.7)),('Список мероприятий'!$D$41-'Ввод исходных данных'!$G$49)*IF('Система ГВС'!$F$19=0,IF(списки!$D$32=0,19.4,12.6),IF(списки!$D$32=0,23.7,16.9))+'Ввод исходных данных'!$G$49*IF('Система ГВС'!$F$19=0,12.9,17.7))*M168*24/1000000</f>
        <v>0</v>
      </c>
      <c r="N178" s="508">
        <f>'Список мероприятий'!$AB$39*IF('Список мероприятий'!$D$41=0,(2*('Ввод исходных данных'!$G$47+'Ввод исходных данных'!$G$48)*IF('Система ГВС'!$F$19=0,IF(списки!$D$32=0,19.4,12.6),IF(списки!$D$32=0,23.7,16.9))+'Ввод исходных данных'!$G$49*IF('Система ГВС'!$F$19=0,12.9,17.7)),('Список мероприятий'!$D$41-'Ввод исходных данных'!$G$49)*IF('Система ГВС'!$F$19=0,IF(списки!$D$32=0,19.4,12.6),IF(списки!$D$32=0,23.7,16.9))+'Ввод исходных данных'!$G$49*IF('Система ГВС'!$F$19=0,12.9,17.7))*N168*24/1000000</f>
        <v>0</v>
      </c>
      <c r="O178" s="508">
        <f>'Список мероприятий'!$AB$39*IF('Список мероприятий'!$D$41=0,(2*('Ввод исходных данных'!$G$47+'Ввод исходных данных'!$G$48)*IF('Система ГВС'!$F$19=0,IF(списки!$D$32=0,19.4,12.6),IF(списки!$D$32=0,23.7,16.9))+'Ввод исходных данных'!$G$49*IF('Система ГВС'!$F$19=0,12.9,17.7)),('Список мероприятий'!$D$41-'Ввод исходных данных'!$G$49)*IF('Система ГВС'!$F$19=0,IF(списки!$D$32=0,19.4,12.6),IF(списки!$D$32=0,23.7,16.9))+'Ввод исходных данных'!$G$49*IF('Система ГВС'!$F$19=0,12.9,17.7))*O168*24/1000000</f>
        <v>0</v>
      </c>
      <c r="P178" s="508">
        <f>'Список мероприятий'!$AB$39*IF('Список мероприятий'!$D$41=0,(2*('Ввод исходных данных'!$G$47+'Ввод исходных данных'!$G$48)*IF('Система ГВС'!$F$19=0,IF(списки!$D$32=0,19.4,12.6),IF(списки!$D$32=0,23.7,16.9))+'Ввод исходных данных'!$G$49*IF('Система ГВС'!$F$19=0,12.9,17.7)),('Список мероприятий'!$D$41-'Ввод исходных данных'!$G$49)*IF('Система ГВС'!$F$19=0,IF(списки!$D$32=0,19.4,12.6),IF(списки!$D$32=0,23.7,16.9))+'Ввод исходных данных'!$G$49*IF('Система ГВС'!$F$19=0,12.9,17.7))*P168*24/1000000</f>
        <v>0</v>
      </c>
      <c r="Q178" s="508">
        <f>'Список мероприятий'!$AB$39*IF('Список мероприятий'!$D$41=0,(2*('Ввод исходных данных'!$G$47+'Ввод исходных данных'!$G$48)*IF('Система ГВС'!$F$19=0,IF(списки!$D$32=0,19.4,12.6),IF(списки!$D$32=0,23.7,16.9))+'Ввод исходных данных'!$G$49*IF('Система ГВС'!$F$19=0,12.9,17.7)),('Список мероприятий'!$D$41-'Ввод исходных данных'!$G$49)*IF('Система ГВС'!$F$19=0,IF(списки!$D$32=0,19.4,12.6),IF(списки!$D$32=0,23.7,16.9))+'Ввод исходных данных'!$G$49*IF('Система ГВС'!$F$19=0,12.9,17.7))*Q168*24/1000000</f>
        <v>0</v>
      </c>
      <c r="R178" s="508">
        <f>'Список мероприятий'!$AB$39*IF('Список мероприятий'!$D$41=0,(2*('Ввод исходных данных'!$G$47+'Ввод исходных данных'!$G$48)*IF('Система ГВС'!$F$19=0,IF(списки!$D$32=0,19.4,12.6),IF(списки!$D$32=0,23.7,16.9))+'Ввод исходных данных'!$G$49*IF('Система ГВС'!$F$19=0,12.9,17.7)),('Список мероприятий'!$D$41-'Ввод исходных данных'!$G$49)*IF('Система ГВС'!$F$19=0,IF(списки!$D$32=0,19.4,12.6),IF(списки!$D$32=0,23.7,16.9))+'Ввод исходных данных'!$G$49*IF('Система ГВС'!$F$19=0,12.9,17.7))*R168*24/1000000</f>
        <v>0</v>
      </c>
      <c r="S178" s="74"/>
      <c r="T178" s="74"/>
      <c r="U178" s="74"/>
      <c r="V178" s="74"/>
      <c r="W178" s="74"/>
      <c r="X178" s="74"/>
    </row>
    <row r="179" spans="1:26" x14ac:dyDescent="0.25">
      <c r="A179" s="510" t="s">
        <v>1572</v>
      </c>
      <c r="B179" s="515" t="s">
        <v>1573</v>
      </c>
      <c r="C179" s="489" t="s">
        <v>1579</v>
      </c>
      <c r="D179" s="508" t="e">
        <f>0.28*'Ввод исходных данных'!$G$49*(D181-D182)+0.03*D181*Климатология!$H$2^2</f>
        <v>#N/A</v>
      </c>
      <c r="E179" s="74"/>
      <c r="F179" s="74"/>
      <c r="G179" s="74"/>
      <c r="H179" s="74"/>
      <c r="I179" s="74"/>
      <c r="J179" s="74"/>
      <c r="K179" s="74"/>
      <c r="L179" s="74"/>
      <c r="M179" s="74"/>
      <c r="N179" s="74"/>
      <c r="O179" s="74"/>
      <c r="P179" s="74"/>
      <c r="Q179" s="74"/>
      <c r="R179" s="74"/>
      <c r="S179" s="74"/>
      <c r="T179" s="74"/>
      <c r="U179" s="74"/>
      <c r="V179" s="74"/>
      <c r="W179" s="74"/>
      <c r="X179" s="74"/>
    </row>
    <row r="180" spans="1:26" x14ac:dyDescent="0.25">
      <c r="A180" s="510" t="s">
        <v>1575</v>
      </c>
      <c r="B180" s="515" t="s">
        <v>1574</v>
      </c>
      <c r="C180" s="489" t="s">
        <v>1579</v>
      </c>
      <c r="D180" s="508" t="e">
        <f>0.55*('Ввод исходных данных'!$G$49-1)*(D181-D182)+0.03*D181*Климатология!$H$2^2</f>
        <v>#N/A</v>
      </c>
      <c r="E180" s="74"/>
      <c r="F180" s="74"/>
      <c r="G180" s="74"/>
      <c r="H180" s="74"/>
      <c r="I180" s="74"/>
      <c r="J180" s="74"/>
      <c r="K180" s="74"/>
      <c r="L180" s="74"/>
      <c r="M180" s="74"/>
      <c r="N180" s="74"/>
      <c r="O180" s="74"/>
      <c r="P180" s="74"/>
      <c r="Q180" s="74"/>
      <c r="R180" s="74"/>
      <c r="S180" s="74"/>
      <c r="T180" s="74"/>
      <c r="U180" s="74"/>
      <c r="V180" s="74"/>
      <c r="W180" s="74"/>
      <c r="X180" s="74"/>
    </row>
    <row r="181" spans="1:26" x14ac:dyDescent="0.25">
      <c r="A181" s="510" t="s">
        <v>1576</v>
      </c>
      <c r="B181" s="515"/>
      <c r="C181" s="489" t="s">
        <v>1580</v>
      </c>
      <c r="D181" s="508" t="e">
        <f>3463/(273+Климатология!$F$2)</f>
        <v>#N/A</v>
      </c>
      <c r="E181" s="74"/>
      <c r="F181" s="74"/>
      <c r="G181" s="74"/>
      <c r="H181" s="74"/>
      <c r="I181" s="74"/>
      <c r="J181" s="74"/>
      <c r="K181" s="74"/>
      <c r="L181" s="74"/>
      <c r="M181" s="74"/>
      <c r="N181" s="74"/>
      <c r="O181" s="74"/>
      <c r="P181" s="74"/>
      <c r="Q181" s="74"/>
      <c r="R181" s="74"/>
      <c r="S181" s="74"/>
      <c r="T181" s="74"/>
      <c r="U181" s="74"/>
      <c r="V181" s="74"/>
      <c r="W181" s="74"/>
      <c r="X181" s="74"/>
    </row>
    <row r="182" spans="1:26" x14ac:dyDescent="0.25">
      <c r="A182" s="510" t="s">
        <v>1577</v>
      </c>
      <c r="B182" s="515"/>
      <c r="C182" s="489" t="s">
        <v>1580</v>
      </c>
      <c r="D182" s="508">
        <f>3463/(273+'Ввод исходных данных'!$D$83)</f>
        <v>11.819112627986348</v>
      </c>
      <c r="E182" s="74"/>
      <c r="F182" s="74"/>
      <c r="G182" s="74"/>
      <c r="H182" s="74"/>
      <c r="I182" s="74"/>
      <c r="J182" s="74"/>
      <c r="K182" s="74"/>
      <c r="L182" s="74"/>
      <c r="M182" s="74"/>
      <c r="N182" s="74"/>
      <c r="O182" s="74"/>
      <c r="P182" s="74"/>
      <c r="Q182" s="74"/>
      <c r="R182" s="74"/>
      <c r="S182" s="74"/>
      <c r="T182" s="74"/>
      <c r="U182" s="74"/>
      <c r="V182" s="74"/>
      <c r="W182" s="74"/>
      <c r="X182" s="74"/>
      <c r="Y182" s="74"/>
      <c r="Z182" s="74"/>
    </row>
    <row r="183" spans="1:26" x14ac:dyDescent="0.25">
      <c r="A183" s="510" t="s">
        <v>1571</v>
      </c>
      <c r="B183" s="515"/>
      <c r="C183" s="489" t="s">
        <v>1581</v>
      </c>
      <c r="D183" s="517" t="e">
        <f>IF('Список мероприятий'!AB14=1,0.86,'Расчет базового уровня'!D185)</f>
        <v>#DIV/0!</v>
      </c>
      <c r="E183" s="74"/>
      <c r="F183" s="74"/>
      <c r="G183" s="74"/>
      <c r="H183" s="74"/>
      <c r="I183" s="74"/>
      <c r="J183" s="74"/>
      <c r="K183" s="74"/>
      <c r="L183" s="74"/>
      <c r="M183" s="74"/>
      <c r="N183" s="74"/>
      <c r="O183" s="74"/>
      <c r="P183" s="74"/>
      <c r="Q183" s="74"/>
      <c r="R183" s="74"/>
      <c r="S183" s="74"/>
      <c r="T183" s="74"/>
      <c r="U183" s="74"/>
      <c r="V183" s="74"/>
      <c r="W183" s="74"/>
      <c r="X183" s="74"/>
    </row>
    <row r="184" spans="1:26" x14ac:dyDescent="0.25">
      <c r="A184" s="510" t="s">
        <v>1570</v>
      </c>
      <c r="B184" s="515"/>
      <c r="C184" s="489" t="s">
        <v>1581</v>
      </c>
      <c r="D184" s="517">
        <f>IF('Список мероприятий'!AB73=1,0.16,'Расчет базового уровня'!D186)</f>
        <v>0.14000000000000001</v>
      </c>
      <c r="E184" s="74"/>
      <c r="F184" s="74"/>
      <c r="G184" s="74"/>
      <c r="H184" s="74"/>
      <c r="I184" s="74"/>
      <c r="J184" s="74"/>
      <c r="K184" s="74"/>
      <c r="L184" s="74"/>
      <c r="M184" s="74"/>
      <c r="N184" s="74"/>
      <c r="O184" s="74"/>
      <c r="P184" s="74"/>
      <c r="Q184" s="74"/>
      <c r="R184" s="74"/>
      <c r="S184" s="74"/>
      <c r="T184" s="74"/>
      <c r="U184" s="74"/>
      <c r="V184" s="74"/>
      <c r="W184" s="74"/>
      <c r="X184" s="74"/>
    </row>
    <row r="185" spans="1:26" x14ac:dyDescent="0.25">
      <c r="A185" s="510" t="s">
        <v>1569</v>
      </c>
      <c r="B185" s="515"/>
      <c r="C185" s="489" t="s">
        <v>1582</v>
      </c>
      <c r="D185" s="508" t="e">
        <f>(B136/D183)*(D179/10)^(2/3)</f>
        <v>#DIV/0!</v>
      </c>
      <c r="E185" s="74"/>
      <c r="F185" s="74"/>
      <c r="G185" s="74"/>
      <c r="H185" s="74"/>
      <c r="I185" s="74"/>
      <c r="J185" s="74"/>
      <c r="K185" s="74"/>
      <c r="L185" s="74"/>
      <c r="M185" s="74"/>
      <c r="N185" s="74"/>
      <c r="O185" s="74"/>
      <c r="P185" s="74"/>
      <c r="Q185" s="74"/>
      <c r="R185" s="74"/>
      <c r="S185" s="74"/>
      <c r="T185" s="74"/>
      <c r="U185" s="74"/>
      <c r="V185" s="74"/>
      <c r="W185" s="74"/>
      <c r="X185" s="74"/>
    </row>
    <row r="186" spans="1:26" x14ac:dyDescent="0.25">
      <c r="A186" s="510" t="s">
        <v>1568</v>
      </c>
      <c r="B186" s="515"/>
      <c r="C186" s="489" t="s">
        <v>1582</v>
      </c>
      <c r="D186" s="508" t="e">
        <f>(B143/D184)*(D180/10)^(1/2)</f>
        <v>#N/A</v>
      </c>
      <c r="E186" s="74"/>
      <c r="F186" s="74"/>
      <c r="G186" s="74"/>
      <c r="H186" s="74"/>
      <c r="I186" s="74"/>
      <c r="J186" s="74"/>
      <c r="K186" s="74"/>
      <c r="L186" s="74"/>
      <c r="M186" s="74"/>
      <c r="N186" s="74"/>
      <c r="O186" s="74"/>
      <c r="P186" s="74"/>
      <c r="Q186" s="74"/>
      <c r="R186" s="74"/>
      <c r="S186" s="74"/>
      <c r="T186" s="74"/>
      <c r="U186" s="74"/>
      <c r="V186" s="74"/>
      <c r="W186" s="74"/>
      <c r="X186" s="74"/>
    </row>
    <row r="187" spans="1:26" x14ac:dyDescent="0.25">
      <c r="A187" s="510" t="s">
        <v>1567</v>
      </c>
      <c r="B187" s="515"/>
      <c r="C187" s="489" t="s">
        <v>1582</v>
      </c>
      <c r="D187" s="508" t="e">
        <f>D185+D186</f>
        <v>#DIV/0!</v>
      </c>
      <c r="E187" s="74"/>
      <c r="F187" s="74"/>
      <c r="G187" s="74"/>
      <c r="H187" s="74"/>
      <c r="I187" s="74"/>
      <c r="J187" s="74"/>
      <c r="K187" s="74"/>
      <c r="L187" s="74"/>
      <c r="M187" s="74"/>
      <c r="N187" s="74"/>
      <c r="O187" s="74"/>
      <c r="P187" s="74"/>
      <c r="Q187" s="74"/>
      <c r="R187" s="74"/>
      <c r="S187" s="74"/>
      <c r="T187" s="74"/>
      <c r="U187" s="74"/>
      <c r="V187" s="74"/>
      <c r="W187" s="74"/>
      <c r="X187" s="74"/>
    </row>
    <row r="188" spans="1:26" x14ac:dyDescent="0.25">
      <c r="A188" s="510" t="s">
        <v>1566</v>
      </c>
      <c r="B188" s="515"/>
      <c r="C188" s="489" t="s">
        <v>496</v>
      </c>
      <c r="D188" s="508" t="e">
        <f>0.024*D185*'Расчет базового уровня'!$D$147*0.28</f>
        <v>#DIV/0!</v>
      </c>
      <c r="E188" s="74"/>
      <c r="F188" s="74"/>
      <c r="G188" s="508" t="e">
        <f>0.024*$D$185*G$147*0.28</f>
        <v>#DIV/0!</v>
      </c>
      <c r="H188" s="508" t="e">
        <f t="shared" ref="H188:R188" si="12">0.024*$D$185*H$147*0.28</f>
        <v>#DIV/0!</v>
      </c>
      <c r="I188" s="508" t="e">
        <f t="shared" si="12"/>
        <v>#DIV/0!</v>
      </c>
      <c r="J188" s="508" t="e">
        <f t="shared" si="12"/>
        <v>#DIV/0!</v>
      </c>
      <c r="K188" s="508" t="e">
        <f t="shared" si="12"/>
        <v>#DIV/0!</v>
      </c>
      <c r="L188" s="508" t="e">
        <f t="shared" si="12"/>
        <v>#DIV/0!</v>
      </c>
      <c r="M188" s="508" t="e">
        <f t="shared" si="12"/>
        <v>#DIV/0!</v>
      </c>
      <c r="N188" s="508" t="e">
        <f t="shared" si="12"/>
        <v>#DIV/0!</v>
      </c>
      <c r="O188" s="508" t="e">
        <f t="shared" si="12"/>
        <v>#DIV/0!</v>
      </c>
      <c r="P188" s="508" t="e">
        <f t="shared" si="12"/>
        <v>#DIV/0!</v>
      </c>
      <c r="Q188" s="508" t="e">
        <f t="shared" si="12"/>
        <v>#DIV/0!</v>
      </c>
      <c r="R188" s="508" t="e">
        <f t="shared" si="12"/>
        <v>#DIV/0!</v>
      </c>
      <c r="S188" s="74"/>
      <c r="T188" s="74"/>
      <c r="U188" s="74"/>
      <c r="V188" s="74"/>
      <c r="W188" s="74"/>
      <c r="X188" s="74"/>
    </row>
    <row r="189" spans="1:26" x14ac:dyDescent="0.25">
      <c r="A189" s="510" t="s">
        <v>1565</v>
      </c>
      <c r="B189" s="515"/>
      <c r="C189" s="489" t="s">
        <v>496</v>
      </c>
      <c r="D189" s="508" t="e">
        <f>0.024*D186*'Расчет базового уровня'!$D$147*0.28</f>
        <v>#N/A</v>
      </c>
      <c r="E189" s="74"/>
      <c r="F189" s="74"/>
      <c r="G189" s="508" t="e">
        <f>0.024*$D$186*G$147*0.28</f>
        <v>#N/A</v>
      </c>
      <c r="H189" s="508" t="e">
        <f t="shared" ref="H189:R189" si="13">0.024*$D$186*H$147*0.28</f>
        <v>#N/A</v>
      </c>
      <c r="I189" s="508" t="e">
        <f t="shared" si="13"/>
        <v>#N/A</v>
      </c>
      <c r="J189" s="508" t="e">
        <f t="shared" si="13"/>
        <v>#N/A</v>
      </c>
      <c r="K189" s="508" t="e">
        <f t="shared" si="13"/>
        <v>#N/A</v>
      </c>
      <c r="L189" s="508" t="e">
        <f t="shared" si="13"/>
        <v>#N/A</v>
      </c>
      <c r="M189" s="508" t="e">
        <f t="shared" si="13"/>
        <v>#N/A</v>
      </c>
      <c r="N189" s="508" t="e">
        <f t="shared" si="13"/>
        <v>#N/A</v>
      </c>
      <c r="O189" s="508" t="e">
        <f t="shared" si="13"/>
        <v>#N/A</v>
      </c>
      <c r="P189" s="508" t="e">
        <f t="shared" si="13"/>
        <v>#N/A</v>
      </c>
      <c r="Q189" s="508" t="e">
        <f t="shared" si="13"/>
        <v>#N/A</v>
      </c>
      <c r="R189" s="508" t="e">
        <f t="shared" si="13"/>
        <v>#N/A</v>
      </c>
      <c r="S189" s="74"/>
      <c r="T189" s="74"/>
      <c r="U189" s="74"/>
      <c r="V189" s="74"/>
      <c r="W189" s="74"/>
      <c r="X189" s="74"/>
    </row>
    <row r="190" spans="1:26" x14ac:dyDescent="0.25">
      <c r="A190" s="510" t="s">
        <v>1564</v>
      </c>
      <c r="B190" s="515"/>
      <c r="C190" s="489" t="s">
        <v>496</v>
      </c>
      <c r="D190" s="508" t="e">
        <f>0.024*D187*'Расчет базового уровня'!$D$147*0.28</f>
        <v>#DIV/0!</v>
      </c>
      <c r="E190" s="74"/>
      <c r="F190" s="74"/>
      <c r="G190" s="508" t="e">
        <f>0.024*$D$187*G$147*0.28</f>
        <v>#DIV/0!</v>
      </c>
      <c r="H190" s="508" t="e">
        <f t="shared" ref="H190:R190" si="14">0.024*$D$187*H$147*0.28</f>
        <v>#DIV/0!</v>
      </c>
      <c r="I190" s="508" t="e">
        <f t="shared" si="14"/>
        <v>#DIV/0!</v>
      </c>
      <c r="J190" s="508" t="e">
        <f t="shared" si="14"/>
        <v>#DIV/0!</v>
      </c>
      <c r="K190" s="508" t="e">
        <f t="shared" si="14"/>
        <v>#DIV/0!</v>
      </c>
      <c r="L190" s="508" t="e">
        <f t="shared" si="14"/>
        <v>#DIV/0!</v>
      </c>
      <c r="M190" s="508" t="e">
        <f t="shared" si="14"/>
        <v>#DIV/0!</v>
      </c>
      <c r="N190" s="508" t="e">
        <f t="shared" si="14"/>
        <v>#DIV/0!</v>
      </c>
      <c r="O190" s="508" t="e">
        <f t="shared" si="14"/>
        <v>#DIV/0!</v>
      </c>
      <c r="P190" s="508" t="e">
        <f t="shared" si="14"/>
        <v>#DIV/0!</v>
      </c>
      <c r="Q190" s="508" t="e">
        <f t="shared" si="14"/>
        <v>#DIV/0!</v>
      </c>
      <c r="R190" s="508" t="e">
        <f t="shared" si="14"/>
        <v>#DIV/0!</v>
      </c>
      <c r="S190" s="74"/>
      <c r="T190" s="74"/>
      <c r="U190" s="74"/>
      <c r="V190" s="74"/>
      <c r="W190" s="74"/>
      <c r="X190" s="74"/>
    </row>
    <row r="191" spans="1:26" x14ac:dyDescent="0.25">
      <c r="A191" s="74"/>
      <c r="B191" s="74"/>
      <c r="C191" s="74"/>
      <c r="D191" s="74"/>
      <c r="E191" s="74"/>
      <c r="F191" s="74"/>
      <c r="G191" s="74"/>
      <c r="H191" s="74"/>
      <c r="I191" s="74"/>
      <c r="J191" s="74"/>
      <c r="K191" s="74"/>
      <c r="L191" s="74"/>
      <c r="M191" s="74"/>
      <c r="N191" s="74"/>
      <c r="O191" s="74"/>
      <c r="P191" s="74"/>
      <c r="Q191" s="74"/>
      <c r="R191" s="74"/>
      <c r="S191" s="74"/>
      <c r="T191" s="74"/>
      <c r="U191" s="74"/>
      <c r="V191" s="74"/>
      <c r="W191" s="74"/>
      <c r="X191" s="74"/>
    </row>
    <row r="192" spans="1:26" x14ac:dyDescent="0.25">
      <c r="A192" s="74"/>
      <c r="B192" s="74"/>
      <c r="C192" s="74"/>
      <c r="D192" s="74"/>
      <c r="E192" s="74"/>
      <c r="F192" s="74"/>
      <c r="G192" s="74"/>
      <c r="H192" s="74"/>
      <c r="I192" s="74"/>
      <c r="J192" s="74"/>
      <c r="K192" s="74"/>
      <c r="L192" s="74"/>
      <c r="M192" s="74"/>
      <c r="N192" s="74"/>
      <c r="O192" s="74"/>
      <c r="P192" s="74"/>
      <c r="Q192" s="74"/>
      <c r="R192" s="74"/>
      <c r="S192" s="74"/>
      <c r="T192" s="74"/>
      <c r="U192" s="74"/>
      <c r="V192" s="74"/>
      <c r="W192" s="74"/>
      <c r="X192" s="74"/>
    </row>
    <row r="193" spans="1:24" x14ac:dyDescent="0.25">
      <c r="A193" s="74"/>
      <c r="B193" s="74"/>
      <c r="C193" s="74"/>
      <c r="D193" s="74"/>
      <c r="E193" s="74"/>
      <c r="F193" s="74"/>
      <c r="G193" s="74"/>
      <c r="H193" s="74"/>
      <c r="I193" s="74"/>
      <c r="J193" s="74"/>
      <c r="K193" s="74"/>
      <c r="L193" s="74"/>
      <c r="M193" s="74"/>
      <c r="N193" s="74"/>
      <c r="O193" s="74"/>
      <c r="P193" s="74"/>
      <c r="Q193" s="74"/>
      <c r="R193" s="74"/>
      <c r="S193" s="74"/>
      <c r="T193" s="74"/>
      <c r="U193" s="74"/>
      <c r="V193" s="74"/>
      <c r="W193" s="74"/>
      <c r="X193" s="74"/>
    </row>
    <row r="194" spans="1:24" x14ac:dyDescent="0.25">
      <c r="A194" s="74"/>
      <c r="B194" s="74"/>
      <c r="C194" s="74"/>
      <c r="D194" s="74"/>
      <c r="E194" s="74"/>
      <c r="F194" s="74"/>
      <c r="G194" s="74"/>
      <c r="H194" s="74"/>
      <c r="I194" s="74"/>
      <c r="J194" s="74"/>
      <c r="K194" s="74"/>
      <c r="L194" s="74"/>
      <c r="M194" s="74"/>
      <c r="N194" s="74"/>
      <c r="O194" s="74"/>
      <c r="P194" s="74"/>
      <c r="Q194" s="74"/>
      <c r="R194" s="74"/>
      <c r="S194" s="74"/>
      <c r="T194" s="74"/>
      <c r="U194" s="74"/>
      <c r="V194" s="74"/>
      <c r="W194" s="74"/>
      <c r="X194" s="74"/>
    </row>
    <row r="195" spans="1:24" x14ac:dyDescent="0.25">
      <c r="A195" s="74"/>
      <c r="B195" s="74"/>
      <c r="C195" s="74"/>
      <c r="D195" s="74"/>
      <c r="E195" s="74"/>
      <c r="F195" s="74"/>
      <c r="G195" s="74"/>
      <c r="H195" s="74"/>
      <c r="I195" s="74"/>
      <c r="J195" s="74"/>
      <c r="K195" s="74"/>
      <c r="L195" s="74"/>
      <c r="M195" s="74"/>
      <c r="N195" s="74"/>
      <c r="O195" s="74"/>
      <c r="P195" s="74"/>
      <c r="Q195" s="74"/>
      <c r="R195" s="74"/>
      <c r="S195" s="74"/>
      <c r="T195" s="74"/>
      <c r="U195" s="74"/>
      <c r="V195" s="74"/>
      <c r="W195" s="74"/>
      <c r="X195" s="74"/>
    </row>
    <row r="196" spans="1:24" x14ac:dyDescent="0.25">
      <c r="A196" s="74"/>
      <c r="B196" s="74"/>
      <c r="C196" s="74"/>
      <c r="D196" s="74"/>
      <c r="E196" s="74"/>
      <c r="F196" s="74"/>
      <c r="G196" s="74"/>
      <c r="H196" s="74"/>
      <c r="I196" s="74"/>
      <c r="J196" s="74"/>
      <c r="K196" s="74"/>
      <c r="L196" s="74"/>
      <c r="M196" s="74"/>
      <c r="N196" s="74"/>
      <c r="O196" s="74"/>
      <c r="P196" s="74"/>
      <c r="Q196" s="74"/>
      <c r="R196" s="74"/>
      <c r="S196" s="74"/>
      <c r="T196" s="74"/>
      <c r="U196" s="74"/>
      <c r="V196" s="74"/>
      <c r="W196" s="74"/>
      <c r="X196" s="74"/>
    </row>
  </sheetData>
  <sheetProtection algorithmName="SHA-512" hashValue="0Wz9r0z/nHY9LrZMNO7pJLip7N+6Y49mnzMznvdYohvFoM0EgTr2WmgSVhw1PolvfaAdSErtlJ7EUHj1jOCysw==" saltValue="PowmoJudgs/WH/0YvyLMtw==" spinCount="100000" sheet="1" objects="1" scenarios="1" selectLockedCells="1"/>
  <mergeCells count="65">
    <mergeCell ref="A3:E3"/>
    <mergeCell ref="A4:A5"/>
    <mergeCell ref="B4:B5"/>
    <mergeCell ref="D4:D5"/>
    <mergeCell ref="C4:C5"/>
    <mergeCell ref="A32:D32"/>
    <mergeCell ref="A33:A34"/>
    <mergeCell ref="B33:B34"/>
    <mergeCell ref="D33:D34"/>
    <mergeCell ref="C33:C34"/>
    <mergeCell ref="G33:G34"/>
    <mergeCell ref="H33:H34"/>
    <mergeCell ref="Q4:R4"/>
    <mergeCell ref="S4:T4"/>
    <mergeCell ref="I33:J33"/>
    <mergeCell ref="K33:L33"/>
    <mergeCell ref="M33:N33"/>
    <mergeCell ref="O33:P33"/>
    <mergeCell ref="Q33:R33"/>
    <mergeCell ref="S33:T33"/>
    <mergeCell ref="O4:P4"/>
    <mergeCell ref="G4:G5"/>
    <mergeCell ref="H4:H5"/>
    <mergeCell ref="I4:J4"/>
    <mergeCell ref="K4:L4"/>
    <mergeCell ref="M4:N4"/>
    <mergeCell ref="U4:V4"/>
    <mergeCell ref="W4:X4"/>
    <mergeCell ref="Y4:Z4"/>
    <mergeCell ref="AA4:AB4"/>
    <mergeCell ref="AE33:AF33"/>
    <mergeCell ref="U33:V33"/>
    <mergeCell ref="W33:X33"/>
    <mergeCell ref="Y33:Z33"/>
    <mergeCell ref="AA33:AB33"/>
    <mergeCell ref="AC33:AD33"/>
    <mergeCell ref="AC4:AD4"/>
    <mergeCell ref="AE4:AF4"/>
    <mergeCell ref="A82:D82"/>
    <mergeCell ref="A83:A84"/>
    <mergeCell ref="B83:B84"/>
    <mergeCell ref="D83:D84"/>
    <mergeCell ref="C83:C84"/>
    <mergeCell ref="I98:J98"/>
    <mergeCell ref="H83:H84"/>
    <mergeCell ref="A97:D97"/>
    <mergeCell ref="A98:A99"/>
    <mergeCell ref="B98:B99"/>
    <mergeCell ref="D98:D99"/>
    <mergeCell ref="C98:C99"/>
    <mergeCell ref="G98:G99"/>
    <mergeCell ref="H98:H99"/>
    <mergeCell ref="G83:G84"/>
    <mergeCell ref="I83:J83"/>
    <mergeCell ref="K83:L83"/>
    <mergeCell ref="M83:N83"/>
    <mergeCell ref="O83:P83"/>
    <mergeCell ref="Q83:R83"/>
    <mergeCell ref="S83:T83"/>
    <mergeCell ref="AE83:AF83"/>
    <mergeCell ref="U83:V83"/>
    <mergeCell ref="W83:X83"/>
    <mergeCell ref="Y83:Z83"/>
    <mergeCell ref="AA83:AB83"/>
    <mergeCell ref="AC83:AD83"/>
  </mergeCells>
  <pageMargins left="0.7" right="0.7" top="0.75" bottom="0.75" header="0.3" footer="0.3"/>
  <drawing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Лист14"/>
  <dimension ref="A1:K73"/>
  <sheetViews>
    <sheetView workbookViewId="0">
      <selection activeCell="B77" sqref="B77:E77"/>
    </sheetView>
  </sheetViews>
  <sheetFormatPr defaultColWidth="9.140625" defaultRowHeight="15" x14ac:dyDescent="0.25"/>
  <cols>
    <col min="1" max="1" width="47" style="75" customWidth="1"/>
    <col min="2" max="2" width="9.140625" style="75"/>
    <col min="3" max="3" width="44" style="75" customWidth="1"/>
    <col min="4" max="16384" width="9.140625" style="75"/>
  </cols>
  <sheetData>
    <row r="1" spans="1:11" x14ac:dyDescent="0.25">
      <c r="C1" s="75">
        <v>1</v>
      </c>
      <c r="D1" s="75">
        <v>2</v>
      </c>
      <c r="E1" s="75">
        <v>3</v>
      </c>
      <c r="F1" s="75">
        <v>4</v>
      </c>
      <c r="G1" s="74"/>
      <c r="H1" s="74"/>
      <c r="I1" s="74"/>
      <c r="J1" s="74"/>
      <c r="K1" s="74"/>
    </row>
    <row r="2" spans="1:11" s="240" customFormat="1" ht="135" x14ac:dyDescent="0.25">
      <c r="A2" s="284" t="s">
        <v>901</v>
      </c>
      <c r="B2" s="284" t="s">
        <v>1302</v>
      </c>
      <c r="C2" s="284" t="s">
        <v>1380</v>
      </c>
      <c r="D2" s="284" t="s">
        <v>1303</v>
      </c>
      <c r="E2" s="284" t="s">
        <v>1623</v>
      </c>
      <c r="F2" s="284" t="s">
        <v>1622</v>
      </c>
      <c r="G2" s="74"/>
      <c r="H2" s="74"/>
      <c r="I2" s="74"/>
      <c r="J2" s="74"/>
      <c r="K2" s="74"/>
    </row>
    <row r="3" spans="1:11" x14ac:dyDescent="0.25">
      <c r="A3" s="95" t="s">
        <v>1248</v>
      </c>
      <c r="B3" s="95">
        <v>5</v>
      </c>
      <c r="C3" s="95" t="str">
        <f>CONCATENATE(A3,B3)</f>
        <v>минеральная вата (штукатурный фасад)5</v>
      </c>
      <c r="D3" s="285">
        <f>B3/0.042/100</f>
        <v>1.1904761904761905</v>
      </c>
      <c r="E3" s="286">
        <f>6350*B3/100</f>
        <v>317.5</v>
      </c>
      <c r="F3" s="95">
        <v>900</v>
      </c>
      <c r="G3" s="74"/>
      <c r="H3" s="74"/>
      <c r="I3" s="74"/>
      <c r="J3" s="74"/>
      <c r="K3" s="74"/>
    </row>
    <row r="4" spans="1:11" x14ac:dyDescent="0.25">
      <c r="A4" s="95" t="s">
        <v>1248</v>
      </c>
      <c r="B4" s="95">
        <v>10</v>
      </c>
      <c r="C4" s="95" t="str">
        <f t="shared" ref="C4:C36" si="0">CONCATENATE(A4,B4)</f>
        <v>минеральная вата (штукатурный фасад)10</v>
      </c>
      <c r="D4" s="285">
        <f t="shared" ref="D4:D8" si="1">B4/0.042/100</f>
        <v>2.3809523809523809</v>
      </c>
      <c r="E4" s="286">
        <f>6350*B4/100</f>
        <v>635</v>
      </c>
      <c r="F4" s="95">
        <v>900</v>
      </c>
      <c r="G4" s="74"/>
      <c r="H4" s="74"/>
      <c r="I4" s="74"/>
      <c r="J4" s="74"/>
      <c r="K4" s="74"/>
    </row>
    <row r="5" spans="1:11" x14ac:dyDescent="0.25">
      <c r="A5" s="95" t="s">
        <v>1248</v>
      </c>
      <c r="B5" s="95">
        <v>15</v>
      </c>
      <c r="C5" s="95" t="str">
        <f t="shared" si="0"/>
        <v>минеральная вата (штукатурный фасад)15</v>
      </c>
      <c r="D5" s="285">
        <f t="shared" si="1"/>
        <v>3.5714285714285712</v>
      </c>
      <c r="E5" s="286">
        <f>6350*B5/100</f>
        <v>952.5</v>
      </c>
      <c r="F5" s="95">
        <v>900</v>
      </c>
      <c r="G5" s="74"/>
      <c r="H5" s="74"/>
      <c r="I5" s="74"/>
      <c r="J5" s="74"/>
      <c r="K5" s="74"/>
    </row>
    <row r="6" spans="1:11" x14ac:dyDescent="0.25">
      <c r="A6" s="95" t="s">
        <v>1248</v>
      </c>
      <c r="B6" s="95">
        <v>20</v>
      </c>
      <c r="C6" s="95" t="str">
        <f t="shared" si="0"/>
        <v>минеральная вата (штукатурный фасад)20</v>
      </c>
      <c r="D6" s="285">
        <f t="shared" si="1"/>
        <v>4.7619047619047619</v>
      </c>
      <c r="E6" s="286">
        <f t="shared" ref="E6:E8" si="2">6350*B6/100</f>
        <v>1270</v>
      </c>
      <c r="F6" s="95">
        <v>900</v>
      </c>
      <c r="G6" s="74"/>
      <c r="H6" s="74"/>
      <c r="I6" s="74"/>
      <c r="J6" s="74"/>
      <c r="K6" s="74"/>
    </row>
    <row r="7" spans="1:11" x14ac:dyDescent="0.25">
      <c r="A7" s="95" t="s">
        <v>1248</v>
      </c>
      <c r="B7" s="95">
        <v>25</v>
      </c>
      <c r="C7" s="95" t="str">
        <f t="shared" si="0"/>
        <v>минеральная вата (штукатурный фасад)25</v>
      </c>
      <c r="D7" s="285">
        <f t="shared" si="1"/>
        <v>5.9523809523809517</v>
      </c>
      <c r="E7" s="286">
        <f t="shared" si="2"/>
        <v>1587.5</v>
      </c>
      <c r="F7" s="95">
        <v>900</v>
      </c>
      <c r="G7" s="74"/>
      <c r="H7" s="74"/>
      <c r="I7" s="74"/>
      <c r="J7" s="74"/>
      <c r="K7" s="74"/>
    </row>
    <row r="8" spans="1:11" x14ac:dyDescent="0.25">
      <c r="A8" s="95" t="s">
        <v>1248</v>
      </c>
      <c r="B8" s="95">
        <v>30</v>
      </c>
      <c r="C8" s="95" t="str">
        <f t="shared" si="0"/>
        <v>минеральная вата (штукатурный фасад)30</v>
      </c>
      <c r="D8" s="285">
        <f t="shared" si="1"/>
        <v>7.1428571428571423</v>
      </c>
      <c r="E8" s="286">
        <f t="shared" si="2"/>
        <v>1905</v>
      </c>
      <c r="F8" s="95">
        <v>900</v>
      </c>
      <c r="G8" s="74"/>
      <c r="H8" s="74"/>
      <c r="I8" s="74"/>
      <c r="J8" s="74"/>
      <c r="K8" s="74"/>
    </row>
    <row r="9" spans="1:11" x14ac:dyDescent="0.25">
      <c r="A9" s="95" t="s">
        <v>1249</v>
      </c>
      <c r="B9" s="95">
        <v>5</v>
      </c>
      <c r="C9" s="95" t="str">
        <f t="shared" si="0"/>
        <v>плиты пенополистирол (штукатурный фасад)5</v>
      </c>
      <c r="D9" s="285">
        <f t="shared" ref="D9:D14" si="3">B9/100/0.045</f>
        <v>1.1111111111111112</v>
      </c>
      <c r="E9" s="95">
        <f t="shared" ref="E9:E14" si="4">B9/100*2000</f>
        <v>100</v>
      </c>
      <c r="F9" s="95">
        <v>900</v>
      </c>
      <c r="G9" s="74"/>
      <c r="H9" s="74"/>
      <c r="I9" s="74"/>
      <c r="J9" s="74"/>
      <c r="K9" s="74"/>
    </row>
    <row r="10" spans="1:11" x14ac:dyDescent="0.25">
      <c r="A10" s="95" t="s">
        <v>1249</v>
      </c>
      <c r="B10" s="95">
        <v>10</v>
      </c>
      <c r="C10" s="95" t="str">
        <f t="shared" si="0"/>
        <v>плиты пенополистирол (штукатурный фасад)10</v>
      </c>
      <c r="D10" s="285">
        <f t="shared" si="3"/>
        <v>2.2222222222222223</v>
      </c>
      <c r="E10" s="95">
        <f t="shared" si="4"/>
        <v>200</v>
      </c>
      <c r="F10" s="95">
        <v>900</v>
      </c>
      <c r="G10" s="74"/>
      <c r="H10" s="74"/>
      <c r="I10" s="74"/>
      <c r="J10" s="74"/>
      <c r="K10" s="74"/>
    </row>
    <row r="11" spans="1:11" x14ac:dyDescent="0.25">
      <c r="A11" s="95" t="s">
        <v>1249</v>
      </c>
      <c r="B11" s="95">
        <v>15</v>
      </c>
      <c r="C11" s="95" t="str">
        <f t="shared" si="0"/>
        <v>плиты пенополистирол (штукатурный фасад)15</v>
      </c>
      <c r="D11" s="285">
        <f t="shared" si="3"/>
        <v>3.3333333333333335</v>
      </c>
      <c r="E11" s="95">
        <f t="shared" si="4"/>
        <v>300</v>
      </c>
      <c r="F11" s="95">
        <v>900</v>
      </c>
      <c r="G11" s="74"/>
      <c r="H11" s="74"/>
      <c r="I11" s="74"/>
      <c r="J11" s="74"/>
      <c r="K11" s="74"/>
    </row>
    <row r="12" spans="1:11" x14ac:dyDescent="0.25">
      <c r="A12" s="95" t="s">
        <v>1249</v>
      </c>
      <c r="B12" s="95">
        <v>20</v>
      </c>
      <c r="C12" s="95" t="str">
        <f t="shared" ref="C12:C14" si="5">CONCATENATE(A12,B12)</f>
        <v>плиты пенополистирол (штукатурный фасад)20</v>
      </c>
      <c r="D12" s="285">
        <f t="shared" si="3"/>
        <v>4.4444444444444446</v>
      </c>
      <c r="E12" s="95">
        <f t="shared" si="4"/>
        <v>400</v>
      </c>
      <c r="F12" s="95">
        <v>900</v>
      </c>
      <c r="G12" s="74"/>
      <c r="H12" s="74"/>
      <c r="I12" s="74"/>
      <c r="J12" s="74"/>
      <c r="K12" s="74"/>
    </row>
    <row r="13" spans="1:11" x14ac:dyDescent="0.25">
      <c r="A13" s="95" t="s">
        <v>1249</v>
      </c>
      <c r="B13" s="95">
        <v>25</v>
      </c>
      <c r="C13" s="95" t="str">
        <f t="shared" si="5"/>
        <v>плиты пенополистирол (штукатурный фасад)25</v>
      </c>
      <c r="D13" s="285">
        <f t="shared" si="3"/>
        <v>5.5555555555555554</v>
      </c>
      <c r="E13" s="95">
        <f t="shared" si="4"/>
        <v>500</v>
      </c>
      <c r="F13" s="95">
        <v>900</v>
      </c>
      <c r="G13" s="74"/>
      <c r="H13" s="74"/>
      <c r="I13" s="74"/>
      <c r="J13" s="74"/>
      <c r="K13" s="74"/>
    </row>
    <row r="14" spans="1:11" x14ac:dyDescent="0.25">
      <c r="A14" s="95" t="s">
        <v>1249</v>
      </c>
      <c r="B14" s="95">
        <v>30</v>
      </c>
      <c r="C14" s="95" t="str">
        <f t="shared" si="5"/>
        <v>плиты пенополистирол (штукатурный фасад)30</v>
      </c>
      <c r="D14" s="285">
        <f t="shared" si="3"/>
        <v>6.666666666666667</v>
      </c>
      <c r="E14" s="95">
        <f t="shared" si="4"/>
        <v>600</v>
      </c>
      <c r="F14" s="95">
        <v>900</v>
      </c>
      <c r="G14" s="74"/>
      <c r="H14" s="74"/>
      <c r="I14" s="74"/>
      <c r="J14" s="74"/>
      <c r="K14" s="74"/>
    </row>
    <row r="15" spans="1:11" x14ac:dyDescent="0.25">
      <c r="A15" s="95" t="s">
        <v>1530</v>
      </c>
      <c r="B15" s="95">
        <v>5</v>
      </c>
      <c r="C15" s="95" t="str">
        <f t="shared" si="0"/>
        <v>панели "Неопорм"5</v>
      </c>
      <c r="D15" s="285">
        <f>B15/100/0.053</f>
        <v>0.94339622641509446</v>
      </c>
      <c r="E15" s="95">
        <v>1300</v>
      </c>
      <c r="F15" s="95">
        <v>900</v>
      </c>
      <c r="G15" s="74"/>
      <c r="H15" s="74"/>
      <c r="I15" s="74"/>
      <c r="J15" s="74"/>
      <c r="K15" s="74"/>
    </row>
    <row r="16" spans="1:11" x14ac:dyDescent="0.25">
      <c r="A16" s="95" t="s">
        <v>1530</v>
      </c>
      <c r="B16" s="95">
        <v>10</v>
      </c>
      <c r="C16" s="95" t="str">
        <f t="shared" si="0"/>
        <v>панели "Неопорм"10</v>
      </c>
      <c r="D16" s="285">
        <f t="shared" ref="D16:D20" si="6">B16/100/0.053</f>
        <v>1.8867924528301889</v>
      </c>
      <c r="E16" s="95">
        <f>E15/B15*B16</f>
        <v>2600</v>
      </c>
      <c r="F16" s="95">
        <v>900</v>
      </c>
      <c r="G16" s="74"/>
      <c r="H16" s="74"/>
      <c r="I16" s="74"/>
      <c r="J16" s="74"/>
      <c r="K16" s="74"/>
    </row>
    <row r="17" spans="1:11" x14ac:dyDescent="0.25">
      <c r="A17" s="95" t="s">
        <v>1530</v>
      </c>
      <c r="B17" s="95">
        <v>15</v>
      </c>
      <c r="C17" s="95" t="str">
        <f t="shared" si="0"/>
        <v>панели "Неопорм"15</v>
      </c>
      <c r="D17" s="285">
        <f t="shared" si="6"/>
        <v>2.8301886792452828</v>
      </c>
      <c r="E17" s="95">
        <f>E16/B16*B17</f>
        <v>3900</v>
      </c>
      <c r="F17" s="95">
        <v>900</v>
      </c>
      <c r="G17" s="74"/>
      <c r="H17" s="74"/>
      <c r="I17" s="74"/>
      <c r="J17" s="74"/>
      <c r="K17" s="74"/>
    </row>
    <row r="18" spans="1:11" x14ac:dyDescent="0.25">
      <c r="A18" s="95" t="s">
        <v>1530</v>
      </c>
      <c r="B18" s="95">
        <v>20</v>
      </c>
      <c r="C18" s="95" t="str">
        <f t="shared" si="0"/>
        <v>панели "Неопорм"20</v>
      </c>
      <c r="D18" s="285">
        <f t="shared" si="6"/>
        <v>3.7735849056603779</v>
      </c>
      <c r="E18" s="95">
        <f>E17/B17*B18</f>
        <v>5200</v>
      </c>
      <c r="F18" s="95">
        <v>900</v>
      </c>
      <c r="G18" s="74"/>
      <c r="H18" s="74"/>
      <c r="I18" s="74"/>
      <c r="J18" s="74"/>
      <c r="K18" s="74"/>
    </row>
    <row r="19" spans="1:11" x14ac:dyDescent="0.25">
      <c r="A19" s="95" t="s">
        <v>1530</v>
      </c>
      <c r="B19" s="95">
        <v>25</v>
      </c>
      <c r="C19" s="95" t="str">
        <f t="shared" si="0"/>
        <v>панели "Неопорм"25</v>
      </c>
      <c r="D19" s="285">
        <f t="shared" si="6"/>
        <v>4.716981132075472</v>
      </c>
      <c r="E19" s="95">
        <f t="shared" ref="E19:E20" si="7">E18/B18*B19</f>
        <v>6500</v>
      </c>
      <c r="F19" s="95">
        <v>900</v>
      </c>
      <c r="G19" s="74"/>
      <c r="H19" s="74"/>
      <c r="I19" s="74"/>
      <c r="J19" s="74"/>
      <c r="K19" s="74"/>
    </row>
    <row r="20" spans="1:11" x14ac:dyDescent="0.25">
      <c r="A20" s="95" t="s">
        <v>1530</v>
      </c>
      <c r="B20" s="95">
        <v>30</v>
      </c>
      <c r="C20" s="95" t="str">
        <f t="shared" si="0"/>
        <v>панели "Неопорм"30</v>
      </c>
      <c r="D20" s="285">
        <f t="shared" si="6"/>
        <v>5.6603773584905657</v>
      </c>
      <c r="E20" s="95">
        <f t="shared" si="7"/>
        <v>7800</v>
      </c>
      <c r="F20" s="95">
        <v>900</v>
      </c>
      <c r="G20" s="74"/>
      <c r="H20" s="74"/>
      <c r="I20" s="74"/>
      <c r="J20" s="74"/>
      <c r="K20" s="74"/>
    </row>
    <row r="21" spans="1:11" x14ac:dyDescent="0.25">
      <c r="A21" s="95" t="s">
        <v>1254</v>
      </c>
      <c r="B21" s="95">
        <v>5</v>
      </c>
      <c r="C21" s="95" t="str">
        <f t="shared" si="0"/>
        <v>рыхлые засыпки (гравий керамзитовый)5</v>
      </c>
      <c r="D21" s="285">
        <f>B21/100/0.15</f>
        <v>0.33333333333333337</v>
      </c>
      <c r="E21" s="95">
        <f>2500*B21/100</f>
        <v>125</v>
      </c>
      <c r="F21" s="95"/>
      <c r="G21" s="74"/>
      <c r="H21" s="74"/>
      <c r="I21" s="74"/>
      <c r="J21" s="74"/>
      <c r="K21" s="74"/>
    </row>
    <row r="22" spans="1:11" x14ac:dyDescent="0.25">
      <c r="A22" s="95" t="s">
        <v>1254</v>
      </c>
      <c r="B22" s="95">
        <v>10</v>
      </c>
      <c r="C22" s="95" t="str">
        <f t="shared" si="0"/>
        <v>рыхлые засыпки (гравий керамзитовый)10</v>
      </c>
      <c r="D22" s="285">
        <f t="shared" ref="D22:D26" si="8">B22/100/0.15</f>
        <v>0.66666666666666674</v>
      </c>
      <c r="E22" s="95">
        <f>2500*B22/100</f>
        <v>250</v>
      </c>
      <c r="F22" s="95"/>
      <c r="G22" s="74"/>
      <c r="H22" s="74"/>
      <c r="I22" s="74"/>
      <c r="J22" s="74"/>
      <c r="K22" s="74"/>
    </row>
    <row r="23" spans="1:11" x14ac:dyDescent="0.25">
      <c r="A23" s="95" t="s">
        <v>1254</v>
      </c>
      <c r="B23" s="95">
        <v>15</v>
      </c>
      <c r="C23" s="95" t="str">
        <f t="shared" si="0"/>
        <v>рыхлые засыпки (гравий керамзитовый)15</v>
      </c>
      <c r="D23" s="285">
        <f t="shared" si="8"/>
        <v>1</v>
      </c>
      <c r="E23" s="95">
        <f>2500*B23/100</f>
        <v>375</v>
      </c>
      <c r="F23" s="95"/>
      <c r="G23" s="74"/>
      <c r="H23" s="74"/>
      <c r="I23" s="74"/>
      <c r="J23" s="74"/>
      <c r="K23" s="74"/>
    </row>
    <row r="24" spans="1:11" x14ac:dyDescent="0.25">
      <c r="A24" s="95" t="s">
        <v>1254</v>
      </c>
      <c r="B24" s="95">
        <v>20</v>
      </c>
      <c r="C24" s="95" t="str">
        <f t="shared" si="0"/>
        <v>рыхлые засыпки (гравий керамзитовый)20</v>
      </c>
      <c r="D24" s="285">
        <f t="shared" si="8"/>
        <v>1.3333333333333335</v>
      </c>
      <c r="E24" s="95">
        <f t="shared" ref="E24:E26" si="9">2500*B24/100</f>
        <v>500</v>
      </c>
      <c r="F24" s="95"/>
      <c r="G24" s="74"/>
      <c r="H24" s="74"/>
      <c r="I24" s="74"/>
      <c r="J24" s="74"/>
      <c r="K24" s="74"/>
    </row>
    <row r="25" spans="1:11" x14ac:dyDescent="0.25">
      <c r="A25" s="95" t="s">
        <v>1254</v>
      </c>
      <c r="B25" s="95">
        <v>25</v>
      </c>
      <c r="C25" s="95" t="str">
        <f t="shared" si="0"/>
        <v>рыхлые засыпки (гравий керамзитовый)25</v>
      </c>
      <c r="D25" s="285">
        <f t="shared" si="8"/>
        <v>1.6666666666666667</v>
      </c>
      <c r="E25" s="95">
        <f t="shared" si="9"/>
        <v>625</v>
      </c>
      <c r="F25" s="95"/>
      <c r="G25" s="74"/>
      <c r="H25" s="74"/>
      <c r="I25" s="74"/>
      <c r="J25" s="74"/>
      <c r="K25" s="74"/>
    </row>
    <row r="26" spans="1:11" x14ac:dyDescent="0.25">
      <c r="A26" s="95" t="s">
        <v>1254</v>
      </c>
      <c r="B26" s="95">
        <v>30</v>
      </c>
      <c r="C26" s="95" t="str">
        <f t="shared" si="0"/>
        <v>рыхлые засыпки (гравий керамзитовый)30</v>
      </c>
      <c r="D26" s="285">
        <f t="shared" si="8"/>
        <v>2</v>
      </c>
      <c r="E26" s="95">
        <f t="shared" si="9"/>
        <v>750</v>
      </c>
      <c r="F26" s="95"/>
      <c r="G26" s="74"/>
      <c r="H26" s="74"/>
      <c r="I26" s="74"/>
      <c r="J26" s="74"/>
      <c r="K26" s="74"/>
    </row>
    <row r="27" spans="1:11" x14ac:dyDescent="0.25">
      <c r="A27" s="95" t="s">
        <v>1250</v>
      </c>
      <c r="B27" s="95">
        <v>5</v>
      </c>
      <c r="C27" s="95" t="str">
        <f t="shared" si="0"/>
        <v>вентилируемый навесной фасад5</v>
      </c>
      <c r="D27" s="285">
        <f>B27/100/0.04*0.59+0.13</f>
        <v>0.86749999999999994</v>
      </c>
      <c r="E27" s="95">
        <f>4022*B27/100</f>
        <v>201.1</v>
      </c>
      <c r="F27" s="95">
        <f>3000</f>
        <v>3000</v>
      </c>
      <c r="G27" s="74"/>
      <c r="H27" s="74"/>
      <c r="I27" s="74"/>
      <c r="J27" s="74"/>
      <c r="K27" s="74"/>
    </row>
    <row r="28" spans="1:11" x14ac:dyDescent="0.25">
      <c r="A28" s="95" t="s">
        <v>1250</v>
      </c>
      <c r="B28" s="95">
        <v>10</v>
      </c>
      <c r="C28" s="95" t="str">
        <f t="shared" ref="C28:C29" si="10">CONCATENATE(A28,B28)</f>
        <v>вентилируемый навесной фасад10</v>
      </c>
      <c r="D28" s="285">
        <f t="shared" ref="D28:D29" si="11">B28/100/0.04*0.59+0.13</f>
        <v>1.605</v>
      </c>
      <c r="E28" s="95">
        <f>4022*B28/100</f>
        <v>402.2</v>
      </c>
      <c r="F28" s="95">
        <f>3000</f>
        <v>3000</v>
      </c>
      <c r="G28" s="74"/>
      <c r="H28" s="74"/>
      <c r="I28" s="74"/>
      <c r="J28" s="74"/>
      <c r="K28" s="74"/>
    </row>
    <row r="29" spans="1:11" x14ac:dyDescent="0.25">
      <c r="A29" s="95" t="s">
        <v>1250</v>
      </c>
      <c r="B29" s="95">
        <v>15</v>
      </c>
      <c r="C29" s="95" t="str">
        <f t="shared" si="10"/>
        <v>вентилируемый навесной фасад15</v>
      </c>
      <c r="D29" s="285">
        <f t="shared" si="11"/>
        <v>2.3424999999999998</v>
      </c>
      <c r="E29" s="95">
        <f>4022*B29/100</f>
        <v>603.29999999999995</v>
      </c>
      <c r="F29" s="95">
        <f>3000</f>
        <v>3000</v>
      </c>
      <c r="G29" s="74"/>
      <c r="H29" s="74"/>
      <c r="I29" s="74"/>
      <c r="J29" s="74"/>
      <c r="K29" s="74"/>
    </row>
    <row r="30" spans="1:11" ht="14.25" customHeight="1" x14ac:dyDescent="0.25">
      <c r="A30" s="95" t="s">
        <v>1253</v>
      </c>
      <c r="B30" s="95">
        <v>5</v>
      </c>
      <c r="C30" s="95" t="str">
        <f t="shared" si="0"/>
        <v>плитный утеплитель (минеральная вата)5</v>
      </c>
      <c r="D30" s="285">
        <f>B30/100/0.041</f>
        <v>1.2195121951219512</v>
      </c>
      <c r="E30" s="95">
        <v>333</v>
      </c>
      <c r="F30" s="95">
        <f>E30*0.2</f>
        <v>66.600000000000009</v>
      </c>
      <c r="G30" s="74"/>
      <c r="H30" s="74"/>
      <c r="I30" s="74"/>
      <c r="J30" s="74"/>
      <c r="K30" s="74"/>
    </row>
    <row r="31" spans="1:11" x14ac:dyDescent="0.25">
      <c r="A31" s="95" t="s">
        <v>1253</v>
      </c>
      <c r="B31" s="95">
        <v>10</v>
      </c>
      <c r="C31" s="95" t="str">
        <f t="shared" si="0"/>
        <v>плитный утеплитель (минеральная вата)10</v>
      </c>
      <c r="D31" s="285">
        <f t="shared" ref="D31:D32" si="12">B31/100/0.041</f>
        <v>2.4390243902439024</v>
      </c>
      <c r="E31" s="95">
        <v>666</v>
      </c>
      <c r="F31" s="95">
        <f t="shared" ref="F31:F32" si="13">E31*0.2</f>
        <v>133.20000000000002</v>
      </c>
      <c r="G31" s="74"/>
      <c r="H31" s="74"/>
      <c r="I31" s="74"/>
      <c r="J31" s="74"/>
      <c r="K31" s="74"/>
    </row>
    <row r="32" spans="1:11" x14ac:dyDescent="0.25">
      <c r="A32" s="95" t="s">
        <v>1253</v>
      </c>
      <c r="B32" s="95">
        <v>15</v>
      </c>
      <c r="C32" s="95" t="str">
        <f t="shared" si="0"/>
        <v>плитный утеплитель (минеральная вата)15</v>
      </c>
      <c r="D32" s="285">
        <f t="shared" si="12"/>
        <v>3.6585365853658534</v>
      </c>
      <c r="E32" s="95">
        <v>999</v>
      </c>
      <c r="F32" s="95">
        <f t="shared" si="13"/>
        <v>199.8</v>
      </c>
      <c r="G32" s="74"/>
      <c r="H32" s="74"/>
      <c r="I32" s="74"/>
      <c r="J32" s="74"/>
      <c r="K32" s="74"/>
    </row>
    <row r="33" spans="1:11" x14ac:dyDescent="0.25">
      <c r="A33" s="95" t="s">
        <v>1253</v>
      </c>
      <c r="B33" s="95">
        <v>20</v>
      </c>
      <c r="C33" s="95" t="str">
        <f t="shared" si="0"/>
        <v>плитный утеплитель (минеральная вата)20</v>
      </c>
      <c r="D33" s="285">
        <f t="shared" ref="D33:D35" si="14">B33/100/0.041</f>
        <v>4.8780487804878048</v>
      </c>
      <c r="E33" s="95">
        <v>1000</v>
      </c>
      <c r="F33" s="95">
        <f t="shared" ref="F33:F35" si="15">E33*0.2</f>
        <v>200</v>
      </c>
      <c r="G33" s="74"/>
      <c r="H33" s="74"/>
      <c r="I33" s="74"/>
      <c r="J33" s="74"/>
      <c r="K33" s="74"/>
    </row>
    <row r="34" spans="1:11" x14ac:dyDescent="0.25">
      <c r="A34" s="95" t="s">
        <v>1253</v>
      </c>
      <c r="B34" s="95">
        <v>25</v>
      </c>
      <c r="C34" s="95" t="str">
        <f t="shared" si="0"/>
        <v>плитный утеплитель (минеральная вата)25</v>
      </c>
      <c r="D34" s="285">
        <f t="shared" si="14"/>
        <v>6.0975609756097562</v>
      </c>
      <c r="E34" s="95">
        <v>1001</v>
      </c>
      <c r="F34" s="95">
        <f t="shared" si="15"/>
        <v>200.20000000000002</v>
      </c>
      <c r="G34" s="74"/>
      <c r="H34" s="74"/>
      <c r="I34" s="74"/>
      <c r="J34" s="74"/>
      <c r="K34" s="74"/>
    </row>
    <row r="35" spans="1:11" x14ac:dyDescent="0.25">
      <c r="A35" s="95" t="s">
        <v>1253</v>
      </c>
      <c r="B35" s="95">
        <v>30</v>
      </c>
      <c r="C35" s="95" t="str">
        <f t="shared" si="0"/>
        <v>плитный утеплитель (минеральная вата)30</v>
      </c>
      <c r="D35" s="285">
        <f t="shared" si="14"/>
        <v>7.3170731707317067</v>
      </c>
      <c r="E35" s="95">
        <v>1002</v>
      </c>
      <c r="F35" s="95">
        <f t="shared" si="15"/>
        <v>200.4</v>
      </c>
      <c r="G35" s="74"/>
      <c r="H35" s="74"/>
      <c r="I35" s="74"/>
      <c r="J35" s="74"/>
      <c r="K35" s="74"/>
    </row>
    <row r="36" spans="1:11" x14ac:dyDescent="0.25">
      <c r="A36" s="98" t="s">
        <v>1606</v>
      </c>
      <c r="B36" s="98">
        <v>1</v>
      </c>
      <c r="C36" s="95" t="str">
        <f t="shared" si="0"/>
        <v>Частотный преобразователь (на кВт мощности)1</v>
      </c>
      <c r="D36" s="95"/>
      <c r="E36" s="95">
        <f>B36*150*60</f>
        <v>9000</v>
      </c>
      <c r="F36" s="95"/>
      <c r="G36" s="74"/>
      <c r="H36" s="74"/>
      <c r="I36" s="74"/>
      <c r="J36" s="74"/>
      <c r="K36" s="74"/>
    </row>
    <row r="37" spans="1:11" x14ac:dyDescent="0.25">
      <c r="A37" s="74"/>
      <c r="B37" s="74"/>
      <c r="C37" s="74"/>
      <c r="D37" s="74"/>
      <c r="E37" s="74"/>
      <c r="F37" s="74"/>
      <c r="G37" s="74"/>
      <c r="H37" s="74"/>
      <c r="I37" s="74"/>
      <c r="J37" s="74"/>
      <c r="K37" s="74"/>
    </row>
    <row r="38" spans="1:11" x14ac:dyDescent="0.25">
      <c r="A38" s="74"/>
      <c r="B38" s="74"/>
      <c r="C38" s="74"/>
      <c r="D38" s="74"/>
      <c r="E38" s="74"/>
      <c r="F38" s="74"/>
      <c r="G38" s="74"/>
      <c r="H38" s="74"/>
      <c r="I38" s="74"/>
      <c r="J38" s="74"/>
      <c r="K38" s="74"/>
    </row>
    <row r="39" spans="1:11" x14ac:dyDescent="0.25">
      <c r="A39" s="95" t="s">
        <v>864</v>
      </c>
      <c r="B39" s="95" t="s">
        <v>1305</v>
      </c>
      <c r="C39" s="74"/>
      <c r="D39" s="74"/>
      <c r="E39" s="74"/>
      <c r="F39" s="74"/>
      <c r="G39" s="74"/>
      <c r="H39" s="74"/>
      <c r="I39" s="74"/>
      <c r="J39" s="74"/>
      <c r="K39" s="74"/>
    </row>
    <row r="40" spans="1:11" x14ac:dyDescent="0.25">
      <c r="A40" s="95" t="s">
        <v>1258</v>
      </c>
      <c r="B40" s="95">
        <v>0.55000000000000004</v>
      </c>
      <c r="C40" s="74"/>
      <c r="D40" s="74"/>
      <c r="E40" s="74"/>
      <c r="F40" s="74"/>
      <c r="G40" s="74"/>
      <c r="H40" s="74"/>
      <c r="I40" s="74"/>
      <c r="J40" s="74"/>
      <c r="K40" s="74"/>
    </row>
    <row r="41" spans="1:11" x14ac:dyDescent="0.25">
      <c r="A41" s="95" t="s">
        <v>1259</v>
      </c>
      <c r="B41" s="95">
        <v>0.54</v>
      </c>
      <c r="C41" s="74"/>
      <c r="D41" s="74"/>
      <c r="E41" s="74"/>
      <c r="F41" s="74"/>
      <c r="G41" s="74"/>
      <c r="H41" s="74"/>
      <c r="I41" s="74"/>
      <c r="J41" s="74"/>
      <c r="K41" s="74"/>
    </row>
    <row r="42" spans="1:11" x14ac:dyDescent="0.25">
      <c r="A42" s="95" t="s">
        <v>1260</v>
      </c>
      <c r="B42" s="95">
        <v>0.68</v>
      </c>
      <c r="C42" s="74"/>
      <c r="D42" s="74"/>
      <c r="E42" s="74"/>
      <c r="F42" s="74"/>
      <c r="G42" s="74"/>
      <c r="H42" s="74"/>
      <c r="I42" s="74"/>
      <c r="J42" s="74"/>
      <c r="K42" s="74"/>
    </row>
    <row r="43" spans="1:11" x14ac:dyDescent="0.25">
      <c r="A43" s="95" t="s">
        <v>1264</v>
      </c>
      <c r="B43" s="95">
        <v>0.56000000000000005</v>
      </c>
      <c r="C43" s="74"/>
      <c r="D43" s="74"/>
      <c r="E43" s="74"/>
      <c r="F43" s="74"/>
      <c r="G43" s="74"/>
      <c r="H43" s="74"/>
      <c r="I43" s="74"/>
      <c r="J43" s="74"/>
      <c r="K43" s="74"/>
    </row>
    <row r="44" spans="1:11" x14ac:dyDescent="0.25">
      <c r="A44" s="95" t="s">
        <v>1265</v>
      </c>
      <c r="B44" s="95">
        <v>0.72</v>
      </c>
      <c r="C44" s="74"/>
      <c r="D44" s="74"/>
      <c r="E44" s="74"/>
      <c r="F44" s="74"/>
      <c r="G44" s="74"/>
      <c r="H44" s="74"/>
      <c r="I44" s="74"/>
      <c r="J44" s="74"/>
      <c r="K44" s="74"/>
    </row>
    <row r="45" spans="1:11" x14ac:dyDescent="0.25">
      <c r="A45" s="95" t="s">
        <v>1261</v>
      </c>
      <c r="B45" s="95">
        <v>0.7</v>
      </c>
      <c r="C45" s="74"/>
      <c r="D45" s="74"/>
      <c r="E45" s="74"/>
      <c r="F45" s="74"/>
      <c r="G45" s="74"/>
      <c r="H45" s="74"/>
      <c r="I45" s="74"/>
      <c r="J45" s="74"/>
      <c r="K45" s="74"/>
    </row>
    <row r="46" spans="1:11" x14ac:dyDescent="0.25">
      <c r="A46" s="95" t="s">
        <v>1262</v>
      </c>
      <c r="B46" s="95">
        <v>0.74</v>
      </c>
      <c r="C46" s="74"/>
      <c r="D46" s="74"/>
      <c r="E46" s="74"/>
      <c r="F46" s="74"/>
      <c r="G46" s="74"/>
      <c r="H46" s="74"/>
      <c r="I46" s="74"/>
      <c r="J46" s="74"/>
      <c r="K46" s="74"/>
    </row>
    <row r="47" spans="1:11" x14ac:dyDescent="0.25">
      <c r="A47" s="95" t="s">
        <v>1263</v>
      </c>
      <c r="B47" s="95">
        <v>0.8</v>
      </c>
      <c r="C47" s="74"/>
      <c r="D47" s="74"/>
      <c r="E47" s="74"/>
      <c r="F47" s="74"/>
      <c r="G47" s="74"/>
      <c r="H47" s="74"/>
      <c r="I47" s="74"/>
      <c r="J47" s="74"/>
      <c r="K47" s="74"/>
    </row>
    <row r="48" spans="1:11" x14ac:dyDescent="0.25">
      <c r="A48" s="74"/>
      <c r="B48" s="74"/>
      <c r="C48" s="74"/>
      <c r="D48" s="74"/>
      <c r="E48" s="74"/>
      <c r="F48" s="74"/>
      <c r="G48" s="74"/>
      <c r="H48" s="74"/>
      <c r="I48" s="74"/>
      <c r="J48" s="74"/>
      <c r="K48" s="74"/>
    </row>
    <row r="49" spans="1:11" x14ac:dyDescent="0.25">
      <c r="A49" s="95"/>
      <c r="B49" s="95"/>
      <c r="C49" s="95" t="s">
        <v>1620</v>
      </c>
      <c r="D49" s="95" t="s">
        <v>1621</v>
      </c>
      <c r="E49" s="74"/>
      <c r="F49" s="74"/>
      <c r="G49" s="74"/>
      <c r="H49" s="74"/>
      <c r="I49" s="74"/>
      <c r="J49" s="74"/>
      <c r="K49" s="74"/>
    </row>
    <row r="50" spans="1:11" x14ac:dyDescent="0.25">
      <c r="A50" s="95" t="s">
        <v>1541</v>
      </c>
      <c r="B50" s="95" t="s">
        <v>1311</v>
      </c>
      <c r="C50" s="95">
        <v>6000</v>
      </c>
      <c r="D50" s="95">
        <v>5000</v>
      </c>
      <c r="E50" s="74"/>
      <c r="F50" s="74"/>
      <c r="G50" s="74"/>
      <c r="H50" s="74"/>
      <c r="I50" s="74"/>
      <c r="J50" s="74"/>
      <c r="K50" s="74"/>
    </row>
    <row r="51" spans="1:11" x14ac:dyDescent="0.25">
      <c r="A51" s="95" t="s">
        <v>1542</v>
      </c>
      <c r="B51" s="95" t="s">
        <v>1543</v>
      </c>
      <c r="C51" s="95">
        <v>3800</v>
      </c>
      <c r="D51" s="95"/>
      <c r="E51" s="74"/>
      <c r="F51" s="74"/>
      <c r="G51" s="74"/>
      <c r="H51" s="74"/>
      <c r="I51" s="74"/>
      <c r="J51" s="74"/>
      <c r="K51" s="74"/>
    </row>
    <row r="52" spans="1:11" x14ac:dyDescent="0.25">
      <c r="A52" s="95" t="s">
        <v>1544</v>
      </c>
      <c r="B52" s="95" t="s">
        <v>858</v>
      </c>
      <c r="C52" s="95" t="e">
        <f>IF('Система электроснабжения'!D34*0.86&lt;200,700000,900000)</f>
        <v>#N/A</v>
      </c>
      <c r="D52" s="95" t="e">
        <f>C52*0.2+100000</f>
        <v>#N/A</v>
      </c>
      <c r="E52" s="74"/>
      <c r="F52" s="74"/>
      <c r="G52" s="74"/>
      <c r="H52" s="74"/>
      <c r="I52" s="74"/>
      <c r="J52" s="74"/>
      <c r="K52" s="74"/>
    </row>
    <row r="53" spans="1:11" x14ac:dyDescent="0.25">
      <c r="A53" s="95" t="s">
        <v>801</v>
      </c>
      <c r="B53" s="95" t="s">
        <v>858</v>
      </c>
      <c r="C53" s="286" t="e">
        <f>2349*('Система электроснабжения'!D34+'Расчет базового уровня'!E172)+1151900</f>
        <v>#N/A</v>
      </c>
      <c r="D53" s="286" t="e">
        <f>C53*0.2+100000</f>
        <v>#N/A</v>
      </c>
      <c r="E53" s="74"/>
      <c r="F53" s="74"/>
      <c r="G53" s="74"/>
      <c r="H53" s="74"/>
      <c r="I53" s="74"/>
      <c r="J53" s="74"/>
      <c r="K53" s="74"/>
    </row>
    <row r="54" spans="1:11" x14ac:dyDescent="0.25">
      <c r="A54" s="95" t="s">
        <v>1615</v>
      </c>
      <c r="B54" s="95" t="s">
        <v>858</v>
      </c>
      <c r="C54" s="286" t="e">
        <f>531500+285*'Расчет базового уровня'!E172</f>
        <v>#N/A</v>
      </c>
      <c r="D54" s="95" t="e">
        <f>C54*0.2+100000</f>
        <v>#N/A</v>
      </c>
      <c r="E54" s="74"/>
      <c r="F54" s="74"/>
      <c r="G54" s="74"/>
      <c r="H54" s="74"/>
      <c r="I54" s="74"/>
      <c r="J54" s="74"/>
      <c r="K54" s="74"/>
    </row>
    <row r="55" spans="1:11" x14ac:dyDescent="0.25">
      <c r="A55" s="95" t="s">
        <v>1619</v>
      </c>
      <c r="B55" s="95" t="s">
        <v>858</v>
      </c>
      <c r="C55" s="286" t="e">
        <f>150121*'Расчет базового уровня'!E173+23232</f>
        <v>#N/A</v>
      </c>
      <c r="D55" s="95"/>
      <c r="E55" s="74"/>
      <c r="F55" s="74"/>
      <c r="G55" s="74"/>
      <c r="H55" s="74"/>
      <c r="I55" s="74"/>
      <c r="J55" s="74"/>
      <c r="K55" s="74"/>
    </row>
    <row r="56" spans="1:11" x14ac:dyDescent="0.25">
      <c r="A56" s="95" t="s">
        <v>1547</v>
      </c>
      <c r="B56" s="95" t="s">
        <v>493</v>
      </c>
      <c r="C56" s="95">
        <v>400</v>
      </c>
      <c r="D56" s="95"/>
      <c r="E56" s="74"/>
      <c r="F56" s="74"/>
      <c r="G56" s="74"/>
      <c r="H56" s="74"/>
      <c r="I56" s="74"/>
      <c r="J56" s="74"/>
      <c r="K56" s="74"/>
    </row>
    <row r="57" spans="1:11" x14ac:dyDescent="0.25">
      <c r="A57" s="95" t="s">
        <v>1548</v>
      </c>
      <c r="B57" s="95" t="s">
        <v>493</v>
      </c>
      <c r="C57" s="95">
        <f>285+91</f>
        <v>376</v>
      </c>
      <c r="D57" s="95"/>
      <c r="E57" s="74"/>
      <c r="F57" s="74"/>
      <c r="G57" s="74"/>
      <c r="H57" s="74"/>
      <c r="I57" s="74"/>
      <c r="J57" s="74"/>
      <c r="K57" s="74"/>
    </row>
    <row r="58" spans="1:11" x14ac:dyDescent="0.25">
      <c r="A58" s="95" t="s">
        <v>1611</v>
      </c>
      <c r="B58" s="95" t="s">
        <v>1311</v>
      </c>
      <c r="C58" s="95">
        <v>650000</v>
      </c>
      <c r="D58" s="95">
        <v>600000</v>
      </c>
      <c r="E58" s="74"/>
      <c r="F58" s="74"/>
      <c r="G58" s="74"/>
      <c r="H58" s="74"/>
      <c r="I58" s="74"/>
      <c r="J58" s="74"/>
      <c r="K58" s="74"/>
    </row>
    <row r="59" spans="1:11" x14ac:dyDescent="0.25">
      <c r="A59" s="95" t="s">
        <v>1545</v>
      </c>
      <c r="B59" s="95" t="s">
        <v>493</v>
      </c>
      <c r="C59" s="95">
        <v>90</v>
      </c>
      <c r="D59" s="95"/>
      <c r="E59" s="74"/>
      <c r="F59" s="74"/>
      <c r="G59" s="74"/>
      <c r="H59" s="74"/>
      <c r="I59" s="74"/>
      <c r="J59" s="74"/>
      <c r="K59" s="74"/>
    </row>
    <row r="60" spans="1:11" x14ac:dyDescent="0.25">
      <c r="A60" s="98" t="s">
        <v>1546</v>
      </c>
      <c r="B60" s="95" t="s">
        <v>1311</v>
      </c>
      <c r="C60" s="95">
        <v>150</v>
      </c>
      <c r="D60" s="95"/>
      <c r="E60" s="74"/>
      <c r="F60" s="74"/>
      <c r="G60" s="74"/>
      <c r="H60" s="74"/>
      <c r="I60" s="74"/>
      <c r="J60" s="74"/>
      <c r="K60" s="74"/>
    </row>
    <row r="61" spans="1:11" x14ac:dyDescent="0.25">
      <c r="A61" s="98" t="s">
        <v>1549</v>
      </c>
      <c r="B61" s="95" t="s">
        <v>1311</v>
      </c>
      <c r="C61" s="98">
        <v>500</v>
      </c>
      <c r="D61" s="95"/>
      <c r="E61" s="74"/>
      <c r="F61" s="74"/>
      <c r="G61" s="74"/>
      <c r="H61" s="74"/>
      <c r="I61" s="74"/>
      <c r="J61" s="74"/>
      <c r="K61" s="74"/>
    </row>
    <row r="62" spans="1:11" x14ac:dyDescent="0.25">
      <c r="A62" s="98" t="s">
        <v>1550</v>
      </c>
      <c r="B62" s="95" t="s">
        <v>1311</v>
      </c>
      <c r="C62" s="98">
        <v>36000</v>
      </c>
      <c r="D62" s="95"/>
      <c r="E62" s="74"/>
      <c r="F62" s="74"/>
      <c r="G62" s="74"/>
      <c r="H62" s="74"/>
      <c r="I62" s="74"/>
      <c r="J62" s="74"/>
      <c r="K62" s="74"/>
    </row>
    <row r="63" spans="1:11" x14ac:dyDescent="0.25">
      <c r="A63" s="98" t="s">
        <v>1613</v>
      </c>
      <c r="B63" s="95" t="s">
        <v>1614</v>
      </c>
      <c r="C63" s="98">
        <v>4000</v>
      </c>
      <c r="D63" s="95"/>
      <c r="E63" s="74"/>
      <c r="F63" s="74"/>
      <c r="G63" s="74"/>
      <c r="H63" s="74"/>
      <c r="I63" s="74"/>
      <c r="J63" s="74"/>
      <c r="K63" s="74"/>
    </row>
    <row r="64" spans="1:11" x14ac:dyDescent="0.25">
      <c r="A64" s="98" t="s">
        <v>1616</v>
      </c>
      <c r="B64" s="95" t="s">
        <v>1617</v>
      </c>
      <c r="C64" s="98">
        <v>400</v>
      </c>
      <c r="D64" s="95"/>
      <c r="E64" s="74" t="s">
        <v>1618</v>
      </c>
      <c r="F64" s="74"/>
      <c r="G64" s="74"/>
      <c r="H64" s="74"/>
      <c r="I64" s="74"/>
      <c r="J64" s="74"/>
      <c r="K64" s="74"/>
    </row>
    <row r="65" spans="1:11" x14ac:dyDescent="0.25">
      <c r="A65" s="98" t="s">
        <v>1551</v>
      </c>
      <c r="B65" s="95" t="s">
        <v>1311</v>
      </c>
      <c r="C65" s="287">
        <f>2000/18*0.5</f>
        <v>55.555555555555557</v>
      </c>
      <c r="D65" s="95"/>
      <c r="E65" s="74"/>
      <c r="F65" s="74"/>
      <c r="G65" s="74"/>
      <c r="H65" s="74"/>
      <c r="I65" s="74"/>
      <c r="J65" s="74"/>
      <c r="K65" s="74"/>
    </row>
    <row r="66" spans="1:11" x14ac:dyDescent="0.25">
      <c r="A66" s="74"/>
      <c r="B66" s="74"/>
      <c r="C66" s="74"/>
      <c r="D66" s="74"/>
      <c r="E66" s="74"/>
      <c r="F66" s="74"/>
      <c r="G66" s="74"/>
      <c r="H66" s="74"/>
      <c r="I66" s="74"/>
      <c r="J66" s="74"/>
      <c r="K66" s="74"/>
    </row>
    <row r="67" spans="1:11" x14ac:dyDescent="0.25">
      <c r="A67" s="74"/>
      <c r="B67" s="74"/>
      <c r="C67" s="74"/>
      <c r="D67" s="74"/>
      <c r="E67" s="74"/>
      <c r="F67" s="74"/>
      <c r="G67" s="74"/>
      <c r="H67" s="74"/>
      <c r="I67" s="74"/>
      <c r="J67" s="74"/>
      <c r="K67" s="74"/>
    </row>
    <row r="68" spans="1:11" x14ac:dyDescent="0.25">
      <c r="A68" s="74"/>
      <c r="B68" s="74"/>
      <c r="C68" s="74"/>
      <c r="D68" s="74"/>
      <c r="E68" s="74"/>
      <c r="F68" s="74"/>
      <c r="G68" s="74"/>
      <c r="H68" s="74"/>
      <c r="I68" s="74"/>
      <c r="J68" s="74"/>
      <c r="K68" s="74"/>
    </row>
    <row r="69" spans="1:11" x14ac:dyDescent="0.25">
      <c r="A69" s="74"/>
      <c r="B69" s="74"/>
      <c r="C69" s="74"/>
      <c r="D69" s="74"/>
      <c r="E69" s="74"/>
      <c r="F69" s="74"/>
      <c r="G69" s="74"/>
      <c r="H69" s="74"/>
      <c r="I69" s="74"/>
      <c r="J69" s="74"/>
      <c r="K69" s="74"/>
    </row>
    <row r="70" spans="1:11" x14ac:dyDescent="0.25">
      <c r="A70" s="74"/>
      <c r="B70" s="74"/>
      <c r="C70" s="74"/>
      <c r="D70" s="74"/>
      <c r="E70" s="74"/>
      <c r="F70" s="74"/>
      <c r="G70" s="74"/>
      <c r="H70" s="74"/>
      <c r="I70" s="74"/>
      <c r="J70" s="74"/>
      <c r="K70" s="74"/>
    </row>
    <row r="71" spans="1:11" x14ac:dyDescent="0.25">
      <c r="A71" s="74"/>
      <c r="B71" s="74"/>
      <c r="C71" s="74"/>
      <c r="D71" s="74"/>
      <c r="E71" s="74"/>
      <c r="F71" s="74"/>
      <c r="G71" s="74"/>
      <c r="H71" s="74"/>
      <c r="I71" s="74"/>
      <c r="J71" s="74"/>
      <c r="K71" s="74"/>
    </row>
    <row r="72" spans="1:11" x14ac:dyDescent="0.25">
      <c r="A72" s="74"/>
      <c r="B72" s="74"/>
      <c r="C72" s="74"/>
      <c r="D72" s="74"/>
      <c r="E72" s="74"/>
      <c r="F72" s="74"/>
      <c r="G72" s="74"/>
      <c r="H72" s="74"/>
      <c r="I72" s="74"/>
      <c r="J72" s="74"/>
      <c r="K72" s="74"/>
    </row>
    <row r="73" spans="1:11" x14ac:dyDescent="0.25">
      <c r="A73" s="75" t="s">
        <v>1624</v>
      </c>
    </row>
  </sheetData>
  <sheetProtection algorithmName="SHA-512" hashValue="Ke3H1PSZAS9Ql+9QORJPWLIHHqlg6ArXQ4lJzbiqj+uba3IhCtBREDdmZ5uAuKmi7CIdCiBeasAXmgToF07qhg==" saltValue="XhEs2aMAlAqgnMdEoestXg==" spinCount="100000" sheet="1" objects="1" scenarios="1"/>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15</vt:i4>
      </vt:variant>
      <vt:variant>
        <vt:lpstr>Именованные диапазоны</vt:lpstr>
      </vt:variant>
      <vt:variant>
        <vt:i4>39</vt:i4>
      </vt:variant>
    </vt:vector>
  </HeadingPairs>
  <TitlesOfParts>
    <vt:vector size="54" baseType="lpstr">
      <vt:lpstr>Титульный лист</vt:lpstr>
      <vt:lpstr>Ввод исходных данных</vt:lpstr>
      <vt:lpstr>Список мероприятий</vt:lpstr>
      <vt:lpstr>Экономический расчет</vt:lpstr>
      <vt:lpstr>Форма обратной связи</vt:lpstr>
      <vt:lpstr>Серии планировка</vt:lpstr>
      <vt:lpstr>Расчет базового уровня</vt:lpstr>
      <vt:lpstr>Расчет после реализации</vt:lpstr>
      <vt:lpstr>Библиотека технологий</vt:lpstr>
      <vt:lpstr>Климатология</vt:lpstr>
      <vt:lpstr>Серии теплотехника</vt:lpstr>
      <vt:lpstr>Система отопления</vt:lpstr>
      <vt:lpstr>Система электроснабжения</vt:lpstr>
      <vt:lpstr>Система ГВС</vt:lpstr>
      <vt:lpstr>списки</vt:lpstr>
      <vt:lpstr>AITPIAUU</vt:lpstr>
      <vt:lpstr>AtticMat</vt:lpstr>
      <vt:lpstr>AUU</vt:lpstr>
      <vt:lpstr>CellarMat</vt:lpstr>
      <vt:lpstr>CGVS</vt:lpstr>
      <vt:lpstr>danet</vt:lpstr>
      <vt:lpstr>datebill</vt:lpstr>
      <vt:lpstr>lamps</vt:lpstr>
      <vt:lpstr>LampsNew</vt:lpstr>
      <vt:lpstr>layer</vt:lpstr>
      <vt:lpstr>layer15</vt:lpstr>
      <vt:lpstr>materials</vt:lpstr>
      <vt:lpstr>Months</vt:lpstr>
      <vt:lpstr>months12</vt:lpstr>
      <vt:lpstr>pereplet</vt:lpstr>
      <vt:lpstr>repair</vt:lpstr>
      <vt:lpstr>Shvy</vt:lpstr>
      <vt:lpstr>SNIP_temperature</vt:lpstr>
      <vt:lpstr>snipyear</vt:lpstr>
      <vt:lpstr>SposobRascheta</vt:lpstr>
      <vt:lpstr>TempWat</vt:lpstr>
      <vt:lpstr>Windows</vt:lpstr>
      <vt:lpstr>WindowsOld</vt:lpstr>
      <vt:lpstr>'Форма обратной связи'!Анкета_Виды_деятельности</vt:lpstr>
      <vt:lpstr>'Форма обратной связи'!Анкета_Виды_лиц</vt:lpstr>
      <vt:lpstr>'Форма обратной связи'!Анкета_Субъекты_РФ</vt:lpstr>
      <vt:lpstr>ГодПостройки</vt:lpstr>
      <vt:lpstr>'Ввод исходных данных'!Годы_текущий_минус_1</vt:lpstr>
      <vt:lpstr>нежил</vt:lpstr>
      <vt:lpstr>'Титульный лист'!Область_печати</vt:lpstr>
      <vt:lpstr>'Форма обратной связи'!Область_печати</vt:lpstr>
      <vt:lpstr>'Расчет после реализации'!РегионСтарт</vt:lpstr>
      <vt:lpstr>РегионСтарт</vt:lpstr>
      <vt:lpstr>'Расчет после реализации'!РегионСтолбец</vt:lpstr>
      <vt:lpstr>РегионСтолбец</vt:lpstr>
      <vt:lpstr>РегионыСписок</vt:lpstr>
      <vt:lpstr>Серии</vt:lpstr>
      <vt:lpstr>СерииТепл</vt:lpstr>
      <vt:lpstr>СерииТеплНач</vt:lpstr>
    </vt:vector>
  </TitlesOfParts>
  <Company>Фонд ЖКХ</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Энергоэффективный капремонт</dc:subject>
  <dc:creator>Anna D. Myshak</dc:creator>
  <cp:keywords>Фонд_ЖКХ капремонт энергоэффективность</cp:keywords>
  <cp:lastModifiedBy>Андрей</cp:lastModifiedBy>
  <cp:lastPrinted>2017-03-20T11:52:12Z</cp:lastPrinted>
  <dcterms:created xsi:type="dcterms:W3CDTF">2016-10-10T08:58:27Z</dcterms:created>
  <dcterms:modified xsi:type="dcterms:W3CDTF">2017-07-03T10:49:41Z</dcterms:modified>
  <cp:category>Приложение</cp:category>
</cp:coreProperties>
</file>